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lena\Desktop\"/>
    </mc:Choice>
  </mc:AlternateContent>
  <bookViews>
    <workbookView xWindow="480" yWindow="390" windowWidth="18240" windowHeight="11520" activeTab="1"/>
  </bookViews>
  <sheets>
    <sheet name="42-02-14 מחקר, 42-02-60" sheetId="48" r:id="rId1"/>
    <sheet name="42-02-07, 42-02-15 תיאטרון" sheetId="9" r:id="rId2"/>
    <sheet name=",42-02-59,42-02-16 מוסיקה" sheetId="15" r:id="rId3"/>
    <sheet name="42-02-18 מוזיאונים" sheetId="17" r:id="rId4"/>
    <sheet name="42-02-20 מחול" sheetId="19" r:id="rId5"/>
    <sheet name="42-02-21 אופרות" sheetId="13" r:id="rId6"/>
    <sheet name=" ,69,42-02-68,42-02-22 ספרות " sheetId="23" r:id="rId7"/>
    <sheet name="42-02-24 אמ פלסטית" sheetId="21" r:id="rId8"/>
    <sheet name="42-02-26 פסטיבלים" sheetId="12" r:id="rId9"/>
    <sheet name="תאגידים " sheetId="42" r:id="rId10"/>
    <sheet name="42-02-28 קולנוע" sheetId="25" r:id="rId11"/>
    <sheet name="42-02-31 תרבות בקהילה" sheetId="27" r:id="rId12"/>
    <sheet name="42-02-32 מורשת " sheetId="47" r:id="rId13"/>
    <sheet name="42-02-33 תרבות ערבית" sheetId="1" r:id="rId14"/>
    <sheet name="תרבות ערבית" sheetId="3" state="hidden" r:id="rId15"/>
    <sheet name="מחקר  " sheetId="5" state="hidden" r:id="rId16"/>
    <sheet name="42-02-34 מוסדות מחקר תורניים" sheetId="32" r:id="rId17"/>
    <sheet name=", 42-02-66,42-02-36 בתי&quot;ס" sheetId="53" r:id="rId18"/>
    <sheet name="42-02-23 ספריות" sheetId="7" r:id="rId19"/>
    <sheet name="ספריות" sheetId="8" state="hidden" r:id="rId20"/>
    <sheet name="תיאטרון" sheetId="10" state="hidden" r:id="rId21"/>
    <sheet name="פסטיבלים " sheetId="11" state="hidden" r:id="rId22"/>
    <sheet name="אופרה" sheetId="14" state="hidden" r:id="rId23"/>
    <sheet name="מוסיקה" sheetId="16" state="hidden" r:id="rId24"/>
    <sheet name="מוזיאונים  " sheetId="18" state="hidden" r:id="rId25"/>
    <sheet name="מחול " sheetId="20" state="hidden" r:id="rId26"/>
    <sheet name="א. פלסטית" sheetId="22" state="hidden" r:id="rId27"/>
    <sheet name="ספרות " sheetId="24" state="hidden" r:id="rId28"/>
    <sheet name="קולנוע" sheetId="26" state="hidden" r:id="rId29"/>
    <sheet name="תרבות בקהילה" sheetId="28" state="hidden" r:id="rId30"/>
    <sheet name="מורשת" sheetId="29" state="hidden" r:id="rId31"/>
    <sheet name="מחקר תורני" sheetId="31" state="hidden" r:id="rId32"/>
    <sheet name="בתי&quot;ס " sheetId="34" state="hidden" r:id="rId33"/>
    <sheet name="42-02-45 שימור אתרי התיישבו" sheetId="52" r:id="rId34"/>
    <sheet name="שימור אתרים" sheetId="35" state="hidden" r:id="rId35"/>
    <sheet name="42-02-49 תרבות דרוזית" sheetId="51" r:id="rId36"/>
    <sheet name="דרוזים " sheetId="38" state="hidden" r:id="rId37"/>
    <sheet name="תמיכה בקהילות היהדות 42-02-54" sheetId="39" r:id="rId38"/>
    <sheet name="סל&quot;ע 42-02-56" sheetId="56" r:id="rId39"/>
    <sheet name="תרבות חרדית 42-02-65" sheetId="61" r:id="rId40"/>
    <sheet name="רפורמים " sheetId="40" state="hidden" r:id="rId41"/>
  </sheets>
  <definedNames>
    <definedName name="_xlnm._FilterDatabase" localSheetId="6" hidden="1">' ,69,42-02-68,42-02-22 ספרות '!$D$2:$T$88</definedName>
    <definedName name="_xlnm._FilterDatabase" localSheetId="17" hidden="1">', 42-02-66,42-02-36 בתי"ס'!$D$2:$Y$5</definedName>
    <definedName name="_xlnm._FilterDatabase" localSheetId="2" hidden="1">',42-02-59,42-02-16 מוסיקה'!$D$2:$AB$107</definedName>
    <definedName name="_xlnm._FilterDatabase" localSheetId="1" hidden="1">'42-02-07, 42-02-15 תיאטרון'!$E$2:$AJ$100</definedName>
    <definedName name="_xlnm._FilterDatabase" localSheetId="0" hidden="1">'42-02-14 מחקר, 42-02-60'!$F$2:$N$24</definedName>
    <definedName name="_xlnm._FilterDatabase" localSheetId="3" hidden="1">'42-02-18 מוזיאונים'!$J$2:$Y$58</definedName>
    <definedName name="_xlnm._FilterDatabase" localSheetId="4" hidden="1">'42-02-20 מחול'!$D$2:$AC$50</definedName>
    <definedName name="_xlnm._FilterDatabase" localSheetId="18" hidden="1">'42-02-23 ספריות'!#REF!</definedName>
    <definedName name="_xlnm._FilterDatabase" localSheetId="7" hidden="1">'42-02-24 אמ פלסטית'!$E$2:$X$98</definedName>
    <definedName name="_xlnm._FilterDatabase" localSheetId="8" hidden="1">'42-02-26 פסטיבלים'!$D$1:$U$131</definedName>
    <definedName name="_xlnm._FilterDatabase" localSheetId="10" hidden="1">'42-02-28 קולנוע'!$E$2:$Y$35</definedName>
    <definedName name="_xlnm._FilterDatabase" localSheetId="11" hidden="1">'42-02-31 תרבות בקהילה'!$D$2:$L$190</definedName>
    <definedName name="_xlnm._FilterDatabase" localSheetId="12" hidden="1">'42-02-32 מורשת '!$D$2:$O$40</definedName>
    <definedName name="_xlnm._FilterDatabase" localSheetId="13" hidden="1">'42-02-33 תרבות ערבית'!$C$2:$U$131</definedName>
    <definedName name="_xlnm._FilterDatabase" localSheetId="16" hidden="1">'42-02-34 מוסדות מחקר תורניים'!$C$2:$L$40</definedName>
    <definedName name="_xlnm._FilterDatabase" localSheetId="33" hidden="1">'42-02-45 שימור אתרי התיישבו'!$D$2:$N$16</definedName>
    <definedName name="_xlnm._FilterDatabase" localSheetId="38" hidden="1">'סל"ע 42-02-56'!$A$1:$R$253</definedName>
    <definedName name="_xlnm._FilterDatabase" localSheetId="9" hidden="1">'תאגידים '!$E$2:$J$2</definedName>
    <definedName name="_xlnm._FilterDatabase" localSheetId="37" hidden="1">'תמיכה בקהילות היהדות 42-02-54'!#REF!</definedName>
    <definedName name="_xlnm._FilterDatabase" localSheetId="39" hidden="1">'תרבות חרדית 42-02-65'!$D$2:$I$12</definedName>
    <definedName name="_xlnm._FilterDatabase" localSheetId="14" hidden="1">'תרבות ערבית'!$A$1:$H$1</definedName>
    <definedName name="_xlnm.Print_Area" localSheetId="6">' ,69,42-02-68,42-02-22 ספרות '!$A$1:$R$98</definedName>
    <definedName name="_xlnm.Print_Area" localSheetId="17">', 42-02-66,42-02-36 בתי"ס'!$B$1:$W$96</definedName>
    <definedName name="_xlnm.Print_Area" localSheetId="2">',42-02-59,42-02-16 מוסיקה'!$A$1:$Z$115</definedName>
    <definedName name="_xlnm.Print_Area" localSheetId="1">'42-02-07, 42-02-15 תיאטרון'!$A$1:$AH$102</definedName>
    <definedName name="_xlnm.Print_Area" localSheetId="0">'42-02-14 מחקר, 42-02-60'!$A$1:$L$46</definedName>
    <definedName name="_xlnm.Print_Area" localSheetId="3">'42-02-18 מוזיאונים'!$A$1:$W$58</definedName>
    <definedName name="_xlnm.Print_Area" localSheetId="4">'42-02-20 מחול'!$A$2:$AA$75</definedName>
    <definedName name="_xlnm.Print_Area" localSheetId="5">'42-02-21 אופרות'!$A$1:$G$5</definedName>
    <definedName name="_xlnm.Print_Area" localSheetId="18">'42-02-23 ספריות'!$B$1:$K$7</definedName>
    <definedName name="_xlnm.Print_Area" localSheetId="7">'42-02-24 אמ פלסטית'!$B$1:$V$98</definedName>
    <definedName name="_xlnm.Print_Area" localSheetId="8">'42-02-26 פסטיבלים'!$A$1:$S$131</definedName>
    <definedName name="_xlnm.Print_Area" localSheetId="10">'42-02-28 קולנוע'!$B$1:$W$35</definedName>
    <definedName name="_xlnm.Print_Area" localSheetId="11">'42-02-31 תרבות בקהילה'!$B$1:$J$190</definedName>
    <definedName name="_xlnm.Print_Area" localSheetId="12">'42-02-32 מורשת '!$B$1:$M$40</definedName>
    <definedName name="_xlnm.Print_Area" localSheetId="13">'42-02-33 תרבות ערבית'!$A$1:$S$131</definedName>
    <definedName name="_xlnm.Print_Area" localSheetId="16">'42-02-34 מוסדות מחקר תורניים'!$A$1:$J$49</definedName>
    <definedName name="_xlnm.Print_Area" localSheetId="33">'42-02-45 שימור אתרי התיישבו'!$B$1:$L$16</definedName>
    <definedName name="_xlnm.Print_Area" localSheetId="35">'42-02-49 תרבות דרוזית'!$B$1:$K$41</definedName>
    <definedName name="_xlnm.Print_Area" localSheetId="26">'א. פלסטית'!$A$1:$M$38</definedName>
    <definedName name="_xlnm.Print_Area" localSheetId="22">אופרה!$A$1:$M$3</definedName>
    <definedName name="_xlnm.Print_Area" localSheetId="32">'בתי"ס '!$A$29:$L$51</definedName>
    <definedName name="_xlnm.Print_Area" localSheetId="36">'דרוזים '!$A$1:$M$4</definedName>
    <definedName name="_xlnm.Print_Area" localSheetId="24">'מוזיאונים  '!$A$9:$M$51</definedName>
    <definedName name="_xlnm.Print_Area" localSheetId="23">מוסיקה!$A$24:$L$55</definedName>
    <definedName name="_xlnm.Print_Area" localSheetId="30">מורשת!$A$1:$L$3</definedName>
    <definedName name="_xlnm.Print_Area" localSheetId="25">'מחול '!$A$19:$M$72</definedName>
    <definedName name="_xlnm.Print_Area" localSheetId="15">'מחקר  '!$A$1:$M$33</definedName>
    <definedName name="_xlnm.Print_Area" localSheetId="31">'מחקר תורני'!$A$1:$L$36</definedName>
    <definedName name="_xlnm.Print_Area" localSheetId="38">'סל"ע 42-02-56'!$A$1:$Q$254</definedName>
    <definedName name="_xlnm.Print_Area" localSheetId="27">'ספרות '!$A$1:$M$28</definedName>
    <definedName name="_xlnm.Print_Area" localSheetId="19">ספריות!$A$1:$M$8</definedName>
    <definedName name="_xlnm.Print_Area" localSheetId="21">'פסטיבלים '!$A$1:$M$80</definedName>
    <definedName name="_xlnm.Print_Area" localSheetId="28">קולנוע!#REF!</definedName>
    <definedName name="_xlnm.Print_Area" localSheetId="40">'רפורמים '!$A$1:$J$8</definedName>
    <definedName name="_xlnm.Print_Area" localSheetId="34">'שימור אתרים'!$A$1:$M$1</definedName>
    <definedName name="_xlnm.Print_Area" localSheetId="9">'תאגידים '!$B$2:$H$34</definedName>
    <definedName name="_xlnm.Print_Area" localSheetId="20">תיאטרון!$A$1:$L$32</definedName>
    <definedName name="_xlnm.Print_Area" localSheetId="37">'תמיכה בקהילות היהדות 42-02-54'!$B$1:$G$33</definedName>
    <definedName name="_xlnm.Print_Area" localSheetId="29">'תרבות בקהילה'!$A$1:$L$16</definedName>
    <definedName name="_xlnm.Print_Area" localSheetId="39">'תרבות חרדית 42-02-65'!$B$1:$G$16</definedName>
    <definedName name="_xlnm.Print_Area" localSheetId="14">'תרבות ערבית'!$A$36:$G$42</definedName>
    <definedName name="_xlnm.Print_Titles" localSheetId="6">' ,69,42-02-68,42-02-22 ספרות '!$1:$2</definedName>
    <definedName name="_xlnm.Print_Titles" localSheetId="17">', 42-02-66,42-02-36 בתי"ס'!$1:$2</definedName>
    <definedName name="_xlnm.Print_Titles" localSheetId="2">',42-02-59,42-02-16 מוסיקה'!$1:$2</definedName>
    <definedName name="_xlnm.Print_Titles" localSheetId="1">'42-02-07, 42-02-15 תיאטרון'!$1:$2</definedName>
    <definedName name="_xlnm.Print_Titles" localSheetId="0">'42-02-14 מחקר, 42-02-60'!$1:$2</definedName>
    <definedName name="_xlnm.Print_Titles" localSheetId="3">'42-02-18 מוזיאונים'!$1:$2</definedName>
    <definedName name="_xlnm.Print_Titles" localSheetId="4">'42-02-20 מחול'!$1:$3</definedName>
    <definedName name="_xlnm.Print_Titles" localSheetId="18">'42-02-23 ספריות'!$1:$2</definedName>
    <definedName name="_xlnm.Print_Titles" localSheetId="7">'42-02-24 אמ פלסטית'!$1:$2</definedName>
    <definedName name="_xlnm.Print_Titles" localSheetId="8">'42-02-26 פסטיבלים'!$1:$2</definedName>
    <definedName name="_xlnm.Print_Titles" localSheetId="10">'42-02-28 קולנוע'!$1:$2</definedName>
    <definedName name="_xlnm.Print_Titles" localSheetId="11">'42-02-31 תרבות בקהילה'!$1:$2</definedName>
    <definedName name="_xlnm.Print_Titles" localSheetId="12">'42-02-32 מורשת '!$1:$2</definedName>
    <definedName name="_xlnm.Print_Titles" localSheetId="13">'42-02-33 תרבות ערבית'!$1:$2</definedName>
    <definedName name="_xlnm.Print_Titles" localSheetId="16">'42-02-34 מוסדות מחקר תורניים'!$2:$2</definedName>
    <definedName name="_xlnm.Print_Titles" localSheetId="33">'42-02-45 שימור אתרי התיישבו'!$2:$2</definedName>
    <definedName name="_xlnm.Print_Titles" localSheetId="35">'42-02-49 תרבות דרוזית'!$1:$2</definedName>
    <definedName name="_xlnm.Print_Titles" localSheetId="23">מוסיקה!$1:$1</definedName>
    <definedName name="_xlnm.Print_Titles" localSheetId="38">'סל"ע 42-02-56'!$1:$1</definedName>
    <definedName name="_xlnm.Print_Titles" localSheetId="19">ספריות!$1:$1</definedName>
    <definedName name="_xlnm.Print_Titles" localSheetId="40">'רפורמים '!$2:$2</definedName>
    <definedName name="_xlnm.Print_Titles" localSheetId="34">'שימור אתרים'!$1:$1</definedName>
    <definedName name="_xlnm.Print_Titles" localSheetId="20">תיאטרון!$1:$1</definedName>
    <definedName name="_xlnm.Print_Titles" localSheetId="37">'תמיכה בקהילות היהדות 42-02-54'!$1:$2</definedName>
    <definedName name="_xlnm.Print_Titles" localSheetId="39">'תרבות חרדית 42-02-65'!$2:$2</definedName>
  </definedNames>
  <calcPr calcId="162913"/>
</workbook>
</file>

<file path=xl/calcChain.xml><?xml version="1.0" encoding="utf-8"?>
<calcChain xmlns="http://schemas.openxmlformats.org/spreadsheetml/2006/main">
  <c r="Y97" i="9" l="1"/>
  <c r="Y33" i="9"/>
  <c r="Y32" i="9" s="1"/>
  <c r="Y3" i="9" s="1"/>
  <c r="Y4" i="9"/>
  <c r="P97" i="9"/>
  <c r="P33" i="9"/>
  <c r="P32" i="9" s="1"/>
  <c r="P3" i="9" s="1"/>
  <c r="P4" i="9"/>
  <c r="Q122" i="1" l="1"/>
  <c r="Q123" i="1"/>
  <c r="AG33" i="9" l="1"/>
  <c r="AG32" i="9" s="1"/>
  <c r="AH102" i="9"/>
  <c r="AH101" i="9"/>
  <c r="AH100" i="9"/>
  <c r="AH99" i="9"/>
  <c r="AH98" i="9"/>
  <c r="AH96" i="9"/>
  <c r="AH95" i="9"/>
  <c r="AH94" i="9"/>
  <c r="AH93" i="9"/>
  <c r="AH92" i="9"/>
  <c r="AH91" i="9"/>
  <c r="AH90" i="9"/>
  <c r="AH89" i="9"/>
  <c r="AH88" i="9"/>
  <c r="AH87" i="9"/>
  <c r="AH86" i="9"/>
  <c r="AH85" i="9"/>
  <c r="AH84" i="9"/>
  <c r="AH83" i="9"/>
  <c r="AH82" i="9"/>
  <c r="AH81" i="9"/>
  <c r="AH80" i="9"/>
  <c r="AH79" i="9"/>
  <c r="AH78" i="9"/>
  <c r="AH77" i="9"/>
  <c r="AH76" i="9"/>
  <c r="AH75" i="9"/>
  <c r="AH74" i="9"/>
  <c r="AH73" i="9"/>
  <c r="AH72" i="9"/>
  <c r="AH71" i="9"/>
  <c r="AH70" i="9"/>
  <c r="AH69" i="9"/>
  <c r="AH68" i="9"/>
  <c r="AH67" i="9"/>
  <c r="AH66" i="9"/>
  <c r="AH65" i="9"/>
  <c r="AH64" i="9"/>
  <c r="AH63" i="9"/>
  <c r="AH62" i="9"/>
  <c r="AH61" i="9"/>
  <c r="AH60" i="9"/>
  <c r="AH59" i="9"/>
  <c r="AH58" i="9"/>
  <c r="AH57" i="9"/>
  <c r="AH56" i="9"/>
  <c r="AH55" i="9"/>
  <c r="AH54" i="9"/>
  <c r="AH53" i="9"/>
  <c r="AH52" i="9"/>
  <c r="AH51" i="9"/>
  <c r="AH50" i="9"/>
  <c r="AH49" i="9"/>
  <c r="AH48" i="9"/>
  <c r="AH47" i="9"/>
  <c r="AH46" i="9"/>
  <c r="AH45" i="9"/>
  <c r="AH44" i="9"/>
  <c r="AH43" i="9"/>
  <c r="AH42" i="9"/>
  <c r="AH41" i="9"/>
  <c r="AH40" i="9"/>
  <c r="AH39" i="9"/>
  <c r="AH38" i="9"/>
  <c r="AH37" i="9"/>
  <c r="AH36" i="9"/>
  <c r="AH35" i="9"/>
  <c r="AH34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5" i="9"/>
  <c r="AG4" i="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7" i="19"/>
  <c r="AA8" i="19"/>
  <c r="AA9" i="19"/>
  <c r="AA10" i="19"/>
  <c r="AA11" i="19"/>
  <c r="AA12" i="19"/>
  <c r="AA13" i="19"/>
  <c r="AA14" i="19"/>
  <c r="AA15" i="19"/>
  <c r="AA16" i="19"/>
  <c r="AA17" i="19"/>
  <c r="AA18" i="19"/>
  <c r="AA19" i="19"/>
  <c r="AA6" i="19"/>
  <c r="Z5" i="19"/>
  <c r="Z4" i="19" s="1"/>
  <c r="Z115" i="15"/>
  <c r="Z114" i="15"/>
  <c r="Z113" i="15"/>
  <c r="Z112" i="15"/>
  <c r="Z111" i="15"/>
  <c r="Z110" i="15"/>
  <c r="Z107" i="15"/>
  <c r="Z106" i="15"/>
  <c r="Z105" i="15"/>
  <c r="Z104" i="15"/>
  <c r="Z103" i="15"/>
  <c r="Z102" i="15"/>
  <c r="Z100" i="15"/>
  <c r="Z99" i="15"/>
  <c r="Z98" i="15"/>
  <c r="Z97" i="15"/>
  <c r="Z96" i="15"/>
  <c r="Z95" i="15"/>
  <c r="Z94" i="15"/>
  <c r="Z93" i="15"/>
  <c r="Z92" i="15"/>
  <c r="Z91" i="15"/>
  <c r="Z90" i="15"/>
  <c r="Z89" i="15"/>
  <c r="Z88" i="15"/>
  <c r="Z87" i="15"/>
  <c r="Z86" i="15"/>
  <c r="Z85" i="15"/>
  <c r="Z84" i="15"/>
  <c r="Z83" i="15"/>
  <c r="Z82" i="15"/>
  <c r="Z81" i="15"/>
  <c r="Z80" i="15"/>
  <c r="Z79" i="15"/>
  <c r="Z78" i="15"/>
  <c r="Z77" i="15"/>
  <c r="Z76" i="15"/>
  <c r="Z75" i="15"/>
  <c r="Z74" i="15"/>
  <c r="Z73" i="15"/>
  <c r="Z72" i="15"/>
  <c r="Z71" i="15"/>
  <c r="Z70" i="15"/>
  <c r="Z69" i="15"/>
  <c r="Z68" i="15"/>
  <c r="Z67" i="15"/>
  <c r="Z66" i="15"/>
  <c r="Z65" i="15"/>
  <c r="Z64" i="15"/>
  <c r="Z63" i="15"/>
  <c r="Z62" i="15"/>
  <c r="Z61" i="15"/>
  <c r="Z60" i="15"/>
  <c r="Z59" i="15"/>
  <c r="Z58" i="15"/>
  <c r="Z57" i="15"/>
  <c r="Z56" i="15"/>
  <c r="Z55" i="15"/>
  <c r="Z54" i="15"/>
  <c r="Z53" i="15"/>
  <c r="Z52" i="15"/>
  <c r="Z51" i="15"/>
  <c r="Z50" i="15"/>
  <c r="Z49" i="15"/>
  <c r="Z48" i="15"/>
  <c r="Z47" i="15"/>
  <c r="Z46" i="15"/>
  <c r="Z45" i="15"/>
  <c r="Z44" i="15"/>
  <c r="Z43" i="15"/>
  <c r="Z42" i="15"/>
  <c r="Z41" i="15"/>
  <c r="Z40" i="15"/>
  <c r="Z39" i="15"/>
  <c r="Z38" i="15"/>
  <c r="Z37" i="15"/>
  <c r="Z36" i="15"/>
  <c r="Z35" i="15"/>
  <c r="Z34" i="15"/>
  <c r="Z33" i="15"/>
  <c r="Z32" i="15"/>
  <c r="Z6" i="15"/>
  <c r="Z7" i="15"/>
  <c r="Z8" i="15"/>
  <c r="Z9" i="15"/>
  <c r="Z10" i="15"/>
  <c r="Z11" i="15"/>
  <c r="Z12" i="15"/>
  <c r="Z13" i="15"/>
  <c r="Z14" i="15"/>
  <c r="Z15" i="15"/>
  <c r="Z16" i="15"/>
  <c r="Z17" i="15"/>
  <c r="Z18" i="15"/>
  <c r="Z19" i="15"/>
  <c r="Z20" i="15"/>
  <c r="Z21" i="15"/>
  <c r="Z22" i="15"/>
  <c r="Z23" i="15"/>
  <c r="Z24" i="15"/>
  <c r="Z25" i="15"/>
  <c r="Z26" i="15"/>
  <c r="Z27" i="15"/>
  <c r="Z28" i="15"/>
  <c r="Z5" i="15"/>
  <c r="Y31" i="15"/>
  <c r="Y30" i="15" s="1"/>
  <c r="Y4" i="15"/>
  <c r="AG3" i="9" l="1"/>
  <c r="Y3" i="15"/>
  <c r="W51" i="17" l="1"/>
  <c r="U51" i="17"/>
  <c r="V51" i="17"/>
  <c r="AB41" i="9" l="1"/>
  <c r="AB84" i="9"/>
  <c r="AB67" i="9"/>
  <c r="AB42" i="9"/>
  <c r="AB52" i="9"/>
  <c r="AB48" i="9"/>
  <c r="AB45" i="9"/>
  <c r="AB51" i="9"/>
  <c r="AB98" i="9"/>
  <c r="P2" i="56" l="1"/>
  <c r="W18" i="19" l="1"/>
  <c r="V23" i="19"/>
  <c r="D3" i="39" l="1"/>
  <c r="E3" i="39"/>
  <c r="F3" i="39"/>
  <c r="G3" i="39"/>
  <c r="S137" i="12" l="1"/>
  <c r="S136" i="12"/>
  <c r="S135" i="12"/>
  <c r="S134" i="12"/>
  <c r="O134" i="12"/>
  <c r="S133" i="12"/>
  <c r="O133" i="12"/>
  <c r="K133" i="12"/>
  <c r="G133" i="12"/>
  <c r="S132" i="12"/>
  <c r="O132" i="12"/>
  <c r="S131" i="12"/>
  <c r="O131" i="12"/>
  <c r="S130" i="12"/>
  <c r="O130" i="12"/>
  <c r="K130" i="12"/>
  <c r="G130" i="12"/>
  <c r="S129" i="12"/>
  <c r="O129" i="12"/>
  <c r="K129" i="12"/>
  <c r="G129" i="12"/>
  <c r="S128" i="12"/>
  <c r="O128" i="12"/>
  <c r="K128" i="12"/>
  <c r="G128" i="12"/>
  <c r="S127" i="12"/>
  <c r="O127" i="12"/>
  <c r="K127" i="12"/>
  <c r="G127" i="12"/>
  <c r="S126" i="12"/>
  <c r="O126" i="12"/>
  <c r="K126" i="12"/>
  <c r="G126" i="12"/>
  <c r="S125" i="12"/>
  <c r="O125" i="12"/>
  <c r="K125" i="12"/>
  <c r="G125" i="12"/>
  <c r="S124" i="12"/>
  <c r="O124" i="12"/>
  <c r="K124" i="12"/>
  <c r="G124" i="12"/>
  <c r="S123" i="12"/>
  <c r="O123" i="12"/>
  <c r="S122" i="12"/>
  <c r="O122" i="12"/>
  <c r="K122" i="12"/>
  <c r="G122" i="12"/>
  <c r="S121" i="12"/>
  <c r="S104" i="12" s="1"/>
  <c r="O121" i="12"/>
  <c r="S120" i="12"/>
  <c r="O120" i="12"/>
  <c r="K120" i="12"/>
  <c r="G120" i="12"/>
  <c r="S119" i="12"/>
  <c r="O119" i="12"/>
  <c r="K119" i="12"/>
  <c r="G119" i="12"/>
  <c r="S118" i="12"/>
  <c r="O118" i="12"/>
  <c r="K118" i="12"/>
  <c r="G118" i="12"/>
  <c r="S117" i="12"/>
  <c r="O117" i="12"/>
  <c r="K117" i="12"/>
  <c r="G117" i="12"/>
  <c r="S116" i="12"/>
  <c r="O116" i="12"/>
  <c r="K116" i="12"/>
  <c r="G116" i="12"/>
  <c r="S115" i="12"/>
  <c r="O115" i="12"/>
  <c r="K115" i="12"/>
  <c r="G115" i="12"/>
  <c r="S114" i="12"/>
  <c r="O114" i="12"/>
  <c r="K114" i="12"/>
  <c r="G114" i="12"/>
  <c r="S113" i="12"/>
  <c r="O113" i="12"/>
  <c r="K113" i="12"/>
  <c r="K104" i="12" s="1"/>
  <c r="G113" i="12"/>
  <c r="S112" i="12"/>
  <c r="O112" i="12"/>
  <c r="K112" i="12"/>
  <c r="G112" i="12"/>
  <c r="S111" i="12"/>
  <c r="O111" i="12"/>
  <c r="K111" i="12"/>
  <c r="G111" i="12"/>
  <c r="S110" i="12"/>
  <c r="O110" i="12"/>
  <c r="K110" i="12"/>
  <c r="G110" i="12"/>
  <c r="S109" i="12"/>
  <c r="O109" i="12"/>
  <c r="K109" i="12"/>
  <c r="G109" i="12"/>
  <c r="S108" i="12"/>
  <c r="O108" i="12"/>
  <c r="K108" i="12"/>
  <c r="G108" i="12"/>
  <c r="S107" i="12"/>
  <c r="O107" i="12"/>
  <c r="K107" i="12"/>
  <c r="G107" i="12"/>
  <c r="S106" i="12"/>
  <c r="O106" i="12"/>
  <c r="K106" i="12"/>
  <c r="G106" i="12"/>
  <c r="S105" i="12"/>
  <c r="O105" i="12"/>
  <c r="K105" i="12"/>
  <c r="G105" i="12"/>
  <c r="G104" i="12" s="1"/>
  <c r="R104" i="12"/>
  <c r="Q104" i="12"/>
  <c r="O104" i="12"/>
  <c r="N104" i="12"/>
  <c r="M104" i="12"/>
  <c r="J104" i="12"/>
  <c r="I104" i="12"/>
  <c r="F104" i="12"/>
  <c r="F3" i="12" s="1"/>
  <c r="E104" i="12"/>
  <c r="S103" i="12"/>
  <c r="O103" i="12"/>
  <c r="K103" i="12"/>
  <c r="G103" i="12"/>
  <c r="S102" i="12"/>
  <c r="Q101" i="12"/>
  <c r="S101" i="12" s="1"/>
  <c r="S100" i="12"/>
  <c r="S99" i="12"/>
  <c r="S98" i="12"/>
  <c r="S97" i="12"/>
  <c r="S96" i="12"/>
  <c r="S95" i="12"/>
  <c r="O95" i="12"/>
  <c r="S94" i="12"/>
  <c r="O94" i="12"/>
  <c r="S93" i="12"/>
  <c r="O93" i="12"/>
  <c r="S92" i="12"/>
  <c r="O92" i="12"/>
  <c r="S91" i="12"/>
  <c r="O91" i="12"/>
  <c r="S90" i="12"/>
  <c r="O90" i="12"/>
  <c r="S89" i="12"/>
  <c r="O89" i="12"/>
  <c r="S88" i="12"/>
  <c r="O88" i="12"/>
  <c r="K88" i="12"/>
  <c r="S87" i="12"/>
  <c r="O87" i="12"/>
  <c r="K87" i="12"/>
  <c r="S86" i="12"/>
  <c r="O86" i="12"/>
  <c r="K86" i="12"/>
  <c r="S85" i="12"/>
  <c r="O85" i="12"/>
  <c r="K85" i="12"/>
  <c r="S84" i="12"/>
  <c r="O84" i="12"/>
  <c r="K84" i="12"/>
  <c r="S83" i="12"/>
  <c r="O83" i="12"/>
  <c r="K83" i="12"/>
  <c r="S82" i="12"/>
  <c r="O82" i="12"/>
  <c r="K82" i="12"/>
  <c r="S81" i="12"/>
  <c r="O81" i="12"/>
  <c r="K81" i="12"/>
  <c r="S80" i="12"/>
  <c r="O80" i="12"/>
  <c r="K80" i="12"/>
  <c r="G80" i="12"/>
  <c r="S79" i="12"/>
  <c r="O79" i="12"/>
  <c r="K79" i="12"/>
  <c r="G79" i="12"/>
  <c r="S78" i="12"/>
  <c r="O78" i="12"/>
  <c r="K78" i="12"/>
  <c r="G78" i="12"/>
  <c r="S77" i="12"/>
  <c r="O77" i="12"/>
  <c r="K77" i="12"/>
  <c r="G77" i="12"/>
  <c r="S76" i="12"/>
  <c r="Q76" i="12"/>
  <c r="O76" i="12"/>
  <c r="K76" i="12"/>
  <c r="G76" i="12"/>
  <c r="S75" i="12"/>
  <c r="O75" i="12"/>
  <c r="K75" i="12"/>
  <c r="G75" i="12"/>
  <c r="S74" i="12"/>
  <c r="O74" i="12"/>
  <c r="K74" i="12"/>
  <c r="G74" i="12"/>
  <c r="S73" i="12"/>
  <c r="O73" i="12"/>
  <c r="K73" i="12"/>
  <c r="G73" i="12"/>
  <c r="S72" i="12"/>
  <c r="O72" i="12"/>
  <c r="K72" i="12"/>
  <c r="G72" i="12"/>
  <c r="S71" i="12"/>
  <c r="O71" i="12"/>
  <c r="K71" i="12"/>
  <c r="G71" i="12"/>
  <c r="S70" i="12"/>
  <c r="O70" i="12"/>
  <c r="K70" i="12"/>
  <c r="G70" i="12"/>
  <c r="S69" i="12"/>
  <c r="O69" i="12"/>
  <c r="K69" i="12"/>
  <c r="G69" i="12"/>
  <c r="S68" i="12"/>
  <c r="O68" i="12"/>
  <c r="K68" i="12"/>
  <c r="G68" i="12"/>
  <c r="S67" i="12"/>
  <c r="O67" i="12"/>
  <c r="K67" i="12"/>
  <c r="G67" i="12"/>
  <c r="S66" i="12"/>
  <c r="O66" i="12"/>
  <c r="K66" i="12"/>
  <c r="G66" i="12"/>
  <c r="S65" i="12"/>
  <c r="O65" i="12"/>
  <c r="K65" i="12"/>
  <c r="G65" i="12"/>
  <c r="S64" i="12"/>
  <c r="O64" i="12"/>
  <c r="K64" i="12"/>
  <c r="G64" i="12"/>
  <c r="S63" i="12"/>
  <c r="O63" i="12"/>
  <c r="K63" i="12"/>
  <c r="G63" i="12"/>
  <c r="S62" i="12"/>
  <c r="O62" i="12"/>
  <c r="K62" i="12"/>
  <c r="G62" i="12"/>
  <c r="S61" i="12"/>
  <c r="O61" i="12"/>
  <c r="K61" i="12"/>
  <c r="G61" i="12"/>
  <c r="S60" i="12"/>
  <c r="O60" i="12"/>
  <c r="K60" i="12"/>
  <c r="G60" i="12"/>
  <c r="S59" i="12"/>
  <c r="O59" i="12"/>
  <c r="K59" i="12"/>
  <c r="S58" i="12"/>
  <c r="O58" i="12"/>
  <c r="K58" i="12"/>
  <c r="G58" i="12"/>
  <c r="S57" i="12"/>
  <c r="O57" i="12"/>
  <c r="K57" i="12"/>
  <c r="G57" i="12"/>
  <c r="S56" i="12"/>
  <c r="O56" i="12"/>
  <c r="K56" i="12"/>
  <c r="G56" i="12"/>
  <c r="S55" i="12"/>
  <c r="O55" i="12"/>
  <c r="K55" i="12"/>
  <c r="G55" i="12"/>
  <c r="S54" i="12"/>
  <c r="O54" i="12"/>
  <c r="K54" i="12"/>
  <c r="G54" i="12"/>
  <c r="S53" i="12"/>
  <c r="O53" i="12"/>
  <c r="K53" i="12"/>
  <c r="G53" i="12"/>
  <c r="S52" i="12"/>
  <c r="O52" i="12"/>
  <c r="K52" i="12"/>
  <c r="G52" i="12"/>
  <c r="S51" i="12"/>
  <c r="O51" i="12"/>
  <c r="K51" i="12"/>
  <c r="G51" i="12"/>
  <c r="S50" i="12"/>
  <c r="O50" i="12"/>
  <c r="K50" i="12"/>
  <c r="G50" i="12"/>
  <c r="S49" i="12"/>
  <c r="O49" i="12"/>
  <c r="S48" i="12"/>
  <c r="O48" i="12"/>
  <c r="K48" i="12"/>
  <c r="G48" i="12"/>
  <c r="S47" i="12"/>
  <c r="O47" i="12"/>
  <c r="K47" i="12"/>
  <c r="G47" i="12"/>
  <c r="S46" i="12"/>
  <c r="O46" i="12"/>
  <c r="S45" i="12"/>
  <c r="K45" i="12"/>
  <c r="G45" i="12"/>
  <c r="S44" i="12"/>
  <c r="O44" i="12"/>
  <c r="K44" i="12"/>
  <c r="G44" i="12"/>
  <c r="S43" i="12"/>
  <c r="O43" i="12"/>
  <c r="K43" i="12"/>
  <c r="G43" i="12"/>
  <c r="S42" i="12"/>
  <c r="O42" i="12"/>
  <c r="K42" i="12"/>
  <c r="G42" i="12"/>
  <c r="S41" i="12"/>
  <c r="O41" i="12"/>
  <c r="K41" i="12"/>
  <c r="G41" i="12"/>
  <c r="S40" i="12"/>
  <c r="O40" i="12"/>
  <c r="K40" i="12"/>
  <c r="G40" i="12"/>
  <c r="S39" i="12"/>
  <c r="O39" i="12"/>
  <c r="K39" i="12"/>
  <c r="G39" i="12"/>
  <c r="S38" i="12"/>
  <c r="O38" i="12"/>
  <c r="K38" i="12"/>
  <c r="G38" i="12"/>
  <c r="S37" i="12"/>
  <c r="O37" i="12"/>
  <c r="S36" i="12"/>
  <c r="O36" i="12"/>
  <c r="K36" i="12"/>
  <c r="G36" i="12"/>
  <c r="S35" i="12"/>
  <c r="O35" i="12"/>
  <c r="K35" i="12"/>
  <c r="G35" i="12"/>
  <c r="S34" i="12"/>
  <c r="O34" i="12"/>
  <c r="S33" i="12"/>
  <c r="O33" i="12"/>
  <c r="K33" i="12"/>
  <c r="G33" i="12"/>
  <c r="S32" i="12"/>
  <c r="O32" i="12"/>
  <c r="K32" i="12"/>
  <c r="G32" i="12"/>
  <c r="G31" i="12"/>
  <c r="S30" i="12"/>
  <c r="O30" i="12"/>
  <c r="K30" i="12"/>
  <c r="G30" i="12"/>
  <c r="S29" i="12"/>
  <c r="O29" i="12"/>
  <c r="K29" i="12"/>
  <c r="G29" i="12"/>
  <c r="G28" i="12"/>
  <c r="S27" i="12"/>
  <c r="O27" i="12"/>
  <c r="K27" i="12"/>
  <c r="S26" i="12"/>
  <c r="O26" i="12"/>
  <c r="K26" i="12"/>
  <c r="G26" i="12"/>
  <c r="S25" i="12"/>
  <c r="S24" i="12"/>
  <c r="O24" i="12"/>
  <c r="K24" i="12"/>
  <c r="S23" i="12"/>
  <c r="O23" i="12"/>
  <c r="K23" i="12"/>
  <c r="G23" i="12"/>
  <c r="S22" i="12"/>
  <c r="O22" i="12"/>
  <c r="K22" i="12"/>
  <c r="G22" i="12"/>
  <c r="S21" i="12"/>
  <c r="O21" i="12"/>
  <c r="K21" i="12"/>
  <c r="G21" i="12"/>
  <c r="S20" i="12"/>
  <c r="O20" i="12"/>
  <c r="K20" i="12"/>
  <c r="G20" i="12"/>
  <c r="S19" i="12"/>
  <c r="O19" i="12"/>
  <c r="K19" i="12"/>
  <c r="G19" i="12"/>
  <c r="G18" i="12"/>
  <c r="S17" i="12"/>
  <c r="O17" i="12"/>
  <c r="K17" i="12"/>
  <c r="G17" i="12"/>
  <c r="S16" i="12"/>
  <c r="O16" i="12"/>
  <c r="K16" i="12"/>
  <c r="G16" i="12"/>
  <c r="S15" i="12"/>
  <c r="O15" i="12"/>
  <c r="K15" i="12"/>
  <c r="G15" i="12"/>
  <c r="S14" i="12"/>
  <c r="O14" i="12"/>
  <c r="K14" i="12"/>
  <c r="G14" i="12"/>
  <c r="S13" i="12"/>
  <c r="O13" i="12"/>
  <c r="K13" i="12"/>
  <c r="G13" i="12"/>
  <c r="S12" i="12"/>
  <c r="O12" i="12"/>
  <c r="K12" i="12"/>
  <c r="G12" i="12"/>
  <c r="S11" i="12"/>
  <c r="O11" i="12"/>
  <c r="K11" i="12"/>
  <c r="G11" i="12"/>
  <c r="S10" i="12"/>
  <c r="O10" i="12"/>
  <c r="K10" i="12"/>
  <c r="G10" i="12"/>
  <c r="S9" i="12"/>
  <c r="O9" i="12"/>
  <c r="K9" i="12"/>
  <c r="G9" i="12"/>
  <c r="S8" i="12"/>
  <c r="O8" i="12"/>
  <c r="K8" i="12"/>
  <c r="G8" i="12"/>
  <c r="S7" i="12"/>
  <c r="O7" i="12"/>
  <c r="K7" i="12"/>
  <c r="G7" i="12"/>
  <c r="E7" i="12"/>
  <c r="S6" i="12"/>
  <c r="O6" i="12"/>
  <c r="K6" i="12"/>
  <c r="K4" i="12" s="1"/>
  <c r="K3" i="12" s="1"/>
  <c r="S5" i="12"/>
  <c r="O5" i="12"/>
  <c r="K5" i="12"/>
  <c r="G5" i="12"/>
  <c r="G4" i="12" s="1"/>
  <c r="G3" i="12" s="1"/>
  <c r="R4" i="12"/>
  <c r="O4" i="12"/>
  <c r="O3" i="12" s="1"/>
  <c r="N4" i="12"/>
  <c r="M4" i="12"/>
  <c r="J4" i="12"/>
  <c r="I4" i="12"/>
  <c r="F4" i="12"/>
  <c r="E4" i="12"/>
  <c r="R3" i="12"/>
  <c r="N3" i="12"/>
  <c r="M3" i="12"/>
  <c r="J3" i="12"/>
  <c r="I3" i="12"/>
  <c r="E3" i="12"/>
  <c r="S4" i="12" l="1"/>
  <c r="S3" i="12" s="1"/>
  <c r="Q4" i="12"/>
  <c r="Q3" i="12" s="1"/>
  <c r="G4" i="61" l="1"/>
  <c r="O246" i="56" l="1"/>
  <c r="O223" i="56"/>
  <c r="O201" i="56"/>
  <c r="O162" i="56"/>
  <c r="O160" i="56"/>
  <c r="O126" i="56"/>
  <c r="O124" i="56"/>
  <c r="O114" i="56"/>
  <c r="O112" i="56"/>
  <c r="O20" i="56"/>
  <c r="O9" i="56"/>
  <c r="Q255" i="56"/>
  <c r="O2" i="56" l="1"/>
  <c r="K22" i="51"/>
  <c r="K18" i="51"/>
  <c r="K17" i="51"/>
  <c r="K13" i="51"/>
  <c r="K5" i="51"/>
  <c r="K38" i="51"/>
  <c r="K35" i="51"/>
  <c r="K34" i="51"/>
  <c r="K31" i="51"/>
  <c r="K30" i="51"/>
  <c r="K29" i="51"/>
  <c r="K27" i="51"/>
  <c r="K25" i="51"/>
  <c r="H21" i="42" l="1"/>
  <c r="T91" i="53"/>
  <c r="T82" i="53"/>
  <c r="W73" i="53"/>
  <c r="R73" i="53"/>
  <c r="M73" i="53"/>
  <c r="H73" i="53"/>
  <c r="W95" i="53"/>
  <c r="W94" i="53"/>
  <c r="W93" i="53"/>
  <c r="R93" i="53"/>
  <c r="M93" i="53"/>
  <c r="H93" i="53"/>
  <c r="W92" i="53"/>
  <c r="R92" i="53"/>
  <c r="M92" i="53"/>
  <c r="H92" i="53"/>
  <c r="W91" i="53"/>
  <c r="R91" i="53"/>
  <c r="M91" i="53"/>
  <c r="H91" i="53"/>
  <c r="W89" i="53"/>
  <c r="W90" i="53"/>
  <c r="H90" i="53"/>
  <c r="W88" i="53"/>
  <c r="W87" i="53"/>
  <c r="V26" i="19"/>
  <c r="V35" i="19"/>
  <c r="P96" i="23"/>
  <c r="Q94" i="23"/>
  <c r="R100" i="23"/>
  <c r="R99" i="23"/>
  <c r="P97" i="23"/>
  <c r="P98" i="23"/>
  <c r="P95" i="23"/>
  <c r="P17" i="23"/>
  <c r="P28" i="23"/>
  <c r="P35" i="23"/>
  <c r="R66" i="23"/>
  <c r="P57" i="23"/>
  <c r="P21" i="23"/>
  <c r="P51" i="23"/>
  <c r="P8" i="23"/>
  <c r="R65" i="23"/>
  <c r="P94" i="23" l="1"/>
  <c r="T18" i="19"/>
  <c r="N18" i="19"/>
  <c r="AB72" i="9"/>
  <c r="AB35" i="9"/>
  <c r="T17" i="25"/>
  <c r="T11" i="25"/>
  <c r="T9" i="25"/>
  <c r="T12" i="25"/>
  <c r="T10" i="25"/>
  <c r="W34" i="25"/>
  <c r="W33" i="25"/>
  <c r="T13" i="25"/>
  <c r="T28" i="25"/>
  <c r="T7" i="25"/>
  <c r="T8" i="25"/>
  <c r="T5" i="25"/>
  <c r="T6" i="25"/>
  <c r="U59" i="15"/>
  <c r="U83" i="15"/>
  <c r="U65" i="15"/>
  <c r="U75" i="15"/>
  <c r="U44" i="15"/>
  <c r="U43" i="15"/>
  <c r="U36" i="15"/>
  <c r="U34" i="15"/>
  <c r="U53" i="15"/>
  <c r="U77" i="15"/>
  <c r="U66" i="15"/>
  <c r="U102" i="15"/>
  <c r="V27" i="15"/>
  <c r="S27" i="15"/>
  <c r="M27" i="15"/>
  <c r="Z30" i="9"/>
  <c r="R30" i="9"/>
  <c r="W52" i="19" l="1"/>
  <c r="X52" i="19"/>
  <c r="X20" i="19" s="1"/>
  <c r="Y52" i="19"/>
  <c r="Y20" i="19" s="1"/>
  <c r="V52" i="19"/>
  <c r="V20" i="19" s="1"/>
  <c r="AA52" i="19"/>
  <c r="U109" i="15"/>
  <c r="S106" i="1"/>
  <c r="Q49" i="1"/>
  <c r="Q90" i="1"/>
  <c r="S105" i="1"/>
  <c r="Q129" i="1"/>
  <c r="Q112" i="1"/>
  <c r="Q109" i="1"/>
  <c r="Q130" i="1"/>
  <c r="Q128" i="1"/>
  <c r="S104" i="1"/>
  <c r="Q82" i="1"/>
  <c r="Z109" i="15" l="1"/>
  <c r="Q14" i="1"/>
  <c r="Q16" i="1"/>
  <c r="Q25" i="1"/>
  <c r="Q22" i="1"/>
  <c r="Q66" i="1"/>
  <c r="Q83" i="1"/>
  <c r="S103" i="1"/>
  <c r="Q76" i="1"/>
  <c r="Q125" i="1"/>
  <c r="Q113" i="1"/>
  <c r="Q115" i="1"/>
  <c r="Q111" i="1"/>
  <c r="S102" i="1"/>
  <c r="S101" i="1"/>
  <c r="S100" i="1"/>
  <c r="Q42" i="1"/>
  <c r="Q37" i="1"/>
  <c r="Q45" i="1"/>
  <c r="Q9" i="1"/>
  <c r="Q53" i="1"/>
  <c r="Q48" i="1"/>
  <c r="Q86" i="1"/>
  <c r="S99" i="1"/>
  <c r="S98" i="1"/>
  <c r="Q97" i="1"/>
  <c r="T78" i="21" l="1"/>
  <c r="S26" i="21"/>
  <c r="S38" i="21"/>
  <c r="V76" i="21"/>
  <c r="V75" i="21"/>
  <c r="S84" i="21"/>
  <c r="V97" i="21"/>
  <c r="S13" i="21"/>
  <c r="S7" i="21"/>
  <c r="S67" i="21"/>
  <c r="S15" i="21"/>
  <c r="S23" i="21"/>
  <c r="V96" i="21"/>
  <c r="V95" i="21"/>
  <c r="U82" i="21"/>
  <c r="S82" i="21"/>
  <c r="S81" i="21"/>
  <c r="S54" i="21"/>
  <c r="V74" i="21"/>
  <c r="S19" i="21"/>
  <c r="V73" i="21"/>
  <c r="S25" i="21"/>
  <c r="S77" i="21"/>
  <c r="S32" i="21"/>
  <c r="S69" i="21"/>
  <c r="V72" i="21"/>
  <c r="S42" i="21"/>
  <c r="U23" i="21" l="1"/>
  <c r="U17" i="21"/>
  <c r="AD49" i="9"/>
  <c r="U81" i="21"/>
  <c r="R11" i="1"/>
  <c r="P17" i="21"/>
  <c r="P23" i="21"/>
  <c r="R24" i="1"/>
  <c r="R23" i="1"/>
  <c r="R8" i="1"/>
  <c r="R62" i="1"/>
  <c r="AD14" i="9"/>
  <c r="X14" i="19"/>
  <c r="R38" i="1"/>
  <c r="R81" i="1"/>
  <c r="AD72" i="9"/>
  <c r="U41" i="53" l="1"/>
  <c r="U40" i="53"/>
  <c r="W35" i="19"/>
  <c r="W25" i="19"/>
  <c r="W20" i="19" s="1"/>
  <c r="V58" i="15"/>
  <c r="V77" i="15"/>
  <c r="W49" i="17"/>
  <c r="L6" i="48"/>
  <c r="T43" i="53"/>
  <c r="T42" i="53"/>
  <c r="T41" i="53"/>
  <c r="T40" i="53"/>
  <c r="L4" i="52" l="1"/>
  <c r="G13" i="61"/>
  <c r="G11" i="61"/>
  <c r="G3" i="61" s="1"/>
  <c r="Q254" i="56"/>
  <c r="Q253" i="56"/>
  <c r="Q252" i="56"/>
  <c r="Q251" i="56"/>
  <c r="Q250" i="56"/>
  <c r="Q249" i="56"/>
  <c r="Q248" i="56"/>
  <c r="Q247" i="56"/>
  <c r="Q246" i="56"/>
  <c r="Q245" i="56"/>
  <c r="Q244" i="56"/>
  <c r="Q243" i="56"/>
  <c r="Q242" i="56"/>
  <c r="Q241" i="56"/>
  <c r="Q240" i="56"/>
  <c r="Q239" i="56"/>
  <c r="Q238" i="56"/>
  <c r="Q237" i="56"/>
  <c r="Q236" i="56"/>
  <c r="Q235" i="56"/>
  <c r="Q234" i="56"/>
  <c r="Q233" i="56"/>
  <c r="Q232" i="56"/>
  <c r="Q231" i="56"/>
  <c r="Q230" i="56"/>
  <c r="Q229" i="56"/>
  <c r="Q228" i="56"/>
  <c r="Q227" i="56"/>
  <c r="Q226" i="56"/>
  <c r="Q225" i="56"/>
  <c r="Q224" i="56"/>
  <c r="Q223" i="56"/>
  <c r="Q222" i="56"/>
  <c r="Q221" i="56"/>
  <c r="Q220" i="56"/>
  <c r="Q219" i="56"/>
  <c r="Q218" i="56"/>
  <c r="Q217" i="56"/>
  <c r="Q216" i="56"/>
  <c r="Q215" i="56"/>
  <c r="Q214" i="56"/>
  <c r="Q213" i="56"/>
  <c r="Q212" i="56"/>
  <c r="Q211" i="56"/>
  <c r="Q210" i="56"/>
  <c r="Q209" i="56"/>
  <c r="Q208" i="56"/>
  <c r="Q207" i="56"/>
  <c r="Q206" i="56"/>
  <c r="Q205" i="56"/>
  <c r="Q204" i="56"/>
  <c r="Q203" i="56"/>
  <c r="Q202" i="56"/>
  <c r="Q201" i="56"/>
  <c r="Q200" i="56"/>
  <c r="Q199" i="56"/>
  <c r="Q198" i="56"/>
  <c r="Q197" i="56"/>
  <c r="Q196" i="56"/>
  <c r="Q195" i="56"/>
  <c r="Q194" i="56"/>
  <c r="Q193" i="56"/>
  <c r="Q192" i="56"/>
  <c r="Q191" i="56"/>
  <c r="Q190" i="56"/>
  <c r="Q189" i="56"/>
  <c r="Q188" i="56"/>
  <c r="Q187" i="56"/>
  <c r="Q186" i="56"/>
  <c r="Q185" i="56"/>
  <c r="Q184" i="56"/>
  <c r="Q183" i="56"/>
  <c r="Q182" i="56"/>
  <c r="Q181" i="56"/>
  <c r="Q180" i="56"/>
  <c r="Q179" i="56"/>
  <c r="Q178" i="56"/>
  <c r="Q177" i="56"/>
  <c r="Q176" i="56"/>
  <c r="Q175" i="56"/>
  <c r="Q174" i="56"/>
  <c r="Q173" i="56"/>
  <c r="Q172" i="56"/>
  <c r="Q171" i="56"/>
  <c r="Q170" i="56"/>
  <c r="Q169" i="56"/>
  <c r="Q168" i="56"/>
  <c r="Q167" i="56"/>
  <c r="Q166" i="56"/>
  <c r="Q165" i="56"/>
  <c r="Q164" i="56"/>
  <c r="Q163" i="56"/>
  <c r="Q162" i="56"/>
  <c r="Q161" i="56"/>
  <c r="Q160" i="56"/>
  <c r="Q159" i="56"/>
  <c r="Q158" i="56"/>
  <c r="Q157" i="56"/>
  <c r="Q156" i="56"/>
  <c r="Q155" i="56"/>
  <c r="Q154" i="56"/>
  <c r="Q153" i="56"/>
  <c r="Q152" i="56"/>
  <c r="Q151" i="56"/>
  <c r="Q150" i="56"/>
  <c r="Q149" i="56"/>
  <c r="Q148" i="56"/>
  <c r="Q147" i="56"/>
  <c r="Q146" i="56"/>
  <c r="Q145" i="56"/>
  <c r="Q144" i="56"/>
  <c r="Q143" i="56"/>
  <c r="Q142" i="56"/>
  <c r="Q141" i="56"/>
  <c r="Q140" i="56"/>
  <c r="Q139" i="56"/>
  <c r="Q138" i="56"/>
  <c r="Q137" i="56"/>
  <c r="Q136" i="56"/>
  <c r="Q135" i="56"/>
  <c r="Q134" i="56"/>
  <c r="Q133" i="56"/>
  <c r="Q132" i="56"/>
  <c r="Q131" i="56"/>
  <c r="Q130" i="56"/>
  <c r="Q129" i="56"/>
  <c r="Q128" i="56"/>
  <c r="Q127" i="56"/>
  <c r="Q126" i="56"/>
  <c r="Q125" i="56"/>
  <c r="Q124" i="56"/>
  <c r="Q123" i="56"/>
  <c r="Q122" i="56"/>
  <c r="Q121" i="56"/>
  <c r="Q120" i="56"/>
  <c r="Q119" i="56"/>
  <c r="Q118" i="56"/>
  <c r="Q117" i="56"/>
  <c r="Q116" i="56"/>
  <c r="Q115" i="56"/>
  <c r="Q114" i="56"/>
  <c r="Q113" i="56"/>
  <c r="Q112" i="56"/>
  <c r="Q111" i="56"/>
  <c r="Q110" i="56"/>
  <c r="Q109" i="56"/>
  <c r="Q108" i="56"/>
  <c r="Q107" i="56"/>
  <c r="Q106" i="56"/>
  <c r="Q105" i="56"/>
  <c r="Q104" i="56"/>
  <c r="Q103" i="56"/>
  <c r="Q102" i="56"/>
  <c r="Q101" i="56"/>
  <c r="Q100" i="56"/>
  <c r="Q99" i="56"/>
  <c r="Q98" i="56"/>
  <c r="Q97" i="56"/>
  <c r="Q96" i="56"/>
  <c r="Q95" i="56"/>
  <c r="Q94" i="56"/>
  <c r="Q93" i="56"/>
  <c r="Q92" i="56"/>
  <c r="Q91" i="56"/>
  <c r="Q90" i="56"/>
  <c r="Q89" i="56"/>
  <c r="Q88" i="56"/>
  <c r="Q87" i="56"/>
  <c r="Q86" i="56"/>
  <c r="Q85" i="56"/>
  <c r="Q84" i="56"/>
  <c r="Q83" i="56"/>
  <c r="Q82" i="56"/>
  <c r="Q81" i="56"/>
  <c r="Q80" i="56"/>
  <c r="Q79" i="56"/>
  <c r="Q78" i="56"/>
  <c r="Q77" i="56"/>
  <c r="Q76" i="56"/>
  <c r="Q75" i="56"/>
  <c r="Q74" i="56"/>
  <c r="Q73" i="56"/>
  <c r="Q72" i="56"/>
  <c r="Q71" i="56"/>
  <c r="Q70" i="56"/>
  <c r="Q69" i="56"/>
  <c r="Q68" i="56"/>
  <c r="Q67" i="56"/>
  <c r="Q66" i="56"/>
  <c r="Q65" i="56"/>
  <c r="Q64" i="56"/>
  <c r="Q63" i="56"/>
  <c r="Q62" i="56"/>
  <c r="Q61" i="56"/>
  <c r="Q60" i="56"/>
  <c r="Q59" i="56"/>
  <c r="Q58" i="56"/>
  <c r="Q57" i="56"/>
  <c r="Q56" i="56"/>
  <c r="Q55" i="56"/>
  <c r="Q54" i="56"/>
  <c r="Q53" i="56"/>
  <c r="Q52" i="56"/>
  <c r="Q51" i="56"/>
  <c r="Q50" i="56"/>
  <c r="Q49" i="56"/>
  <c r="Q48" i="56"/>
  <c r="Q47" i="56"/>
  <c r="Q46" i="56"/>
  <c r="Q45" i="56"/>
  <c r="Q44" i="56"/>
  <c r="Q43" i="56"/>
  <c r="Q42" i="56"/>
  <c r="Q41" i="56"/>
  <c r="Q40" i="56"/>
  <c r="Q39" i="56"/>
  <c r="Q38" i="56"/>
  <c r="Q37" i="56"/>
  <c r="Q36" i="56"/>
  <c r="Q35" i="56"/>
  <c r="Q34" i="56"/>
  <c r="Q33" i="56"/>
  <c r="Q32" i="56"/>
  <c r="Q31" i="56"/>
  <c r="Q30" i="56"/>
  <c r="Q29" i="56"/>
  <c r="Q28" i="56"/>
  <c r="Q27" i="56"/>
  <c r="Q26" i="56"/>
  <c r="Q25" i="56"/>
  <c r="Q24" i="56"/>
  <c r="Q23" i="56"/>
  <c r="Q22" i="56"/>
  <c r="Q21" i="56"/>
  <c r="Q20" i="56"/>
  <c r="Q19" i="56"/>
  <c r="Q18" i="56"/>
  <c r="Q17" i="56"/>
  <c r="Q16" i="56"/>
  <c r="Q15" i="56"/>
  <c r="Q14" i="56"/>
  <c r="Q13" i="56"/>
  <c r="Q12" i="56"/>
  <c r="Q11" i="56"/>
  <c r="Q10" i="56"/>
  <c r="Q9" i="56"/>
  <c r="Q8" i="56"/>
  <c r="Q7" i="56"/>
  <c r="Q6" i="56"/>
  <c r="Q5" i="56"/>
  <c r="Q4" i="56"/>
  <c r="Q3" i="56"/>
  <c r="K24" i="51"/>
  <c r="K4" i="51"/>
  <c r="L3" i="52"/>
  <c r="K3" i="7"/>
  <c r="W96" i="53"/>
  <c r="W86" i="53"/>
  <c r="W85" i="53"/>
  <c r="W84" i="53"/>
  <c r="W83" i="53"/>
  <c r="T70" i="53"/>
  <c r="W81" i="53"/>
  <c r="W80" i="53"/>
  <c r="W79" i="53"/>
  <c r="W78" i="53"/>
  <c r="W77" i="53"/>
  <c r="W76" i="53"/>
  <c r="W75" i="53"/>
  <c r="W74" i="53"/>
  <c r="W72" i="53"/>
  <c r="W71" i="53"/>
  <c r="V70" i="53"/>
  <c r="U70" i="53"/>
  <c r="W68" i="53"/>
  <c r="W67" i="53"/>
  <c r="W65" i="53"/>
  <c r="W64" i="53"/>
  <c r="W63" i="53"/>
  <c r="W62" i="53"/>
  <c r="W61" i="53"/>
  <c r="W60" i="53"/>
  <c r="W59" i="53"/>
  <c r="W58" i="53"/>
  <c r="W57" i="53"/>
  <c r="W56" i="53"/>
  <c r="W54" i="53"/>
  <c r="V52" i="53"/>
  <c r="U52" i="53"/>
  <c r="T52" i="53"/>
  <c r="W50" i="53"/>
  <c r="W49" i="53"/>
  <c r="W48" i="53"/>
  <c r="W47" i="53"/>
  <c r="W46" i="53"/>
  <c r="W45" i="53"/>
  <c r="W43" i="53"/>
  <c r="W42" i="53"/>
  <c r="W41" i="53"/>
  <c r="W40" i="53"/>
  <c r="W38" i="53"/>
  <c r="W37" i="53"/>
  <c r="W36" i="53"/>
  <c r="W35" i="53"/>
  <c r="W33" i="53"/>
  <c r="W32" i="53"/>
  <c r="W31" i="53"/>
  <c r="W30" i="53"/>
  <c r="W29" i="53"/>
  <c r="W28" i="53"/>
  <c r="W27" i="53"/>
  <c r="W26" i="53"/>
  <c r="W25" i="53"/>
  <c r="W24" i="53"/>
  <c r="W23" i="53"/>
  <c r="W22" i="53"/>
  <c r="W21" i="53"/>
  <c r="W20" i="53"/>
  <c r="W18" i="53"/>
  <c r="W17" i="53"/>
  <c r="W16" i="53"/>
  <c r="W15" i="53"/>
  <c r="W14" i="53"/>
  <c r="W13" i="53"/>
  <c r="W12" i="53"/>
  <c r="W11" i="53"/>
  <c r="W10" i="53"/>
  <c r="W9" i="53"/>
  <c r="W8" i="53"/>
  <c r="T5" i="53"/>
  <c r="W7" i="53"/>
  <c r="V5" i="53"/>
  <c r="V4" i="53" s="1"/>
  <c r="U5" i="53"/>
  <c r="J3" i="32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R108" i="1"/>
  <c r="Q108" i="1"/>
  <c r="S107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R4" i="1"/>
  <c r="R3" i="1" s="1"/>
  <c r="Q4" i="1"/>
  <c r="Q3" i="1" s="1"/>
  <c r="M3" i="47"/>
  <c r="J121" i="27"/>
  <c r="J4" i="27"/>
  <c r="W35" i="25"/>
  <c r="W32" i="25"/>
  <c r="W31" i="25"/>
  <c r="W30" i="25"/>
  <c r="W29" i="25"/>
  <c r="W28" i="25"/>
  <c r="W27" i="25"/>
  <c r="W26" i="25"/>
  <c r="W25" i="25"/>
  <c r="W24" i="25"/>
  <c r="W23" i="25"/>
  <c r="W22" i="25"/>
  <c r="W21" i="25"/>
  <c r="W20" i="25"/>
  <c r="W19" i="25"/>
  <c r="W18" i="25"/>
  <c r="W17" i="25"/>
  <c r="W16" i="25"/>
  <c r="W15" i="25"/>
  <c r="W14" i="25"/>
  <c r="W13" i="25"/>
  <c r="W12" i="25"/>
  <c r="W11" i="25"/>
  <c r="W10" i="25"/>
  <c r="W9" i="25"/>
  <c r="W8" i="25"/>
  <c r="W7" i="25"/>
  <c r="W6" i="25"/>
  <c r="W5" i="25"/>
  <c r="W4" i="25"/>
  <c r="V3" i="25"/>
  <c r="U3" i="25"/>
  <c r="T3" i="25"/>
  <c r="V98" i="21"/>
  <c r="V94" i="21"/>
  <c r="V93" i="21"/>
  <c r="V92" i="21"/>
  <c r="V91" i="21"/>
  <c r="V90" i="21"/>
  <c r="V89" i="21"/>
  <c r="V88" i="21"/>
  <c r="V87" i="21"/>
  <c r="V86" i="21"/>
  <c r="V85" i="21"/>
  <c r="V84" i="21"/>
  <c r="V83" i="21"/>
  <c r="V82" i="21"/>
  <c r="V81" i="21"/>
  <c r="V80" i="21"/>
  <c r="V79" i="21"/>
  <c r="U78" i="21"/>
  <c r="S78" i="21"/>
  <c r="V77" i="21"/>
  <c r="V71" i="21"/>
  <c r="V70" i="21"/>
  <c r="V69" i="21"/>
  <c r="V68" i="21"/>
  <c r="V67" i="21"/>
  <c r="V66" i="21"/>
  <c r="V65" i="21"/>
  <c r="V64" i="21"/>
  <c r="V63" i="21"/>
  <c r="V62" i="21"/>
  <c r="V61" i="21"/>
  <c r="V60" i="21"/>
  <c r="V59" i="21"/>
  <c r="V58" i="21"/>
  <c r="V57" i="21"/>
  <c r="V56" i="21"/>
  <c r="V55" i="21"/>
  <c r="V54" i="21"/>
  <c r="V53" i="21"/>
  <c r="V52" i="21"/>
  <c r="V51" i="21"/>
  <c r="V50" i="21"/>
  <c r="V49" i="21"/>
  <c r="V48" i="21"/>
  <c r="V47" i="21"/>
  <c r="V46" i="21"/>
  <c r="V45" i="21"/>
  <c r="V44" i="21"/>
  <c r="V43" i="21"/>
  <c r="V42" i="21"/>
  <c r="V41" i="21"/>
  <c r="V40" i="21"/>
  <c r="V39" i="21"/>
  <c r="V38" i="21"/>
  <c r="V37" i="21"/>
  <c r="V36" i="21"/>
  <c r="V35" i="21"/>
  <c r="V34" i="21"/>
  <c r="V33" i="21"/>
  <c r="V32" i="21"/>
  <c r="V31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U4" i="21"/>
  <c r="T4" i="21"/>
  <c r="S4" i="21"/>
  <c r="R98" i="23"/>
  <c r="R97" i="23"/>
  <c r="R96" i="23"/>
  <c r="R95" i="23"/>
  <c r="R92" i="23"/>
  <c r="R91" i="23"/>
  <c r="Q90" i="23"/>
  <c r="P90" i="23"/>
  <c r="R88" i="23"/>
  <c r="R87" i="23"/>
  <c r="R86" i="23"/>
  <c r="R85" i="23"/>
  <c r="R84" i="23"/>
  <c r="R83" i="23"/>
  <c r="R82" i="23"/>
  <c r="R81" i="23"/>
  <c r="R80" i="23"/>
  <c r="R79" i="23"/>
  <c r="R78" i="23"/>
  <c r="R77" i="23"/>
  <c r="R76" i="23"/>
  <c r="R75" i="23"/>
  <c r="R74" i="23"/>
  <c r="R73" i="23"/>
  <c r="R72" i="23"/>
  <c r="R71" i="23"/>
  <c r="R70" i="23"/>
  <c r="R69" i="23"/>
  <c r="Q68" i="23"/>
  <c r="P68" i="23"/>
  <c r="R67" i="23"/>
  <c r="R64" i="23"/>
  <c r="R63" i="23"/>
  <c r="R62" i="23"/>
  <c r="R61" i="23"/>
  <c r="R60" i="23"/>
  <c r="R59" i="23"/>
  <c r="R58" i="23"/>
  <c r="R57" i="23"/>
  <c r="R56" i="23"/>
  <c r="R55" i="23"/>
  <c r="R54" i="23"/>
  <c r="R53" i="23"/>
  <c r="R52" i="23"/>
  <c r="R51" i="23"/>
  <c r="R50" i="23"/>
  <c r="R49" i="23"/>
  <c r="R48" i="23"/>
  <c r="R47" i="23"/>
  <c r="R46" i="23"/>
  <c r="R45" i="23"/>
  <c r="R44" i="23"/>
  <c r="R43" i="23"/>
  <c r="R42" i="23"/>
  <c r="R41" i="23"/>
  <c r="R40" i="23"/>
  <c r="R39" i="23"/>
  <c r="R38" i="23"/>
  <c r="R37" i="23"/>
  <c r="R36" i="23"/>
  <c r="R35" i="23"/>
  <c r="R34" i="23"/>
  <c r="R33" i="23"/>
  <c r="R32" i="23"/>
  <c r="R31" i="23"/>
  <c r="R30" i="23"/>
  <c r="R29" i="23"/>
  <c r="R28" i="23"/>
  <c r="R27" i="23"/>
  <c r="R26" i="23"/>
  <c r="R25" i="23"/>
  <c r="R24" i="23"/>
  <c r="R23" i="23"/>
  <c r="R22" i="23"/>
  <c r="R21" i="23"/>
  <c r="R20" i="23"/>
  <c r="R19" i="23"/>
  <c r="R18" i="23"/>
  <c r="R17" i="23"/>
  <c r="R16" i="23"/>
  <c r="R15" i="23"/>
  <c r="R14" i="23"/>
  <c r="R13" i="23"/>
  <c r="R12" i="23"/>
  <c r="R11" i="23"/>
  <c r="R10" i="23"/>
  <c r="R9" i="23"/>
  <c r="R8" i="23"/>
  <c r="R7" i="23"/>
  <c r="R6" i="23"/>
  <c r="Q5" i="23"/>
  <c r="P5" i="23"/>
  <c r="G5" i="13"/>
  <c r="G3" i="13"/>
  <c r="Y5" i="19"/>
  <c r="Y4" i="19" s="1"/>
  <c r="X5" i="19"/>
  <c r="X4" i="19" s="1"/>
  <c r="W5" i="19"/>
  <c r="W4" i="19" s="1"/>
  <c r="V5" i="19"/>
  <c r="V4" i="19" s="1"/>
  <c r="W58" i="17"/>
  <c r="W57" i="17"/>
  <c r="W56" i="17"/>
  <c r="W55" i="17"/>
  <c r="W54" i="17"/>
  <c r="W53" i="17"/>
  <c r="W52" i="17"/>
  <c r="T51" i="17"/>
  <c r="W50" i="17"/>
  <c r="W48" i="17"/>
  <c r="W47" i="17"/>
  <c r="W46" i="17"/>
  <c r="W45" i="17"/>
  <c r="W44" i="17"/>
  <c r="W43" i="17"/>
  <c r="W42" i="17"/>
  <c r="W41" i="17"/>
  <c r="W40" i="17"/>
  <c r="W39" i="17"/>
  <c r="W38" i="17"/>
  <c r="W37" i="17"/>
  <c r="W36" i="17"/>
  <c r="W35" i="17"/>
  <c r="W34" i="17"/>
  <c r="W33" i="17"/>
  <c r="W32" i="17"/>
  <c r="W31" i="17"/>
  <c r="W30" i="17"/>
  <c r="W29" i="17"/>
  <c r="W28" i="17"/>
  <c r="W27" i="17"/>
  <c r="W26" i="17"/>
  <c r="W25" i="17"/>
  <c r="W24" i="17"/>
  <c r="W23" i="17"/>
  <c r="W22" i="17"/>
  <c r="W21" i="17"/>
  <c r="W20" i="17"/>
  <c r="W19" i="17"/>
  <c r="W18" i="17"/>
  <c r="W17" i="17"/>
  <c r="W16" i="17"/>
  <c r="W15" i="17"/>
  <c r="W14" i="17"/>
  <c r="W13" i="17"/>
  <c r="W12" i="17"/>
  <c r="W11" i="17"/>
  <c r="W10" i="17"/>
  <c r="W9" i="17"/>
  <c r="W8" i="17"/>
  <c r="W7" i="17"/>
  <c r="W6" i="17"/>
  <c r="W5" i="17"/>
  <c r="V4" i="17"/>
  <c r="V3" i="17" s="1"/>
  <c r="U4" i="17"/>
  <c r="T4" i="17"/>
  <c r="W101" i="15"/>
  <c r="V101" i="15"/>
  <c r="U101" i="15"/>
  <c r="X31" i="15"/>
  <c r="X30" i="15" s="1"/>
  <c r="W31" i="15"/>
  <c r="W30" i="15" s="1"/>
  <c r="V31" i="15"/>
  <c r="U31" i="15"/>
  <c r="X4" i="15"/>
  <c r="W4" i="15"/>
  <c r="V4" i="15"/>
  <c r="U4" i="15"/>
  <c r="AF97" i="9"/>
  <c r="AE97" i="9"/>
  <c r="AD97" i="9"/>
  <c r="AC97" i="9"/>
  <c r="AB97" i="9"/>
  <c r="AF33" i="9"/>
  <c r="AE33" i="9"/>
  <c r="AD33" i="9"/>
  <c r="AD32" i="9" s="1"/>
  <c r="AC33" i="9"/>
  <c r="AC32" i="9" s="1"/>
  <c r="AB33" i="9"/>
  <c r="AF4" i="9"/>
  <c r="AE4" i="9"/>
  <c r="AD4" i="9"/>
  <c r="AC4" i="9"/>
  <c r="AB4" i="9"/>
  <c r="L15" i="48"/>
  <c r="L37" i="48"/>
  <c r="L4" i="48"/>
  <c r="W52" i="53" l="1"/>
  <c r="Q2" i="56"/>
  <c r="T4" i="53"/>
  <c r="T3" i="53" s="1"/>
  <c r="U4" i="53"/>
  <c r="U3" i="53" s="1"/>
  <c r="AE32" i="9"/>
  <c r="AE3" i="9" s="1"/>
  <c r="AA20" i="19"/>
  <c r="R94" i="23"/>
  <c r="J3" i="27"/>
  <c r="R90" i="23"/>
  <c r="W3" i="15"/>
  <c r="V30" i="15"/>
  <c r="V3" i="15" s="1"/>
  <c r="U30" i="15"/>
  <c r="U3" i="15" s="1"/>
  <c r="AF32" i="9"/>
  <c r="AF3" i="9" s="1"/>
  <c r="X3" i="15"/>
  <c r="Z101" i="15"/>
  <c r="S3" i="21"/>
  <c r="V78" i="21"/>
  <c r="V3" i="53"/>
  <c r="S4" i="1"/>
  <c r="AC3" i="9"/>
  <c r="AH33" i="9"/>
  <c r="U3" i="17"/>
  <c r="T3" i="17"/>
  <c r="K3" i="51"/>
  <c r="W5" i="53"/>
  <c r="W4" i="53" s="1"/>
  <c r="W82" i="53"/>
  <c r="W70" i="53" s="1"/>
  <c r="S108" i="1"/>
  <c r="W3" i="25"/>
  <c r="U3" i="21"/>
  <c r="T3" i="21"/>
  <c r="V4" i="21"/>
  <c r="R5" i="23"/>
  <c r="P4" i="23"/>
  <c r="P3" i="23" s="1"/>
  <c r="R68" i="23"/>
  <c r="Q4" i="23"/>
  <c r="Q3" i="23" s="1"/>
  <c r="AA5" i="19"/>
  <c r="W4" i="17"/>
  <c r="Z4" i="15"/>
  <c r="Z31" i="15"/>
  <c r="AH97" i="9"/>
  <c r="AH106" i="9"/>
  <c r="AB32" i="9"/>
  <c r="AB3" i="9" s="1"/>
  <c r="AD3" i="9"/>
  <c r="AH4" i="9"/>
  <c r="L3" i="48"/>
  <c r="L2" i="56"/>
  <c r="Z30" i="15" l="1"/>
  <c r="AA4" i="19"/>
  <c r="AH32" i="9"/>
  <c r="AH3" i="9" s="1"/>
  <c r="Z3" i="15"/>
  <c r="S3" i="1"/>
  <c r="V3" i="21"/>
  <c r="W3" i="53"/>
  <c r="W3" i="17"/>
  <c r="R4" i="23"/>
  <c r="R3" i="23" s="1"/>
  <c r="H4" i="27" l="1"/>
  <c r="H121" i="27"/>
  <c r="H3" i="27" l="1"/>
  <c r="W97" i="9"/>
  <c r="X97" i="9"/>
  <c r="O33" i="9"/>
  <c r="O32" i="9" s="1"/>
  <c r="X33" i="9"/>
  <c r="M25" i="56"/>
  <c r="K205" i="56"/>
  <c r="K2" i="56" s="1"/>
  <c r="M189" i="56"/>
  <c r="M174" i="56"/>
  <c r="M158" i="56"/>
  <c r="M24" i="56"/>
  <c r="M70" i="56"/>
  <c r="M18" i="56"/>
  <c r="X32" i="9" l="1"/>
  <c r="E13" i="56"/>
  <c r="I13" i="56"/>
  <c r="M13" i="56"/>
  <c r="E22" i="56"/>
  <c r="I22" i="56"/>
  <c r="M22" i="56"/>
  <c r="Q39" i="19" l="1"/>
  <c r="Q35" i="19"/>
  <c r="P54" i="15"/>
  <c r="O54" i="15"/>
  <c r="P75" i="15" l="1"/>
  <c r="P77" i="15"/>
  <c r="P41" i="53"/>
  <c r="O43" i="53"/>
  <c r="O4" i="9" l="1"/>
  <c r="O3" i="9" s="1"/>
  <c r="X4" i="9"/>
  <c r="X3" i="9" s="1"/>
  <c r="L31" i="15" l="1"/>
  <c r="L30" i="15" s="1"/>
  <c r="R31" i="15"/>
  <c r="R30" i="15" s="1"/>
  <c r="E3" i="61"/>
  <c r="O97" i="1" l="1"/>
  <c r="O95" i="1"/>
  <c r="O96" i="1"/>
  <c r="O94" i="1"/>
  <c r="O92" i="1"/>
  <c r="O93" i="1" l="1"/>
  <c r="O91" i="1"/>
  <c r="J4" i="52" l="1"/>
  <c r="O82" i="53" l="1"/>
  <c r="R96" i="53"/>
  <c r="P70" i="53"/>
  <c r="Q70" i="53"/>
  <c r="R81" i="53"/>
  <c r="R83" i="53"/>
  <c r="R84" i="53"/>
  <c r="R85" i="53"/>
  <c r="R86" i="53"/>
  <c r="R82" i="53"/>
  <c r="R80" i="53"/>
  <c r="R79" i="53"/>
  <c r="R78" i="53"/>
  <c r="R77" i="53"/>
  <c r="R76" i="53"/>
  <c r="R75" i="53"/>
  <c r="R74" i="53"/>
  <c r="R72" i="53"/>
  <c r="R71" i="53"/>
  <c r="M70" i="53"/>
  <c r="L70" i="53"/>
  <c r="K70" i="53"/>
  <c r="J70" i="53"/>
  <c r="H70" i="53"/>
  <c r="G70" i="53"/>
  <c r="F70" i="53"/>
  <c r="E70" i="53"/>
  <c r="O70" i="53" l="1"/>
  <c r="R70" i="53"/>
  <c r="R17" i="53" l="1"/>
  <c r="M17" i="53"/>
  <c r="H17" i="53"/>
  <c r="O41" i="53"/>
  <c r="O40" i="53"/>
  <c r="O9" i="53"/>
  <c r="O8" i="53"/>
  <c r="O42" i="53"/>
  <c r="R32" i="25" l="1"/>
  <c r="Q94" i="21"/>
  <c r="Q71" i="21"/>
  <c r="N77" i="21"/>
  <c r="N33" i="21"/>
  <c r="N35" i="21"/>
  <c r="Q70" i="21"/>
  <c r="Q69" i="21"/>
  <c r="Q68" i="21"/>
  <c r="Q67" i="21"/>
  <c r="L67" i="21"/>
  <c r="Q93" i="21"/>
  <c r="Q92" i="21"/>
  <c r="Q91" i="21"/>
  <c r="N63" i="23" l="1"/>
  <c r="N62" i="23"/>
  <c r="N64" i="23"/>
  <c r="F9" i="23"/>
  <c r="J9" i="23"/>
  <c r="N9" i="23"/>
  <c r="N86" i="23"/>
  <c r="N72" i="23"/>
  <c r="N71" i="23"/>
  <c r="N87" i="23"/>
  <c r="M90" i="23"/>
  <c r="L90" i="23"/>
  <c r="N92" i="23"/>
  <c r="N91" i="23"/>
  <c r="M94" i="23"/>
  <c r="N98" i="23"/>
  <c r="N97" i="23"/>
  <c r="L96" i="23"/>
  <c r="L94" i="23" s="1"/>
  <c r="N95" i="23"/>
  <c r="T46" i="19"/>
  <c r="N96" i="23" l="1"/>
  <c r="N94" i="23" s="1"/>
  <c r="N90" i="23"/>
  <c r="T45" i="19" l="1"/>
  <c r="G28" i="19"/>
  <c r="N28" i="19"/>
  <c r="T28" i="19"/>
  <c r="T16" i="19"/>
  <c r="T17" i="19"/>
  <c r="S95" i="15"/>
  <c r="S94" i="15"/>
  <c r="S93" i="15"/>
  <c r="S92" i="15"/>
  <c r="S91" i="15"/>
  <c r="S90" i="15"/>
  <c r="S89" i="15"/>
  <c r="S88" i="15"/>
  <c r="S87" i="15"/>
  <c r="S86" i="15"/>
  <c r="S83" i="15" l="1"/>
  <c r="S84" i="15"/>
  <c r="S85" i="15"/>
  <c r="S26" i="15" l="1"/>
  <c r="E75" i="9" l="1"/>
  <c r="I75" i="9" s="1"/>
  <c r="K75" i="9"/>
  <c r="R75" i="9" s="1"/>
  <c r="Z75" i="9"/>
  <c r="Z91" i="9"/>
  <c r="Z90" i="9"/>
  <c r="J6" i="48"/>
  <c r="H26" i="17"/>
  <c r="J26" i="17"/>
  <c r="M26" i="17" s="1"/>
  <c r="R26" i="17"/>
  <c r="R48" i="17"/>
  <c r="H12" i="17"/>
  <c r="J12" i="17"/>
  <c r="M12" i="17" s="1"/>
  <c r="R12" i="17"/>
  <c r="M254" i="56" l="1"/>
  <c r="M253" i="56"/>
  <c r="M252" i="56"/>
  <c r="M251" i="56"/>
  <c r="M250" i="56"/>
  <c r="M249" i="56"/>
  <c r="M248" i="56"/>
  <c r="M247" i="56"/>
  <c r="M246" i="56"/>
  <c r="M245" i="56"/>
  <c r="M244" i="56"/>
  <c r="M243" i="56"/>
  <c r="M242" i="56"/>
  <c r="M241" i="56"/>
  <c r="M240" i="56"/>
  <c r="M239" i="56"/>
  <c r="M238" i="56"/>
  <c r="M237" i="56"/>
  <c r="M236" i="56"/>
  <c r="M235" i="56"/>
  <c r="M234" i="56"/>
  <c r="M233" i="56"/>
  <c r="M232" i="56"/>
  <c r="M231" i="56"/>
  <c r="M230" i="56"/>
  <c r="M229" i="56"/>
  <c r="M228" i="56"/>
  <c r="M227" i="56"/>
  <c r="M226" i="56"/>
  <c r="M225" i="56"/>
  <c r="M224" i="56"/>
  <c r="M223" i="56"/>
  <c r="M222" i="56"/>
  <c r="M221" i="56"/>
  <c r="M220" i="56"/>
  <c r="M219" i="56"/>
  <c r="M218" i="56"/>
  <c r="M217" i="56"/>
  <c r="M216" i="56"/>
  <c r="M215" i="56"/>
  <c r="M214" i="56"/>
  <c r="M213" i="56"/>
  <c r="M212" i="56"/>
  <c r="M211" i="56"/>
  <c r="M210" i="56"/>
  <c r="M209" i="56"/>
  <c r="M208" i="56"/>
  <c r="M207" i="56"/>
  <c r="M206" i="56"/>
  <c r="M205" i="56"/>
  <c r="M204" i="56"/>
  <c r="M203" i="56"/>
  <c r="M202" i="56"/>
  <c r="M201" i="56"/>
  <c r="M200" i="56"/>
  <c r="M199" i="56"/>
  <c r="M198" i="56"/>
  <c r="M197" i="56"/>
  <c r="M196" i="56"/>
  <c r="M195" i="56"/>
  <c r="M194" i="56"/>
  <c r="M193" i="56"/>
  <c r="M192" i="56"/>
  <c r="M191" i="56"/>
  <c r="M190" i="56"/>
  <c r="M188" i="56"/>
  <c r="M187" i="56"/>
  <c r="M186" i="56"/>
  <c r="M185" i="56"/>
  <c r="M184" i="56"/>
  <c r="M183" i="56"/>
  <c r="M182" i="56"/>
  <c r="M181" i="56"/>
  <c r="M180" i="56"/>
  <c r="M179" i="56"/>
  <c r="M178" i="56"/>
  <c r="M177" i="56"/>
  <c r="M176" i="56"/>
  <c r="M175" i="56"/>
  <c r="M173" i="56"/>
  <c r="M172" i="56"/>
  <c r="M171" i="56"/>
  <c r="M170" i="56"/>
  <c r="M169" i="56"/>
  <c r="M168" i="56"/>
  <c r="M167" i="56"/>
  <c r="M166" i="56"/>
  <c r="M165" i="56"/>
  <c r="M164" i="56"/>
  <c r="M163" i="56"/>
  <c r="M162" i="56"/>
  <c r="M161" i="56"/>
  <c r="M160" i="56"/>
  <c r="M159" i="56"/>
  <c r="M157" i="56"/>
  <c r="M156" i="56"/>
  <c r="M155" i="56"/>
  <c r="M154" i="56"/>
  <c r="M153" i="56"/>
  <c r="M152" i="56"/>
  <c r="M151" i="56"/>
  <c r="M150" i="56"/>
  <c r="M149" i="56"/>
  <c r="M148" i="56"/>
  <c r="M147" i="56"/>
  <c r="M146" i="56"/>
  <c r="M145" i="56"/>
  <c r="M144" i="56"/>
  <c r="M143" i="56"/>
  <c r="M142" i="56"/>
  <c r="M141" i="56"/>
  <c r="M140" i="56"/>
  <c r="M139" i="56"/>
  <c r="M138" i="56"/>
  <c r="M137" i="56"/>
  <c r="M136" i="56"/>
  <c r="M135" i="56"/>
  <c r="M134" i="56"/>
  <c r="M133" i="56"/>
  <c r="M132" i="56"/>
  <c r="M131" i="56"/>
  <c r="M130" i="56"/>
  <c r="M129" i="56"/>
  <c r="M128" i="56"/>
  <c r="M127" i="56"/>
  <c r="M126" i="56"/>
  <c r="M125" i="56"/>
  <c r="M124" i="56"/>
  <c r="M123" i="56"/>
  <c r="M122" i="56"/>
  <c r="M121" i="56"/>
  <c r="M120" i="56"/>
  <c r="M119" i="56"/>
  <c r="M118" i="56"/>
  <c r="M117" i="56"/>
  <c r="M116" i="56"/>
  <c r="M115" i="56"/>
  <c r="M114" i="56"/>
  <c r="M113" i="56"/>
  <c r="M112" i="56"/>
  <c r="M111" i="56"/>
  <c r="M110" i="56"/>
  <c r="M109" i="56"/>
  <c r="M108" i="56"/>
  <c r="M107" i="56"/>
  <c r="M106" i="56"/>
  <c r="M105" i="56"/>
  <c r="M104" i="56"/>
  <c r="M103" i="56"/>
  <c r="M102" i="56"/>
  <c r="M101" i="56"/>
  <c r="M100" i="56"/>
  <c r="M99" i="56"/>
  <c r="M98" i="56"/>
  <c r="M97" i="56"/>
  <c r="M96" i="56"/>
  <c r="M95" i="56"/>
  <c r="M94" i="56"/>
  <c r="M93" i="56"/>
  <c r="M92" i="56"/>
  <c r="M91" i="56"/>
  <c r="M90" i="56"/>
  <c r="M89" i="56"/>
  <c r="M88" i="56"/>
  <c r="M87" i="56"/>
  <c r="M86" i="56"/>
  <c r="M85" i="56"/>
  <c r="M84" i="56"/>
  <c r="M83" i="56"/>
  <c r="M82" i="56"/>
  <c r="M81" i="56"/>
  <c r="M80" i="56"/>
  <c r="M79" i="56"/>
  <c r="M78" i="56"/>
  <c r="M77" i="56"/>
  <c r="M76" i="56"/>
  <c r="M75" i="56"/>
  <c r="M74" i="56"/>
  <c r="M73" i="56"/>
  <c r="M72" i="56"/>
  <c r="M71" i="56"/>
  <c r="M69" i="56"/>
  <c r="M68" i="56"/>
  <c r="M67" i="56"/>
  <c r="M66" i="56"/>
  <c r="M65" i="56"/>
  <c r="M64" i="56"/>
  <c r="M63" i="56"/>
  <c r="M62" i="56"/>
  <c r="M61" i="56"/>
  <c r="M60" i="56"/>
  <c r="M59" i="56"/>
  <c r="M58" i="56"/>
  <c r="M57" i="56"/>
  <c r="M56" i="56"/>
  <c r="M55" i="56"/>
  <c r="M54" i="56"/>
  <c r="M53" i="56"/>
  <c r="M52" i="56"/>
  <c r="M51" i="56"/>
  <c r="M50" i="56"/>
  <c r="M49" i="56"/>
  <c r="M48" i="56"/>
  <c r="M47" i="56"/>
  <c r="M46" i="56"/>
  <c r="M45" i="56"/>
  <c r="M44" i="56"/>
  <c r="M43" i="56"/>
  <c r="M42" i="56"/>
  <c r="M41" i="56"/>
  <c r="M40" i="56"/>
  <c r="M39" i="56"/>
  <c r="M38" i="56"/>
  <c r="M37" i="56"/>
  <c r="M36" i="56"/>
  <c r="M35" i="56"/>
  <c r="M34" i="56"/>
  <c r="M33" i="56"/>
  <c r="M32" i="56"/>
  <c r="M31" i="56"/>
  <c r="M30" i="56"/>
  <c r="M29" i="56"/>
  <c r="M28" i="56"/>
  <c r="M27" i="56"/>
  <c r="M26" i="56"/>
  <c r="M23" i="56"/>
  <c r="M21" i="56"/>
  <c r="M20" i="56"/>
  <c r="M19" i="56"/>
  <c r="M17" i="56"/>
  <c r="M16" i="56"/>
  <c r="M15" i="56"/>
  <c r="M14" i="56"/>
  <c r="M12" i="56"/>
  <c r="M11" i="56"/>
  <c r="M10" i="56"/>
  <c r="M9" i="56"/>
  <c r="M8" i="56"/>
  <c r="M7" i="56"/>
  <c r="M6" i="56"/>
  <c r="M5" i="56"/>
  <c r="M4" i="56"/>
  <c r="M3" i="56"/>
  <c r="I24" i="51"/>
  <c r="I4" i="51"/>
  <c r="J3" i="52"/>
  <c r="I3" i="7"/>
  <c r="R68" i="53"/>
  <c r="R67" i="53"/>
  <c r="R65" i="53"/>
  <c r="R64" i="53"/>
  <c r="R63" i="53"/>
  <c r="R62" i="53"/>
  <c r="R61" i="53"/>
  <c r="R60" i="53"/>
  <c r="R59" i="53"/>
  <c r="R58" i="53"/>
  <c r="R57" i="53"/>
  <c r="R56" i="53"/>
  <c r="R54" i="53"/>
  <c r="Q52" i="53"/>
  <c r="P52" i="53"/>
  <c r="O52" i="53"/>
  <c r="R50" i="53"/>
  <c r="R49" i="53"/>
  <c r="R48" i="53"/>
  <c r="R47" i="53"/>
  <c r="R46" i="53"/>
  <c r="R45" i="53"/>
  <c r="R43" i="53"/>
  <c r="R42" i="53"/>
  <c r="R41" i="53"/>
  <c r="R40" i="53"/>
  <c r="R38" i="53"/>
  <c r="R37" i="53"/>
  <c r="R36" i="53"/>
  <c r="R35" i="53"/>
  <c r="R33" i="53"/>
  <c r="R32" i="53"/>
  <c r="R31" i="53"/>
  <c r="R30" i="53"/>
  <c r="R29" i="53"/>
  <c r="R28" i="53"/>
  <c r="R27" i="53"/>
  <c r="R26" i="53"/>
  <c r="R25" i="53"/>
  <c r="R24" i="53"/>
  <c r="R23" i="53"/>
  <c r="R22" i="53"/>
  <c r="R21" i="53"/>
  <c r="R20" i="53"/>
  <c r="R18" i="53"/>
  <c r="R16" i="53"/>
  <c r="R15" i="53"/>
  <c r="R14" i="53"/>
  <c r="R13" i="53"/>
  <c r="R12" i="53"/>
  <c r="R11" i="53"/>
  <c r="R10" i="53"/>
  <c r="R9" i="53"/>
  <c r="R8" i="53"/>
  <c r="R7" i="53"/>
  <c r="Q5" i="53"/>
  <c r="P5" i="53"/>
  <c r="O5" i="53"/>
  <c r="H3" i="32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N108" i="1"/>
  <c r="O107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M4" i="1"/>
  <c r="O13" i="1"/>
  <c r="O12" i="1"/>
  <c r="O11" i="1"/>
  <c r="O10" i="1"/>
  <c r="O9" i="1"/>
  <c r="O8" i="1"/>
  <c r="O7" i="1"/>
  <c r="O6" i="1"/>
  <c r="O5" i="1"/>
  <c r="N4" i="1"/>
  <c r="K3" i="47"/>
  <c r="R35" i="25"/>
  <c r="R31" i="25"/>
  <c r="R30" i="25"/>
  <c r="R29" i="25"/>
  <c r="R28" i="25"/>
  <c r="R27" i="25"/>
  <c r="R26" i="25"/>
  <c r="R25" i="25"/>
  <c r="R24" i="25"/>
  <c r="R23" i="25"/>
  <c r="R22" i="25"/>
  <c r="R21" i="25"/>
  <c r="R20" i="25"/>
  <c r="R19" i="25"/>
  <c r="R18" i="25"/>
  <c r="R17" i="25"/>
  <c r="R16" i="25"/>
  <c r="R15" i="25"/>
  <c r="R14" i="25"/>
  <c r="R13" i="25"/>
  <c r="R12" i="25"/>
  <c r="R11" i="25"/>
  <c r="R10" i="25"/>
  <c r="R9" i="25"/>
  <c r="R8" i="25"/>
  <c r="R7" i="25"/>
  <c r="R6" i="25"/>
  <c r="R5" i="25"/>
  <c r="R4" i="25"/>
  <c r="Q3" i="25"/>
  <c r="P3" i="25"/>
  <c r="O3" i="25"/>
  <c r="Q98" i="21"/>
  <c r="Q90" i="21"/>
  <c r="Q89" i="21"/>
  <c r="Q88" i="21"/>
  <c r="Q87" i="21"/>
  <c r="Q86" i="21"/>
  <c r="Q85" i="21"/>
  <c r="Q84" i="21"/>
  <c r="Q83" i="21"/>
  <c r="P78" i="21"/>
  <c r="Q82" i="21"/>
  <c r="Q81" i="21"/>
  <c r="Q80" i="21"/>
  <c r="Q79" i="21"/>
  <c r="O78" i="21"/>
  <c r="Q77" i="21"/>
  <c r="Q66" i="21"/>
  <c r="Q65" i="21"/>
  <c r="Q64" i="21"/>
  <c r="Q63" i="21"/>
  <c r="Q62" i="21"/>
  <c r="Q61" i="21"/>
  <c r="Q60" i="21"/>
  <c r="Q59" i="21"/>
  <c r="Q58" i="21"/>
  <c r="Q57" i="21"/>
  <c r="Q56" i="21"/>
  <c r="Q55" i="21"/>
  <c r="Q54" i="21"/>
  <c r="Q53" i="21"/>
  <c r="Q52" i="21"/>
  <c r="Q51" i="21"/>
  <c r="Q50" i="21"/>
  <c r="Q49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Q36" i="21"/>
  <c r="Q35" i="21"/>
  <c r="Q34" i="21"/>
  <c r="Q33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6" i="21"/>
  <c r="Q5" i="21"/>
  <c r="P4" i="21"/>
  <c r="O4" i="21"/>
  <c r="O3" i="21" s="1"/>
  <c r="N88" i="23"/>
  <c r="N85" i="23"/>
  <c r="N84" i="23"/>
  <c r="N83" i="23"/>
  <c r="N82" i="23"/>
  <c r="N81" i="23"/>
  <c r="N80" i="23"/>
  <c r="N79" i="23"/>
  <c r="N78" i="23"/>
  <c r="N77" i="23"/>
  <c r="N76" i="23"/>
  <c r="N75" i="23"/>
  <c r="N74" i="23"/>
  <c r="N73" i="23"/>
  <c r="N70" i="23"/>
  <c r="N69" i="23"/>
  <c r="M68" i="23"/>
  <c r="L68" i="23"/>
  <c r="N67" i="23"/>
  <c r="N61" i="23"/>
  <c r="N60" i="23"/>
  <c r="N59" i="23"/>
  <c r="N58" i="23"/>
  <c r="N57" i="23"/>
  <c r="N56" i="23"/>
  <c r="N55" i="23"/>
  <c r="N54" i="23"/>
  <c r="N53" i="23"/>
  <c r="N52" i="23"/>
  <c r="N51" i="23"/>
  <c r="N50" i="23"/>
  <c r="N49" i="23"/>
  <c r="N48" i="23"/>
  <c r="N47" i="23"/>
  <c r="N46" i="23"/>
  <c r="N45" i="23"/>
  <c r="N44" i="23"/>
  <c r="N43" i="23"/>
  <c r="N42" i="23"/>
  <c r="N41" i="23"/>
  <c r="N40" i="23"/>
  <c r="N39" i="23"/>
  <c r="N38" i="23"/>
  <c r="N37" i="23"/>
  <c r="N36" i="23"/>
  <c r="N35" i="23"/>
  <c r="N34" i="23"/>
  <c r="N33" i="23"/>
  <c r="N32" i="23"/>
  <c r="N31" i="23"/>
  <c r="N30" i="23"/>
  <c r="N29" i="23"/>
  <c r="N28" i="23"/>
  <c r="N27" i="23"/>
  <c r="N26" i="23"/>
  <c r="N25" i="23"/>
  <c r="N24" i="23"/>
  <c r="N23" i="23"/>
  <c r="N22" i="23"/>
  <c r="N21" i="23"/>
  <c r="N20" i="23"/>
  <c r="N19" i="23"/>
  <c r="N18" i="23"/>
  <c r="N17" i="23"/>
  <c r="N16" i="23"/>
  <c r="N15" i="23"/>
  <c r="N14" i="23"/>
  <c r="N13" i="23"/>
  <c r="N12" i="23"/>
  <c r="N11" i="23"/>
  <c r="N10" i="23"/>
  <c r="N8" i="23"/>
  <c r="N7" i="23"/>
  <c r="N6" i="23"/>
  <c r="M5" i="23"/>
  <c r="F5" i="13"/>
  <c r="F3" i="13" s="1"/>
  <c r="T50" i="19"/>
  <c r="T44" i="19"/>
  <c r="T43" i="19"/>
  <c r="T42" i="19"/>
  <c r="T41" i="19"/>
  <c r="T40" i="19"/>
  <c r="T39" i="19"/>
  <c r="T38" i="19"/>
  <c r="T37" i="19"/>
  <c r="T36" i="19"/>
  <c r="T35" i="19"/>
  <c r="T34" i="19"/>
  <c r="T33" i="19"/>
  <c r="T32" i="19"/>
  <c r="T31" i="19"/>
  <c r="T30" i="19"/>
  <c r="T29" i="19"/>
  <c r="T27" i="19"/>
  <c r="T25" i="19"/>
  <c r="T24" i="19"/>
  <c r="T23" i="19"/>
  <c r="T22" i="19"/>
  <c r="T21" i="19"/>
  <c r="S20" i="19"/>
  <c r="R20" i="19"/>
  <c r="Q20" i="19"/>
  <c r="P20" i="19"/>
  <c r="T19" i="19"/>
  <c r="T15" i="19"/>
  <c r="T14" i="19"/>
  <c r="T13" i="19"/>
  <c r="T12" i="19"/>
  <c r="T11" i="19"/>
  <c r="T10" i="19"/>
  <c r="T9" i="19"/>
  <c r="T8" i="19"/>
  <c r="T7" i="19"/>
  <c r="T6" i="19"/>
  <c r="S5" i="19"/>
  <c r="R5" i="19"/>
  <c r="Q5" i="19"/>
  <c r="P5" i="19"/>
  <c r="R58" i="17"/>
  <c r="R57" i="17"/>
  <c r="R56" i="17"/>
  <c r="R55" i="17"/>
  <c r="R54" i="17"/>
  <c r="R53" i="17"/>
  <c r="R52" i="17"/>
  <c r="Q51" i="17"/>
  <c r="P51" i="17"/>
  <c r="R50" i="17"/>
  <c r="R47" i="17"/>
  <c r="R46" i="17"/>
  <c r="R45" i="17"/>
  <c r="R44" i="17"/>
  <c r="R43" i="17"/>
  <c r="R42" i="17"/>
  <c r="R41" i="17"/>
  <c r="R40" i="17"/>
  <c r="R39" i="17"/>
  <c r="R38" i="17"/>
  <c r="R37" i="17"/>
  <c r="R36" i="17"/>
  <c r="R35" i="17"/>
  <c r="R34" i="17"/>
  <c r="R33" i="17"/>
  <c r="R32" i="17"/>
  <c r="R31" i="17"/>
  <c r="R30" i="17"/>
  <c r="R29" i="17"/>
  <c r="R28" i="17"/>
  <c r="R27" i="17"/>
  <c r="R25" i="17"/>
  <c r="R24" i="17"/>
  <c r="R23" i="17"/>
  <c r="R22" i="17"/>
  <c r="R21" i="17"/>
  <c r="R20" i="17"/>
  <c r="R19" i="17"/>
  <c r="R18" i="17"/>
  <c r="R17" i="17"/>
  <c r="R16" i="17"/>
  <c r="R15" i="17"/>
  <c r="R14" i="17"/>
  <c r="R13" i="17"/>
  <c r="R11" i="17"/>
  <c r="R10" i="17"/>
  <c r="R9" i="17"/>
  <c r="R8" i="17"/>
  <c r="R7" i="17"/>
  <c r="R6" i="17"/>
  <c r="O4" i="17"/>
  <c r="R5" i="17"/>
  <c r="Q4" i="17"/>
  <c r="P4" i="17"/>
  <c r="S107" i="15"/>
  <c r="S106" i="15"/>
  <c r="S105" i="15"/>
  <c r="S104" i="15"/>
  <c r="S103" i="15"/>
  <c r="S102" i="15"/>
  <c r="Q101" i="15"/>
  <c r="P101" i="15"/>
  <c r="O101" i="15"/>
  <c r="S100" i="15"/>
  <c r="S82" i="15"/>
  <c r="S81" i="15"/>
  <c r="S80" i="15"/>
  <c r="S79" i="15"/>
  <c r="S78" i="15"/>
  <c r="S77" i="15"/>
  <c r="S76" i="15"/>
  <c r="S75" i="15"/>
  <c r="S74" i="15"/>
  <c r="S73" i="15"/>
  <c r="S72" i="15"/>
  <c r="S71" i="15"/>
  <c r="S70" i="15"/>
  <c r="S69" i="15"/>
  <c r="S68" i="15"/>
  <c r="S67" i="15"/>
  <c r="S66" i="15"/>
  <c r="S65" i="15"/>
  <c r="S64" i="15"/>
  <c r="S63" i="15"/>
  <c r="S62" i="15"/>
  <c r="S61" i="15"/>
  <c r="S60" i="15"/>
  <c r="S59" i="15"/>
  <c r="S58" i="15"/>
  <c r="S57" i="15"/>
  <c r="S56" i="15"/>
  <c r="S55" i="15"/>
  <c r="S54" i="15"/>
  <c r="S53" i="15"/>
  <c r="S52" i="15"/>
  <c r="S51" i="15"/>
  <c r="S50" i="15"/>
  <c r="S49" i="15"/>
  <c r="S48" i="15"/>
  <c r="S47" i="15"/>
  <c r="S46" i="15"/>
  <c r="S45" i="15"/>
  <c r="S44" i="15"/>
  <c r="S43" i="15"/>
  <c r="S42" i="15"/>
  <c r="S41" i="15"/>
  <c r="S40" i="15"/>
  <c r="S39" i="15"/>
  <c r="S38" i="15"/>
  <c r="S37" i="15"/>
  <c r="O31" i="15"/>
  <c r="S35" i="15"/>
  <c r="S34" i="15"/>
  <c r="S33" i="15"/>
  <c r="S32" i="15"/>
  <c r="Q31" i="15"/>
  <c r="P31" i="15"/>
  <c r="S28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S5" i="15"/>
  <c r="R4" i="15"/>
  <c r="R3" i="15" s="1"/>
  <c r="Q4" i="15"/>
  <c r="P4" i="15"/>
  <c r="O4" i="15"/>
  <c r="Z102" i="9"/>
  <c r="Z101" i="9"/>
  <c r="Z100" i="9"/>
  <c r="Z99" i="9"/>
  <c r="Z98" i="9"/>
  <c r="T97" i="9"/>
  <c r="V97" i="9"/>
  <c r="U97" i="9"/>
  <c r="Z96" i="9"/>
  <c r="Z89" i="9"/>
  <c r="Z88" i="9"/>
  <c r="Z87" i="9"/>
  <c r="Z86" i="9"/>
  <c r="Z85" i="9"/>
  <c r="Z84" i="9"/>
  <c r="Z83" i="9"/>
  <c r="Z82" i="9"/>
  <c r="Z81" i="9"/>
  <c r="Z80" i="9"/>
  <c r="Z79" i="9"/>
  <c r="Z78" i="9"/>
  <c r="Z77" i="9"/>
  <c r="Z76" i="9"/>
  <c r="Z74" i="9"/>
  <c r="Z73" i="9"/>
  <c r="Z72" i="9"/>
  <c r="Z71" i="9"/>
  <c r="Z70" i="9"/>
  <c r="Z69" i="9"/>
  <c r="Z68" i="9"/>
  <c r="Z67" i="9"/>
  <c r="Z66" i="9"/>
  <c r="Z65" i="9"/>
  <c r="Z64" i="9"/>
  <c r="Z63" i="9"/>
  <c r="Z62" i="9"/>
  <c r="Z61" i="9"/>
  <c r="Z60" i="9"/>
  <c r="Z59" i="9"/>
  <c r="Z58" i="9"/>
  <c r="Z57" i="9"/>
  <c r="Z56" i="9"/>
  <c r="Z55" i="9"/>
  <c r="Z54" i="9"/>
  <c r="Z53" i="9"/>
  <c r="Z52" i="9"/>
  <c r="Z51" i="9"/>
  <c r="Z50" i="9"/>
  <c r="Z49" i="9"/>
  <c r="Z48" i="9"/>
  <c r="Z47" i="9"/>
  <c r="Z46" i="9"/>
  <c r="Z45" i="9"/>
  <c r="Z44" i="9"/>
  <c r="Z43" i="9"/>
  <c r="Z42" i="9"/>
  <c r="Z41" i="9"/>
  <c r="Z40" i="9"/>
  <c r="Z39" i="9"/>
  <c r="Z38" i="9"/>
  <c r="Z37" i="9"/>
  <c r="Z36" i="9"/>
  <c r="Z35" i="9"/>
  <c r="Z34" i="9"/>
  <c r="W33" i="9"/>
  <c r="W32" i="9" s="1"/>
  <c r="U33" i="9"/>
  <c r="Z31" i="9"/>
  <c r="Z29" i="9"/>
  <c r="Z28" i="9"/>
  <c r="Z27" i="9"/>
  <c r="Z26" i="9"/>
  <c r="Z25" i="9"/>
  <c r="Z24" i="9"/>
  <c r="Z23" i="9"/>
  <c r="Z22" i="9"/>
  <c r="Z21" i="9"/>
  <c r="Z20" i="9"/>
  <c r="Z19" i="9"/>
  <c r="Z18" i="9"/>
  <c r="Z17" i="9"/>
  <c r="Z16" i="9"/>
  <c r="Z15" i="9"/>
  <c r="Z14" i="9"/>
  <c r="Z13" i="9"/>
  <c r="Z12" i="9"/>
  <c r="Z11" i="9"/>
  <c r="Z10" i="9"/>
  <c r="Z9" i="9"/>
  <c r="Z8" i="9"/>
  <c r="Z7" i="9"/>
  <c r="Z6" i="9"/>
  <c r="T4" i="9"/>
  <c r="W4" i="9"/>
  <c r="V4" i="9"/>
  <c r="U4" i="9"/>
  <c r="J37" i="48"/>
  <c r="J4" i="48"/>
  <c r="M2" i="56" l="1"/>
  <c r="P3" i="17"/>
  <c r="Q4" i="53"/>
  <c r="Q3" i="53" s="1"/>
  <c r="P4" i="53"/>
  <c r="P3" i="53" s="1"/>
  <c r="R4" i="19"/>
  <c r="P30" i="15"/>
  <c r="Q4" i="19"/>
  <c r="S4" i="19"/>
  <c r="M3" i="23"/>
  <c r="M4" i="23"/>
  <c r="Q3" i="17"/>
  <c r="N3" i="1"/>
  <c r="I3" i="51"/>
  <c r="R3" i="25"/>
  <c r="P4" i="19"/>
  <c r="T5" i="19"/>
  <c r="O30" i="15"/>
  <c r="O3" i="15" s="1"/>
  <c r="U32" i="9"/>
  <c r="U3" i="9" s="1"/>
  <c r="Z106" i="9"/>
  <c r="J3" i="48"/>
  <c r="O4" i="53"/>
  <c r="O3" i="53" s="1"/>
  <c r="R5" i="53"/>
  <c r="R52" i="53"/>
  <c r="O108" i="1"/>
  <c r="O14" i="1"/>
  <c r="O4" i="1" s="1"/>
  <c r="M108" i="1"/>
  <c r="M3" i="1" s="1"/>
  <c r="P3" i="21"/>
  <c r="Q4" i="21"/>
  <c r="N4" i="21"/>
  <c r="Q78" i="21"/>
  <c r="N78" i="21"/>
  <c r="N68" i="23"/>
  <c r="N5" i="23"/>
  <c r="L5" i="23"/>
  <c r="T20" i="19"/>
  <c r="R4" i="17"/>
  <c r="R51" i="17"/>
  <c r="O51" i="17"/>
  <c r="O3" i="17" s="1"/>
  <c r="S101" i="15"/>
  <c r="Q30" i="15"/>
  <c r="Q3" i="15" s="1"/>
  <c r="S4" i="15"/>
  <c r="P3" i="15"/>
  <c r="S36" i="15"/>
  <c r="S31" i="15" s="1"/>
  <c r="Z97" i="9"/>
  <c r="W3" i="9"/>
  <c r="Z33" i="9"/>
  <c r="Z5" i="9"/>
  <c r="Z4" i="9" s="1"/>
  <c r="V33" i="9"/>
  <c r="V32" i="9" s="1"/>
  <c r="V3" i="9" s="1"/>
  <c r="T33" i="9"/>
  <c r="T32" i="9" s="1"/>
  <c r="T3" i="9" s="1"/>
  <c r="I83" i="21"/>
  <c r="R4" i="53" l="1"/>
  <c r="L4" i="23"/>
  <c r="L3" i="23"/>
  <c r="N4" i="23"/>
  <c r="N3" i="23"/>
  <c r="O3" i="1"/>
  <c r="R3" i="53"/>
  <c r="T4" i="19"/>
  <c r="S30" i="15"/>
  <c r="S3" i="15" s="1"/>
  <c r="Z32" i="9"/>
  <c r="Z3" i="9" s="1"/>
  <c r="R3" i="17"/>
  <c r="Q3" i="21"/>
  <c r="N3" i="21"/>
  <c r="N33" i="9"/>
  <c r="N32" i="9" s="1"/>
  <c r="N4" i="9"/>
  <c r="L4" i="15"/>
  <c r="L3" i="15" s="1"/>
  <c r="M48" i="15"/>
  <c r="N3" i="9" l="1"/>
  <c r="L5" i="19" l="1"/>
  <c r="M5" i="19"/>
  <c r="L20" i="19"/>
  <c r="M20" i="19"/>
  <c r="M4" i="19" l="1"/>
  <c r="L4" i="19"/>
  <c r="E29" i="9" l="1"/>
  <c r="K29" i="9"/>
  <c r="E26" i="9"/>
  <c r="K26" i="9"/>
  <c r="E22" i="9"/>
  <c r="K22" i="9"/>
  <c r="E18" i="9"/>
  <c r="K18" i="9"/>
  <c r="E16" i="9"/>
  <c r="K16" i="9"/>
  <c r="E13" i="9"/>
  <c r="K13" i="9"/>
  <c r="K9" i="9"/>
  <c r="E5" i="9"/>
  <c r="K5" i="9"/>
  <c r="J15" i="53" l="1"/>
  <c r="J11" i="53" l="1"/>
  <c r="K20" i="19" l="1"/>
  <c r="F20" i="19"/>
  <c r="E5" i="19"/>
  <c r="F5" i="19"/>
  <c r="F4" i="19" l="1"/>
  <c r="F4" i="48" l="1"/>
  <c r="H37" i="48"/>
  <c r="F104" i="27"/>
  <c r="F106" i="27"/>
  <c r="F76" i="27"/>
  <c r="F9" i="27"/>
  <c r="F86" i="27"/>
  <c r="F10" i="27"/>
  <c r="F11" i="27"/>
  <c r="F41" i="27"/>
  <c r="F14" i="27"/>
  <c r="F26" i="27"/>
  <c r="F15" i="27"/>
  <c r="F66" i="27"/>
  <c r="F53" i="27"/>
  <c r="F65" i="27"/>
  <c r="F72" i="27"/>
  <c r="F30" i="27"/>
  <c r="F81" i="27"/>
  <c r="F45" i="27"/>
  <c r="F18" i="27"/>
  <c r="F19" i="27"/>
  <c r="F50" i="27"/>
  <c r="F49" i="27"/>
  <c r="F29" i="27"/>
  <c r="F20" i="27"/>
  <c r="F6" i="27"/>
  <c r="F28" i="27"/>
  <c r="F32" i="27"/>
  <c r="F27" i="27"/>
  <c r="F24" i="27"/>
  <c r="F70" i="27"/>
  <c r="F184" i="27"/>
  <c r="F136" i="27"/>
  <c r="F122" i="27"/>
  <c r="F167" i="27"/>
  <c r="F138" i="27"/>
  <c r="F165" i="27"/>
  <c r="F164" i="27"/>
  <c r="F162" i="27"/>
  <c r="F175" i="27"/>
  <c r="F131" i="27"/>
  <c r="F183" i="27"/>
  <c r="F155" i="27"/>
  <c r="F125" i="27"/>
  <c r="F154" i="27"/>
  <c r="F159" i="27"/>
  <c r="F127" i="27"/>
  <c r="F153" i="27"/>
  <c r="F126" i="27"/>
  <c r="F144" i="27"/>
  <c r="F158" i="27"/>
  <c r="F169" i="27"/>
  <c r="F168" i="27"/>
  <c r="F139" i="27"/>
  <c r="F143" i="27"/>
  <c r="F129" i="27"/>
  <c r="F149" i="27"/>
  <c r="F130" i="27"/>
  <c r="F148" i="27"/>
  <c r="F146" i="27"/>
  <c r="F185" i="27"/>
  <c r="F123" i="27"/>
  <c r="I254" i="56" l="1"/>
  <c r="I185" i="56"/>
  <c r="I145" i="56"/>
  <c r="H30" i="56"/>
  <c r="G30" i="56"/>
  <c r="G2" i="56" s="1"/>
  <c r="I237" i="56"/>
  <c r="I225" i="56"/>
  <c r="I222" i="56"/>
  <c r="I219" i="56"/>
  <c r="I216" i="56"/>
  <c r="I207" i="56"/>
  <c r="I195" i="56"/>
  <c r="I182" i="56"/>
  <c r="I148" i="56"/>
  <c r="I138" i="56"/>
  <c r="I130" i="56"/>
  <c r="I119" i="56"/>
  <c r="I108" i="56"/>
  <c r="I105" i="56"/>
  <c r="I20" i="56"/>
  <c r="I14" i="56"/>
  <c r="I11" i="56"/>
  <c r="I10" i="56"/>
  <c r="I4" i="56"/>
  <c r="I193" i="56"/>
  <c r="I151" i="56"/>
  <c r="I64" i="56"/>
  <c r="I54" i="56"/>
  <c r="I155" i="56"/>
  <c r="I253" i="56"/>
  <c r="I252" i="56"/>
  <c r="I251" i="56"/>
  <c r="I250" i="56"/>
  <c r="I249" i="56"/>
  <c r="I248" i="56"/>
  <c r="I247" i="56"/>
  <c r="I246" i="56"/>
  <c r="I245" i="56"/>
  <c r="I244" i="56"/>
  <c r="I243" i="56"/>
  <c r="I242" i="56"/>
  <c r="I241" i="56"/>
  <c r="I240" i="56"/>
  <c r="I239" i="56"/>
  <c r="I238" i="56"/>
  <c r="I236" i="56"/>
  <c r="I235" i="56"/>
  <c r="I234" i="56"/>
  <c r="I233" i="56"/>
  <c r="I232" i="56"/>
  <c r="I231" i="56"/>
  <c r="I230" i="56"/>
  <c r="I229" i="56"/>
  <c r="I228" i="56"/>
  <c r="I227" i="56"/>
  <c r="I226" i="56"/>
  <c r="I224" i="56"/>
  <c r="I223" i="56"/>
  <c r="I221" i="56"/>
  <c r="I220" i="56"/>
  <c r="I218" i="56"/>
  <c r="I217" i="56"/>
  <c r="I215" i="56"/>
  <c r="I214" i="56"/>
  <c r="I213" i="56"/>
  <c r="I212" i="56"/>
  <c r="I211" i="56"/>
  <c r="I210" i="56"/>
  <c r="I209" i="56"/>
  <c r="I208" i="56"/>
  <c r="I206" i="56"/>
  <c r="I205" i="56"/>
  <c r="I204" i="56"/>
  <c r="I203" i="56"/>
  <c r="I202" i="56"/>
  <c r="I201" i="56"/>
  <c r="I200" i="56"/>
  <c r="I199" i="56"/>
  <c r="I198" i="56"/>
  <c r="I197" i="56"/>
  <c r="I196" i="56"/>
  <c r="I194" i="56"/>
  <c r="I192" i="56"/>
  <c r="I191" i="56"/>
  <c r="I190" i="56"/>
  <c r="I188" i="56"/>
  <c r="I187" i="56"/>
  <c r="I186" i="56"/>
  <c r="I184" i="56"/>
  <c r="I183" i="56"/>
  <c r="I181" i="56"/>
  <c r="I180" i="56"/>
  <c r="I179" i="56"/>
  <c r="I178" i="56"/>
  <c r="I177" i="56"/>
  <c r="I176" i="56"/>
  <c r="I175" i="56"/>
  <c r="I173" i="56"/>
  <c r="I171" i="56"/>
  <c r="I172" i="56"/>
  <c r="I170" i="56"/>
  <c r="I169" i="56"/>
  <c r="I168" i="56"/>
  <c r="I167" i="56"/>
  <c r="I166" i="56"/>
  <c r="I165" i="56"/>
  <c r="I164" i="56"/>
  <c r="I163" i="56"/>
  <c r="I162" i="56"/>
  <c r="I161" i="56"/>
  <c r="I160" i="56"/>
  <c r="I157" i="56"/>
  <c r="I159" i="56"/>
  <c r="I156" i="56"/>
  <c r="I154" i="56"/>
  <c r="I153" i="56"/>
  <c r="I152" i="56"/>
  <c r="I150" i="56"/>
  <c r="I149" i="56"/>
  <c r="I147" i="56"/>
  <c r="I146" i="56"/>
  <c r="I144" i="56"/>
  <c r="I143" i="56"/>
  <c r="I142" i="56"/>
  <c r="I141" i="56"/>
  <c r="I140" i="56"/>
  <c r="I139" i="56"/>
  <c r="I137" i="56"/>
  <c r="I136" i="56"/>
  <c r="I135" i="56"/>
  <c r="I134" i="56"/>
  <c r="I133" i="56"/>
  <c r="I132" i="56"/>
  <c r="I131" i="56"/>
  <c r="I129" i="56"/>
  <c r="I128" i="56"/>
  <c r="I127" i="56"/>
  <c r="I126" i="56"/>
  <c r="I125" i="56"/>
  <c r="I124" i="56"/>
  <c r="I123" i="56"/>
  <c r="I122" i="56"/>
  <c r="I121" i="56"/>
  <c r="I120" i="56"/>
  <c r="I118" i="56"/>
  <c r="I117" i="56"/>
  <c r="I116" i="56"/>
  <c r="I115" i="56"/>
  <c r="I114" i="56"/>
  <c r="I113" i="56"/>
  <c r="I112" i="56"/>
  <c r="I111" i="56"/>
  <c r="I110" i="56"/>
  <c r="I109" i="56"/>
  <c r="I107" i="56"/>
  <c r="I106" i="56"/>
  <c r="I104" i="56"/>
  <c r="I103" i="56"/>
  <c r="I102" i="56"/>
  <c r="I101" i="56"/>
  <c r="I100" i="56"/>
  <c r="I99" i="56"/>
  <c r="I98" i="56"/>
  <c r="I97" i="56"/>
  <c r="I96" i="56"/>
  <c r="I95" i="56"/>
  <c r="I94" i="56"/>
  <c r="I93" i="56"/>
  <c r="I92" i="56"/>
  <c r="I91" i="56"/>
  <c r="I90" i="56"/>
  <c r="I89" i="56"/>
  <c r="I88" i="56"/>
  <c r="I87" i="56"/>
  <c r="I86" i="56"/>
  <c r="I85" i="56"/>
  <c r="I84" i="56"/>
  <c r="I83" i="56"/>
  <c r="I82" i="56"/>
  <c r="I81" i="56"/>
  <c r="I80" i="56"/>
  <c r="I79" i="56"/>
  <c r="I78" i="56"/>
  <c r="I77" i="56"/>
  <c r="I76" i="56"/>
  <c r="I75" i="56"/>
  <c r="I74" i="56"/>
  <c r="I73" i="56"/>
  <c r="I72" i="56"/>
  <c r="I71" i="56"/>
  <c r="I69" i="56"/>
  <c r="I68" i="56"/>
  <c r="I67" i="56"/>
  <c r="I65" i="56"/>
  <c r="I66" i="56"/>
  <c r="I63" i="56"/>
  <c r="I62" i="56"/>
  <c r="I61" i="56"/>
  <c r="I59" i="56"/>
  <c r="I60" i="56"/>
  <c r="I58" i="56"/>
  <c r="I57" i="56"/>
  <c r="I56" i="56"/>
  <c r="I55" i="56"/>
  <c r="I53" i="56"/>
  <c r="I52" i="56"/>
  <c r="I51" i="56"/>
  <c r="I50" i="56"/>
  <c r="I49" i="56"/>
  <c r="I48" i="56"/>
  <c r="I47" i="56"/>
  <c r="I46" i="56"/>
  <c r="I45" i="56"/>
  <c r="I44" i="56"/>
  <c r="I43" i="56"/>
  <c r="I42" i="56"/>
  <c r="I41" i="56"/>
  <c r="I40" i="56"/>
  <c r="I39" i="56"/>
  <c r="I38" i="56"/>
  <c r="I37" i="56"/>
  <c r="I36" i="56"/>
  <c r="I35" i="56"/>
  <c r="I34" i="56"/>
  <c r="I33" i="56"/>
  <c r="I32" i="56"/>
  <c r="I31" i="56"/>
  <c r="I30" i="56"/>
  <c r="I29" i="56"/>
  <c r="I28" i="56"/>
  <c r="I27" i="56"/>
  <c r="I26" i="56"/>
  <c r="I23" i="56"/>
  <c r="I21" i="56"/>
  <c r="I19" i="56"/>
  <c r="I17" i="56"/>
  <c r="I16" i="56"/>
  <c r="I15" i="56"/>
  <c r="I12" i="56"/>
  <c r="I9" i="56"/>
  <c r="I8" i="56"/>
  <c r="I7" i="56"/>
  <c r="I6" i="56"/>
  <c r="I5" i="56"/>
  <c r="I3" i="56"/>
  <c r="I2" i="56" s="1"/>
  <c r="H2" i="56"/>
  <c r="M41" i="9"/>
  <c r="K82" i="21"/>
  <c r="K78" i="21" s="1"/>
  <c r="K9" i="19"/>
  <c r="K4" i="21"/>
  <c r="L98" i="21"/>
  <c r="L90" i="21"/>
  <c r="L89" i="21"/>
  <c r="L88" i="21"/>
  <c r="L87" i="21"/>
  <c r="L86" i="21"/>
  <c r="L85" i="21"/>
  <c r="L83" i="21"/>
  <c r="L81" i="21"/>
  <c r="L80" i="21"/>
  <c r="L79" i="21"/>
  <c r="L6" i="21"/>
  <c r="L7" i="21"/>
  <c r="L8" i="21"/>
  <c r="L9" i="21"/>
  <c r="L11" i="21"/>
  <c r="L13" i="21"/>
  <c r="L14" i="21"/>
  <c r="L15" i="21"/>
  <c r="L17" i="21"/>
  <c r="L18" i="21"/>
  <c r="L19" i="21"/>
  <c r="L20" i="21"/>
  <c r="L21" i="21"/>
  <c r="L22" i="21"/>
  <c r="L23" i="21"/>
  <c r="L26" i="21"/>
  <c r="L27" i="21"/>
  <c r="L29" i="21"/>
  <c r="L30" i="21"/>
  <c r="L31" i="21"/>
  <c r="L33" i="21"/>
  <c r="L34" i="21"/>
  <c r="L35" i="21"/>
  <c r="L36" i="21"/>
  <c r="L37" i="21"/>
  <c r="L39" i="21"/>
  <c r="L40" i="21"/>
  <c r="L41" i="21"/>
  <c r="L42" i="21"/>
  <c r="L44" i="21"/>
  <c r="L45" i="21"/>
  <c r="L46" i="21"/>
  <c r="L47" i="21"/>
  <c r="L48" i="21"/>
  <c r="L49" i="21"/>
  <c r="L50" i="21"/>
  <c r="L51" i="21"/>
  <c r="L52" i="21"/>
  <c r="L53" i="21"/>
  <c r="L54" i="21"/>
  <c r="L56" i="21"/>
  <c r="L57" i="21"/>
  <c r="L58" i="21"/>
  <c r="L59" i="21"/>
  <c r="L60" i="21"/>
  <c r="L61" i="21"/>
  <c r="L62" i="21"/>
  <c r="L63" i="21"/>
  <c r="L64" i="21"/>
  <c r="L65" i="21"/>
  <c r="L66" i="21"/>
  <c r="M39" i="9"/>
  <c r="M72" i="9"/>
  <c r="M96" i="9"/>
  <c r="M57" i="9"/>
  <c r="L25" i="17"/>
  <c r="K3" i="21" l="1"/>
  <c r="I28" i="23" l="1"/>
  <c r="I35" i="23"/>
  <c r="I18" i="23"/>
  <c r="J35" i="19"/>
  <c r="J39" i="19"/>
  <c r="J25" i="19"/>
  <c r="K41" i="53"/>
  <c r="K40" i="53"/>
  <c r="N25" i="19" l="1"/>
  <c r="J20" i="19"/>
  <c r="G24" i="51"/>
  <c r="E24" i="51"/>
  <c r="G4" i="51"/>
  <c r="H4" i="52"/>
  <c r="H3" i="52" s="1"/>
  <c r="G3" i="7"/>
  <c r="F36" i="32"/>
  <c r="F17" i="32"/>
  <c r="F3" i="32" s="1"/>
  <c r="G3" i="51" l="1"/>
  <c r="K90" i="1"/>
  <c r="K89" i="1"/>
  <c r="K87" i="1"/>
  <c r="I86" i="1"/>
  <c r="K88" i="1"/>
  <c r="I53" i="1"/>
  <c r="J24" i="53" l="1"/>
  <c r="M66" i="53"/>
  <c r="J59" i="53"/>
  <c r="M65" i="53"/>
  <c r="J41" i="53"/>
  <c r="M67" i="53"/>
  <c r="J40" i="53"/>
  <c r="J33" i="53"/>
  <c r="J42" i="53"/>
  <c r="J21" i="53"/>
  <c r="M68" i="53" l="1"/>
  <c r="M64" i="53"/>
  <c r="M63" i="53"/>
  <c r="M62" i="53"/>
  <c r="M61" i="53"/>
  <c r="M60" i="53"/>
  <c r="M59" i="53"/>
  <c r="M58" i="53"/>
  <c r="M57" i="53"/>
  <c r="M56" i="53"/>
  <c r="M54" i="53"/>
  <c r="L52" i="53"/>
  <c r="K52" i="53"/>
  <c r="J52" i="53"/>
  <c r="M50" i="53"/>
  <c r="M49" i="53"/>
  <c r="M48" i="53"/>
  <c r="M47" i="53"/>
  <c r="M46" i="53"/>
  <c r="M45" i="53"/>
  <c r="M43" i="53"/>
  <c r="M42" i="53"/>
  <c r="M41" i="53"/>
  <c r="M40" i="53"/>
  <c r="M38" i="53"/>
  <c r="M37" i="53"/>
  <c r="M36" i="53"/>
  <c r="M35" i="53"/>
  <c r="M33" i="53"/>
  <c r="M32" i="53"/>
  <c r="M31" i="53"/>
  <c r="M30" i="53"/>
  <c r="M29" i="53"/>
  <c r="M28" i="53"/>
  <c r="M27" i="53"/>
  <c r="M26" i="53"/>
  <c r="M25" i="53"/>
  <c r="M24" i="53"/>
  <c r="M23" i="53"/>
  <c r="M22" i="53"/>
  <c r="M21" i="53"/>
  <c r="M20" i="53"/>
  <c r="M18" i="53"/>
  <c r="M16" i="53"/>
  <c r="M15" i="53"/>
  <c r="M14" i="53"/>
  <c r="M13" i="53"/>
  <c r="M12" i="53"/>
  <c r="M11" i="53"/>
  <c r="M10" i="53"/>
  <c r="M9" i="53"/>
  <c r="M8" i="53"/>
  <c r="M7" i="53"/>
  <c r="L5" i="53"/>
  <c r="K5" i="53"/>
  <c r="K4" i="53" s="1"/>
  <c r="J5" i="53"/>
  <c r="J4" i="53" l="1"/>
  <c r="M52" i="53"/>
  <c r="L4" i="53"/>
  <c r="M5" i="53"/>
  <c r="M4" i="53" l="1"/>
  <c r="I49" i="1" l="1"/>
  <c r="I48" i="1"/>
  <c r="I44" i="1"/>
  <c r="I45" i="1"/>
  <c r="I42" i="1"/>
  <c r="I41" i="1"/>
  <c r="I14" i="1"/>
  <c r="I17" i="1"/>
  <c r="I22" i="1"/>
  <c r="I83" i="1"/>
  <c r="I25" i="1"/>
  <c r="I33" i="1"/>
  <c r="K33" i="1" s="1"/>
  <c r="I16" i="1"/>
  <c r="I36" i="1"/>
  <c r="I37" i="1"/>
  <c r="I112" i="1"/>
  <c r="I109" i="1"/>
  <c r="K130" i="1"/>
  <c r="I119" i="1"/>
  <c r="I115" i="1"/>
  <c r="I129" i="1"/>
  <c r="I117" i="1"/>
  <c r="I128" i="1"/>
  <c r="I113" i="1"/>
  <c r="I110" i="1"/>
  <c r="I111" i="1"/>
  <c r="I122" i="1"/>
  <c r="K131" i="1" l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J108" i="1"/>
  <c r="K10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I4" i="1"/>
  <c r="K16" i="1"/>
  <c r="K15" i="1"/>
  <c r="K14" i="1"/>
  <c r="K13" i="1"/>
  <c r="K12" i="1"/>
  <c r="K11" i="1"/>
  <c r="K10" i="1"/>
  <c r="K9" i="1"/>
  <c r="K8" i="1"/>
  <c r="K7" i="1"/>
  <c r="K6" i="1"/>
  <c r="K5" i="1"/>
  <c r="J4" i="1"/>
  <c r="I3" i="47"/>
  <c r="F121" i="27"/>
  <c r="F4" i="27"/>
  <c r="M30" i="25"/>
  <c r="M35" i="25"/>
  <c r="M31" i="25"/>
  <c r="M29" i="25"/>
  <c r="M28" i="25"/>
  <c r="M27" i="25"/>
  <c r="M26" i="25"/>
  <c r="M25" i="25"/>
  <c r="M24" i="25"/>
  <c r="M23" i="25"/>
  <c r="M22" i="25"/>
  <c r="M21" i="25"/>
  <c r="M20" i="25"/>
  <c r="M19" i="25"/>
  <c r="M18" i="25"/>
  <c r="M17" i="25"/>
  <c r="M16" i="25"/>
  <c r="M15" i="25"/>
  <c r="M14" i="25"/>
  <c r="M13" i="25"/>
  <c r="M12" i="25"/>
  <c r="M11" i="25"/>
  <c r="M10" i="25"/>
  <c r="M9" i="25"/>
  <c r="M8" i="25"/>
  <c r="M7" i="25"/>
  <c r="M6" i="25"/>
  <c r="J3" i="25"/>
  <c r="M4" i="25"/>
  <c r="L3" i="25"/>
  <c r="K3" i="25"/>
  <c r="F3" i="27" l="1"/>
  <c r="J3" i="1"/>
  <c r="K108" i="1"/>
  <c r="K17" i="1"/>
  <c r="K4" i="1" s="1"/>
  <c r="I108" i="1"/>
  <c r="I3" i="1" s="1"/>
  <c r="M5" i="25"/>
  <c r="M3" i="25" s="1"/>
  <c r="K3" i="1" l="1"/>
  <c r="I55" i="21" l="1"/>
  <c r="L55" i="21" s="1"/>
  <c r="I43" i="21"/>
  <c r="L43" i="21" s="1"/>
  <c r="I77" i="21"/>
  <c r="L77" i="21" s="1"/>
  <c r="I38" i="21"/>
  <c r="L38" i="21" s="1"/>
  <c r="I28" i="21"/>
  <c r="L28" i="21" s="1"/>
  <c r="I12" i="21"/>
  <c r="L12" i="21" s="1"/>
  <c r="I25" i="21"/>
  <c r="L25" i="21" s="1"/>
  <c r="I10" i="21"/>
  <c r="L10" i="21" s="1"/>
  <c r="I16" i="21"/>
  <c r="L16" i="21" s="1"/>
  <c r="I5" i="21"/>
  <c r="L5" i="21" s="1"/>
  <c r="I32" i="21"/>
  <c r="L32" i="21" s="1"/>
  <c r="I24" i="21"/>
  <c r="L24" i="21" s="1"/>
  <c r="I84" i="21"/>
  <c r="L84" i="21" s="1"/>
  <c r="I82" i="21"/>
  <c r="L82" i="21" s="1"/>
  <c r="J78" i="21"/>
  <c r="J4" i="21"/>
  <c r="H57" i="23"/>
  <c r="H18" i="23"/>
  <c r="J3" i="21" l="1"/>
  <c r="I78" i="21"/>
  <c r="L4" i="21"/>
  <c r="L78" i="21"/>
  <c r="I4" i="21"/>
  <c r="I3" i="21" l="1"/>
  <c r="L3" i="21"/>
  <c r="J85" i="23" l="1"/>
  <c r="H59" i="23"/>
  <c r="J35" i="23"/>
  <c r="H22" i="23"/>
  <c r="J22" i="23" s="1"/>
  <c r="H8" i="23"/>
  <c r="J8" i="23" s="1"/>
  <c r="J18" i="23"/>
  <c r="J12" i="23"/>
  <c r="H17" i="23"/>
  <c r="J10" i="23"/>
  <c r="J83" i="23"/>
  <c r="J61" i="23"/>
  <c r="H51" i="23"/>
  <c r="J51" i="23" s="1"/>
  <c r="H28" i="23"/>
  <c r="H21" i="23"/>
  <c r="J21" i="23" s="1"/>
  <c r="H43" i="23"/>
  <c r="J43" i="23" s="1"/>
  <c r="H15" i="23"/>
  <c r="J15" i="23" s="1"/>
  <c r="J60" i="23"/>
  <c r="H75" i="23"/>
  <c r="J75" i="23" s="1"/>
  <c r="J84" i="23"/>
  <c r="J88" i="23"/>
  <c r="J82" i="23"/>
  <c r="J81" i="23"/>
  <c r="J80" i="23"/>
  <c r="J79" i="23"/>
  <c r="J78" i="23"/>
  <c r="J77" i="23"/>
  <c r="J76" i="23"/>
  <c r="J74" i="23"/>
  <c r="J73" i="23"/>
  <c r="J70" i="23"/>
  <c r="J69" i="23"/>
  <c r="I68" i="23"/>
  <c r="J67" i="23"/>
  <c r="J59" i="23"/>
  <c r="J58" i="23"/>
  <c r="J57" i="23"/>
  <c r="J56" i="23"/>
  <c r="J55" i="23"/>
  <c r="J54" i="23"/>
  <c r="J53" i="23"/>
  <c r="J52" i="23"/>
  <c r="J50" i="23"/>
  <c r="J49" i="23"/>
  <c r="J48" i="23"/>
  <c r="J47" i="23"/>
  <c r="J46" i="23"/>
  <c r="J45" i="23"/>
  <c r="J44" i="23"/>
  <c r="J42" i="23"/>
  <c r="J41" i="23"/>
  <c r="J40" i="23"/>
  <c r="J39" i="23"/>
  <c r="J38" i="23"/>
  <c r="J37" i="23"/>
  <c r="J36" i="23"/>
  <c r="J34" i="23"/>
  <c r="J33" i="23"/>
  <c r="J32" i="23"/>
  <c r="J31" i="23"/>
  <c r="J30" i="23"/>
  <c r="J29" i="23"/>
  <c r="J28" i="23"/>
  <c r="J27" i="23"/>
  <c r="J26" i="23"/>
  <c r="J25" i="23"/>
  <c r="J24" i="23"/>
  <c r="J23" i="23"/>
  <c r="J20" i="23"/>
  <c r="J19" i="23"/>
  <c r="J17" i="23"/>
  <c r="J16" i="23"/>
  <c r="J14" i="23"/>
  <c r="J13" i="23"/>
  <c r="J11" i="23"/>
  <c r="J7" i="23"/>
  <c r="J6" i="23"/>
  <c r="I5" i="23"/>
  <c r="E5" i="13"/>
  <c r="E3" i="13" s="1"/>
  <c r="N42" i="19"/>
  <c r="N43" i="19"/>
  <c r="N41" i="19"/>
  <c r="N40" i="19"/>
  <c r="N39" i="19"/>
  <c r="N38" i="19"/>
  <c r="N37" i="19"/>
  <c r="I30" i="19"/>
  <c r="N30" i="19" s="1"/>
  <c r="I23" i="19"/>
  <c r="J5" i="19"/>
  <c r="K5" i="19"/>
  <c r="I5" i="19"/>
  <c r="N19" i="19"/>
  <c r="N13" i="19"/>
  <c r="N44" i="19"/>
  <c r="N36" i="19"/>
  <c r="N35" i="19"/>
  <c r="N34" i="19"/>
  <c r="N33" i="19"/>
  <c r="N32" i="19"/>
  <c r="N31" i="19"/>
  <c r="N29" i="19"/>
  <c r="N15" i="19"/>
  <c r="N8" i="19"/>
  <c r="N27" i="19"/>
  <c r="N10" i="19"/>
  <c r="N24" i="19"/>
  <c r="N6" i="19"/>
  <c r="N22" i="19"/>
  <c r="N14" i="19"/>
  <c r="N12" i="19"/>
  <c r="N11" i="19"/>
  <c r="N7" i="19"/>
  <c r="N9" i="19"/>
  <c r="N21" i="19"/>
  <c r="N50" i="19"/>
  <c r="J29" i="17"/>
  <c r="J27" i="17"/>
  <c r="J44" i="17"/>
  <c r="J39" i="17"/>
  <c r="J28" i="17"/>
  <c r="J19" i="17"/>
  <c r="J47" i="17"/>
  <c r="J10" i="17"/>
  <c r="J37" i="17"/>
  <c r="J13" i="17"/>
  <c r="J7" i="17"/>
  <c r="J16" i="17"/>
  <c r="J41" i="17"/>
  <c r="J21" i="17"/>
  <c r="J15" i="17"/>
  <c r="J32" i="17"/>
  <c r="J25" i="17"/>
  <c r="J9" i="17"/>
  <c r="J5" i="17"/>
  <c r="J8" i="17"/>
  <c r="J46" i="17"/>
  <c r="J43" i="17"/>
  <c r="J40" i="17"/>
  <c r="J6" i="17"/>
  <c r="J18" i="17"/>
  <c r="J58" i="17"/>
  <c r="J57" i="17"/>
  <c r="J55" i="17"/>
  <c r="J56" i="17"/>
  <c r="I3" i="23" l="1"/>
  <c r="I4" i="23"/>
  <c r="N23" i="19"/>
  <c r="N20" i="19" s="1"/>
  <c r="I20" i="19"/>
  <c r="I4" i="19" s="1"/>
  <c r="H5" i="23"/>
  <c r="H68" i="23"/>
  <c r="J68" i="23"/>
  <c r="J5" i="23"/>
  <c r="N5" i="19"/>
  <c r="K4" i="19"/>
  <c r="J4" i="19"/>
  <c r="J4" i="23" l="1"/>
  <c r="H4" i="23"/>
  <c r="N4" i="19"/>
  <c r="H3" i="23"/>
  <c r="J3" i="23"/>
  <c r="M58" i="17" l="1"/>
  <c r="M57" i="17"/>
  <c r="M56" i="17"/>
  <c r="M55" i="17"/>
  <c r="M54" i="17"/>
  <c r="M53" i="17"/>
  <c r="M52" i="17"/>
  <c r="L51" i="17"/>
  <c r="K51" i="17"/>
  <c r="J51" i="17"/>
  <c r="M50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1" i="17"/>
  <c r="M10" i="17"/>
  <c r="M9" i="17"/>
  <c r="M8" i="17"/>
  <c r="M7" i="17"/>
  <c r="M6" i="17"/>
  <c r="M5" i="17"/>
  <c r="L4" i="17"/>
  <c r="K4" i="17"/>
  <c r="I21" i="15"/>
  <c r="I11" i="15"/>
  <c r="M9" i="15"/>
  <c r="L3" i="17" l="1"/>
  <c r="M4" i="17"/>
  <c r="K3" i="17"/>
  <c r="M51" i="17"/>
  <c r="J4" i="17"/>
  <c r="J3" i="17" s="1"/>
  <c r="M3" i="17" l="1"/>
  <c r="M82" i="15" l="1"/>
  <c r="M81" i="15"/>
  <c r="M78" i="15"/>
  <c r="I75" i="15"/>
  <c r="M75" i="15" s="1"/>
  <c r="M80" i="15"/>
  <c r="M79" i="15"/>
  <c r="I77" i="15"/>
  <c r="M77" i="15" s="1"/>
  <c r="I44" i="15"/>
  <c r="M44" i="15" s="1"/>
  <c r="I43" i="15"/>
  <c r="M43" i="15" s="1"/>
  <c r="I36" i="15"/>
  <c r="M36" i="15" s="1"/>
  <c r="I34" i="15"/>
  <c r="M34" i="15" s="1"/>
  <c r="I66" i="15"/>
  <c r="M66" i="15" s="1"/>
  <c r="I40" i="15"/>
  <c r="M40" i="15" s="1"/>
  <c r="I59" i="15"/>
  <c r="M59" i="15" s="1"/>
  <c r="I58" i="15"/>
  <c r="I102" i="15"/>
  <c r="I101" i="15" s="1"/>
  <c r="M107" i="15"/>
  <c r="M106" i="15"/>
  <c r="M105" i="15"/>
  <c r="M104" i="15"/>
  <c r="M103" i="15"/>
  <c r="K101" i="15"/>
  <c r="J101" i="15"/>
  <c r="M100" i="15"/>
  <c r="M76" i="15"/>
  <c r="M74" i="15"/>
  <c r="M73" i="15"/>
  <c r="M72" i="15"/>
  <c r="M71" i="15"/>
  <c r="M70" i="15"/>
  <c r="M69" i="15"/>
  <c r="M68" i="15"/>
  <c r="M67" i="15"/>
  <c r="M65" i="15"/>
  <c r="M64" i="15"/>
  <c r="M63" i="15"/>
  <c r="M62" i="15"/>
  <c r="M61" i="15"/>
  <c r="M60" i="15"/>
  <c r="M57" i="15"/>
  <c r="M56" i="15"/>
  <c r="M55" i="15"/>
  <c r="M54" i="15"/>
  <c r="M53" i="15"/>
  <c r="M52" i="15"/>
  <c r="M51" i="15"/>
  <c r="M50" i="15"/>
  <c r="M49" i="15"/>
  <c r="M47" i="15"/>
  <c r="M46" i="15"/>
  <c r="M45" i="15"/>
  <c r="M42" i="15"/>
  <c r="M41" i="15"/>
  <c r="M39" i="15"/>
  <c r="M38" i="15"/>
  <c r="M37" i="15"/>
  <c r="M35" i="15"/>
  <c r="M33" i="15"/>
  <c r="M32" i="15"/>
  <c r="K31" i="15"/>
  <c r="J31" i="15"/>
  <c r="M28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1" i="15"/>
  <c r="M10" i="15"/>
  <c r="M8" i="15"/>
  <c r="M7" i="15"/>
  <c r="M6" i="15"/>
  <c r="M5" i="15"/>
  <c r="K4" i="15"/>
  <c r="J4" i="15"/>
  <c r="I4" i="15"/>
  <c r="M102" i="15" l="1"/>
  <c r="I31" i="15"/>
  <c r="I30" i="15" s="1"/>
  <c r="I3" i="15" s="1"/>
  <c r="M58" i="15"/>
  <c r="M31" i="15" s="1"/>
  <c r="K30" i="15"/>
  <c r="K3" i="15" s="1"/>
  <c r="M101" i="15"/>
  <c r="J30" i="15"/>
  <c r="J3" i="15" s="1"/>
  <c r="M4" i="15"/>
  <c r="R89" i="9"/>
  <c r="R88" i="9"/>
  <c r="K87" i="9"/>
  <c r="R87" i="9" s="1"/>
  <c r="K70" i="9"/>
  <c r="R70" i="9" s="1"/>
  <c r="K72" i="9"/>
  <c r="R72" i="9" s="1"/>
  <c r="R86" i="9"/>
  <c r="K62" i="9"/>
  <c r="R62" i="9" s="1"/>
  <c r="K52" i="9"/>
  <c r="R52" i="9" s="1"/>
  <c r="K67" i="9"/>
  <c r="R67" i="9" s="1"/>
  <c r="K84" i="9"/>
  <c r="R84" i="9" s="1"/>
  <c r="K35" i="9"/>
  <c r="R35" i="9" s="1"/>
  <c r="K51" i="9"/>
  <c r="R51" i="9" s="1"/>
  <c r="K34" i="9"/>
  <c r="R34" i="9" s="1"/>
  <c r="K71" i="9"/>
  <c r="R71" i="9" s="1"/>
  <c r="R83" i="9"/>
  <c r="R85" i="9"/>
  <c r="K42" i="9"/>
  <c r="R42" i="9" s="1"/>
  <c r="R101" i="9"/>
  <c r="L97" i="9"/>
  <c r="M97" i="9"/>
  <c r="Q97" i="9"/>
  <c r="R102" i="9"/>
  <c r="K98" i="9"/>
  <c r="R98" i="9" s="1"/>
  <c r="R29" i="9"/>
  <c r="R26" i="9"/>
  <c r="R22" i="9"/>
  <c r="R9" i="9"/>
  <c r="R16" i="9"/>
  <c r="R18" i="9"/>
  <c r="R100" i="9"/>
  <c r="R99" i="9"/>
  <c r="R96" i="9"/>
  <c r="R82" i="9"/>
  <c r="R81" i="9"/>
  <c r="R80" i="9"/>
  <c r="R79" i="9"/>
  <c r="R78" i="9"/>
  <c r="R77" i="9"/>
  <c r="R76" i="9"/>
  <c r="R74" i="9"/>
  <c r="R73" i="9"/>
  <c r="R69" i="9"/>
  <c r="R68" i="9"/>
  <c r="R66" i="9"/>
  <c r="R65" i="9"/>
  <c r="R64" i="9"/>
  <c r="R63" i="9"/>
  <c r="R61" i="9"/>
  <c r="R60" i="9"/>
  <c r="R59" i="9"/>
  <c r="R58" i="9"/>
  <c r="R57" i="9"/>
  <c r="R56" i="9"/>
  <c r="R55" i="9"/>
  <c r="R54" i="9"/>
  <c r="R53" i="9"/>
  <c r="R50" i="9"/>
  <c r="R49" i="9"/>
  <c r="R48" i="9"/>
  <c r="R47" i="9"/>
  <c r="R46" i="9"/>
  <c r="R45" i="9"/>
  <c r="R44" i="9"/>
  <c r="R43" i="9"/>
  <c r="R41" i="9"/>
  <c r="R40" i="9"/>
  <c r="R39" i="9"/>
  <c r="R38" i="9"/>
  <c r="R37" i="9"/>
  <c r="R36" i="9"/>
  <c r="Q33" i="9"/>
  <c r="M33" i="9"/>
  <c r="L33" i="9"/>
  <c r="R31" i="9"/>
  <c r="R28" i="9"/>
  <c r="R27" i="9"/>
  <c r="R25" i="9"/>
  <c r="R24" i="9"/>
  <c r="R23" i="9"/>
  <c r="R21" i="9"/>
  <c r="R20" i="9"/>
  <c r="R19" i="9"/>
  <c r="R17" i="9"/>
  <c r="R15" i="9"/>
  <c r="R14" i="9"/>
  <c r="R13" i="9"/>
  <c r="R12" i="9"/>
  <c r="R11" i="9"/>
  <c r="R10" i="9"/>
  <c r="R8" i="9"/>
  <c r="R7" i="9"/>
  <c r="R6" i="9"/>
  <c r="R5" i="9"/>
  <c r="Q4" i="9"/>
  <c r="M4" i="9"/>
  <c r="L4" i="9"/>
  <c r="H4" i="48"/>
  <c r="H3" i="48" s="1"/>
  <c r="M30" i="15" l="1"/>
  <c r="M3" i="15" s="1"/>
  <c r="L32" i="9"/>
  <c r="L3" i="9" s="1"/>
  <c r="M32" i="9"/>
  <c r="M3" i="9" s="1"/>
  <c r="R97" i="9"/>
  <c r="K97" i="9"/>
  <c r="K33" i="9"/>
  <c r="K32" i="9" s="1"/>
  <c r="Q32" i="9"/>
  <c r="Q3" i="9" s="1"/>
  <c r="R4" i="9"/>
  <c r="K4" i="9"/>
  <c r="R106" i="9"/>
  <c r="R33" i="9"/>
  <c r="K3" i="9" l="1"/>
  <c r="R32" i="9"/>
  <c r="R3" i="9" s="1"/>
  <c r="H63" i="53" l="1"/>
  <c r="D2" i="56" l="1"/>
  <c r="C2" i="56"/>
  <c r="E155" i="56"/>
  <c r="E220" i="56"/>
  <c r="E198" i="56"/>
  <c r="E196" i="56"/>
  <c r="E184" i="56"/>
  <c r="E171" i="56"/>
  <c r="E157" i="56"/>
  <c r="E152" i="56"/>
  <c r="E149" i="56"/>
  <c r="E111" i="56"/>
  <c r="E102" i="56"/>
  <c r="E85" i="56"/>
  <c r="E69" i="56"/>
  <c r="E71" i="56"/>
  <c r="E72" i="56"/>
  <c r="E66" i="56"/>
  <c r="E60" i="56"/>
  <c r="E46" i="56"/>
  <c r="E45" i="56"/>
  <c r="E32" i="56"/>
  <c r="E33" i="56"/>
  <c r="E7" i="56"/>
  <c r="E8" i="56"/>
  <c r="E15" i="56"/>
  <c r="E21" i="56"/>
  <c r="E23" i="56"/>
  <c r="E27" i="56"/>
  <c r="E29" i="56"/>
  <c r="E31" i="56"/>
  <c r="E36" i="56"/>
  <c r="E37" i="56"/>
  <c r="E41" i="56"/>
  <c r="E47" i="56"/>
  <c r="E51" i="56"/>
  <c r="E56" i="56"/>
  <c r="E61" i="56"/>
  <c r="E67" i="56"/>
  <c r="E74" i="56"/>
  <c r="E77" i="56"/>
  <c r="E78" i="56"/>
  <c r="E82" i="56"/>
  <c r="E87" i="56"/>
  <c r="E91" i="56"/>
  <c r="E92" i="56"/>
  <c r="E95" i="56"/>
  <c r="E96" i="56"/>
  <c r="E99" i="56"/>
  <c r="E101" i="56"/>
  <c r="E104" i="56"/>
  <c r="E107" i="56"/>
  <c r="E110" i="56"/>
  <c r="E115" i="56"/>
  <c r="E117" i="56"/>
  <c r="E120" i="56"/>
  <c r="E122" i="56"/>
  <c r="E124" i="56"/>
  <c r="E126" i="56"/>
  <c r="E128" i="56"/>
  <c r="E133" i="56"/>
  <c r="E135" i="56"/>
  <c r="E137" i="56"/>
  <c r="E140" i="56"/>
  <c r="E142" i="56"/>
  <c r="E144" i="56"/>
  <c r="E147" i="56"/>
  <c r="E156" i="56"/>
  <c r="E160" i="56"/>
  <c r="E162" i="56"/>
  <c r="E164" i="56"/>
  <c r="E166" i="56"/>
  <c r="E168" i="56"/>
  <c r="E170" i="56"/>
  <c r="E176" i="56"/>
  <c r="E178" i="56"/>
  <c r="E180" i="56"/>
  <c r="E183" i="56"/>
  <c r="E187" i="56"/>
  <c r="E190" i="56"/>
  <c r="E192" i="56"/>
  <c r="E200" i="56"/>
  <c r="E202" i="56"/>
  <c r="E204" i="56"/>
  <c r="E206" i="56"/>
  <c r="E209" i="56"/>
  <c r="E211" i="56"/>
  <c r="E213" i="56"/>
  <c r="E218" i="56"/>
  <c r="E223" i="56"/>
  <c r="E226" i="56"/>
  <c r="E228" i="56"/>
  <c r="E230" i="56"/>
  <c r="E232" i="56"/>
  <c r="E234" i="56"/>
  <c r="E239" i="56"/>
  <c r="E241" i="56"/>
  <c r="E243" i="56"/>
  <c r="E245" i="56"/>
  <c r="E247" i="56"/>
  <c r="E249" i="56"/>
  <c r="E251" i="56"/>
  <c r="E253" i="56"/>
  <c r="E3" i="56"/>
  <c r="E5" i="56"/>
  <c r="E6" i="56"/>
  <c r="E9" i="56"/>
  <c r="E12" i="56"/>
  <c r="E16" i="56"/>
  <c r="E17" i="56"/>
  <c r="E19" i="56"/>
  <c r="E26" i="56"/>
  <c r="E28" i="56"/>
  <c r="E30" i="56"/>
  <c r="E34" i="56"/>
  <c r="E35" i="56"/>
  <c r="E38" i="56"/>
  <c r="E39" i="56"/>
  <c r="E40" i="56"/>
  <c r="E42" i="56"/>
  <c r="E43" i="56"/>
  <c r="E44" i="56"/>
  <c r="E48" i="56"/>
  <c r="E49" i="56"/>
  <c r="E50" i="56"/>
  <c r="E52" i="56"/>
  <c r="E53" i="56"/>
  <c r="E55" i="56"/>
  <c r="E57" i="56"/>
  <c r="E58" i="56"/>
  <c r="E59" i="56"/>
  <c r="E62" i="56"/>
  <c r="E63" i="56"/>
  <c r="E65" i="56"/>
  <c r="E68" i="56"/>
  <c r="E73" i="56"/>
  <c r="E75" i="56"/>
  <c r="E76" i="56"/>
  <c r="E79" i="56"/>
  <c r="E80" i="56"/>
  <c r="E81" i="56"/>
  <c r="E83" i="56"/>
  <c r="E84" i="56"/>
  <c r="E86" i="56"/>
  <c r="E88" i="56"/>
  <c r="E89" i="56"/>
  <c r="E90" i="56"/>
  <c r="E93" i="56"/>
  <c r="E94" i="56"/>
  <c r="E97" i="56"/>
  <c r="E98" i="56"/>
  <c r="E100" i="56"/>
  <c r="E103" i="56"/>
  <c r="E106" i="56"/>
  <c r="E109" i="56"/>
  <c r="E112" i="56"/>
  <c r="E113" i="56"/>
  <c r="E114" i="56"/>
  <c r="E116" i="56"/>
  <c r="E118" i="56"/>
  <c r="E121" i="56"/>
  <c r="E123" i="56"/>
  <c r="E125" i="56"/>
  <c r="E127" i="56"/>
  <c r="E129" i="56"/>
  <c r="E131" i="56"/>
  <c r="E132" i="56"/>
  <c r="E134" i="56"/>
  <c r="E136" i="56"/>
  <c r="E139" i="56"/>
  <c r="E141" i="56"/>
  <c r="E143" i="56"/>
  <c r="E146" i="56"/>
  <c r="E150" i="56"/>
  <c r="E153" i="56"/>
  <c r="E154" i="56"/>
  <c r="E159" i="56"/>
  <c r="E161" i="56"/>
  <c r="E163" i="56"/>
  <c r="E165" i="56"/>
  <c r="E167" i="56"/>
  <c r="E169" i="56"/>
  <c r="E172" i="56"/>
  <c r="E173" i="56"/>
  <c r="E175" i="56"/>
  <c r="E177" i="56"/>
  <c r="E179" i="56"/>
  <c r="E181" i="56"/>
  <c r="E186" i="56"/>
  <c r="E188" i="56"/>
  <c r="E191" i="56"/>
  <c r="E194" i="56"/>
  <c r="E197" i="56"/>
  <c r="E199" i="56"/>
  <c r="E201" i="56"/>
  <c r="E203" i="56"/>
  <c r="E205" i="56"/>
  <c r="E208" i="56"/>
  <c r="E210" i="56"/>
  <c r="E212" i="56"/>
  <c r="E214" i="56"/>
  <c r="E215" i="56"/>
  <c r="E217" i="56"/>
  <c r="E221" i="56"/>
  <c r="E224" i="56"/>
  <c r="E227" i="56"/>
  <c r="E229" i="56"/>
  <c r="E231" i="56"/>
  <c r="E233" i="56"/>
  <c r="E235" i="56"/>
  <c r="E236" i="56"/>
  <c r="E238" i="56"/>
  <c r="E240" i="56"/>
  <c r="E242" i="56"/>
  <c r="E244" i="56"/>
  <c r="E246" i="56"/>
  <c r="E248" i="56"/>
  <c r="E250" i="56"/>
  <c r="E252" i="56"/>
  <c r="E2" i="56" l="1"/>
  <c r="E49" i="1"/>
  <c r="E86" i="1" l="1"/>
  <c r="G86" i="1" s="1"/>
  <c r="G85" i="1"/>
  <c r="E84" i="1"/>
  <c r="G84" i="1" s="1"/>
  <c r="E53" i="1"/>
  <c r="E46" i="1"/>
  <c r="E45" i="1"/>
  <c r="E42" i="1"/>
  <c r="E41" i="1"/>
  <c r="E47" i="1"/>
  <c r="E14" i="1"/>
  <c r="E17" i="1"/>
  <c r="E22" i="1"/>
  <c r="E83" i="1"/>
  <c r="G83" i="1" s="1"/>
  <c r="E25" i="1"/>
  <c r="G82" i="1"/>
  <c r="E32" i="1"/>
  <c r="E34" i="1"/>
  <c r="E66" i="1"/>
  <c r="E16" i="1"/>
  <c r="E36" i="1"/>
  <c r="E37" i="1"/>
  <c r="E112" i="1"/>
  <c r="E109" i="1"/>
  <c r="E115" i="1"/>
  <c r="E125" i="1"/>
  <c r="E129" i="1"/>
  <c r="G129" i="1" s="1"/>
  <c r="E114" i="1"/>
  <c r="E128" i="1"/>
  <c r="G128" i="1" s="1"/>
  <c r="E113" i="1"/>
  <c r="E127" i="1"/>
  <c r="G127" i="1" s="1"/>
  <c r="E110" i="1"/>
  <c r="G126" i="1"/>
  <c r="D76" i="27" l="1"/>
  <c r="D86" i="27"/>
  <c r="D9" i="27"/>
  <c r="D49" i="27"/>
  <c r="D41" i="27"/>
  <c r="D90" i="27"/>
  <c r="D39" i="27"/>
  <c r="D62" i="27"/>
  <c r="D81" i="27"/>
  <c r="D73" i="27"/>
  <c r="D14" i="27"/>
  <c r="D26" i="27"/>
  <c r="D15" i="27"/>
  <c r="D72" i="27"/>
  <c r="D45" i="27"/>
  <c r="D18" i="27"/>
  <c r="D50" i="27"/>
  <c r="D20" i="27"/>
  <c r="D6" i="27"/>
  <c r="D28" i="27"/>
  <c r="D27" i="27"/>
  <c r="D24" i="27"/>
  <c r="D11" i="27"/>
  <c r="D16" i="27"/>
  <c r="D53" i="27"/>
  <c r="D65" i="27"/>
  <c r="D30" i="27"/>
  <c r="D19" i="27"/>
  <c r="D29" i="27"/>
  <c r="D21" i="27"/>
  <c r="D32" i="27"/>
  <c r="D70" i="27"/>
  <c r="D156" i="27"/>
  <c r="D138" i="27"/>
  <c r="D165" i="27"/>
  <c r="D136" i="27"/>
  <c r="D122" i="27"/>
  <c r="D167" i="27"/>
  <c r="D166" i="27"/>
  <c r="D140" i="27"/>
  <c r="D182" i="27"/>
  <c r="D164" i="27"/>
  <c r="D124" i="27"/>
  <c r="D175" i="27"/>
  <c r="D131" i="27"/>
  <c r="D155" i="27"/>
  <c r="D125" i="27"/>
  <c r="D154" i="27"/>
  <c r="D159" i="27"/>
  <c r="D177" i="27"/>
  <c r="D134" i="27" l="1"/>
  <c r="D127" i="27"/>
  <c r="D153" i="27"/>
  <c r="D126" i="27"/>
  <c r="D170" i="27"/>
  <c r="D144" i="27"/>
  <c r="D158" i="27"/>
  <c r="D142" i="27"/>
  <c r="D168" i="27"/>
  <c r="D139" i="27"/>
  <c r="D128" i="27"/>
  <c r="D143" i="27"/>
  <c r="D135" i="27"/>
  <c r="D129" i="27"/>
  <c r="D149" i="27"/>
  <c r="D130" i="27"/>
  <c r="D148" i="27"/>
  <c r="D147" i="27"/>
  <c r="D146" i="27"/>
  <c r="D123" i="27"/>
  <c r="D178" i="27"/>
  <c r="H29" i="25"/>
  <c r="E8" i="25"/>
  <c r="E10" i="25"/>
  <c r="E19" i="25"/>
  <c r="E6" i="25"/>
  <c r="E5" i="25"/>
  <c r="E11" i="25"/>
  <c r="E13" i="25"/>
  <c r="E7" i="25"/>
  <c r="E9" i="25"/>
  <c r="H31" i="25"/>
  <c r="G58" i="21"/>
  <c r="G57" i="21"/>
  <c r="G56" i="21"/>
  <c r="E55" i="21"/>
  <c r="G55" i="21" s="1"/>
  <c r="G54" i="21"/>
  <c r="G53" i="21"/>
  <c r="G52" i="21"/>
  <c r="G51" i="21"/>
  <c r="G50" i="21"/>
  <c r="G49" i="21"/>
  <c r="E10" i="21"/>
  <c r="E32" i="21"/>
  <c r="G48" i="21"/>
  <c r="E7" i="21"/>
  <c r="G47" i="21"/>
  <c r="E83" i="21"/>
  <c r="E84" i="21"/>
  <c r="E82" i="21"/>
  <c r="G90" i="21"/>
  <c r="D59" i="23" l="1"/>
  <c r="F59" i="23" s="1"/>
  <c r="F58" i="23"/>
  <c r="D35" i="23"/>
  <c r="D15" i="23"/>
  <c r="D57" i="23"/>
  <c r="F57" i="23" s="1"/>
  <c r="F56" i="23"/>
  <c r="F55" i="23"/>
  <c r="D28" i="23"/>
  <c r="D22" i="23"/>
  <c r="D21" i="23"/>
  <c r="F54" i="23"/>
  <c r="D8" i="23"/>
  <c r="D18" i="23"/>
  <c r="D12" i="23"/>
  <c r="D17" i="23"/>
  <c r="D16" i="23"/>
  <c r="F53" i="23"/>
  <c r="F82" i="23"/>
  <c r="F81" i="23"/>
  <c r="D70" i="23"/>
  <c r="F80" i="23"/>
  <c r="F52" i="23"/>
  <c r="E25" i="19" l="1"/>
  <c r="E20" i="19" l="1"/>
  <c r="E4" i="19" s="1"/>
  <c r="D35" i="19"/>
  <c r="D8" i="19"/>
  <c r="D5" i="19" s="1"/>
  <c r="D23" i="19"/>
  <c r="G36" i="19"/>
  <c r="E46" i="17"/>
  <c r="E5" i="17"/>
  <c r="G76" i="15"/>
  <c r="D75" i="15"/>
  <c r="G75" i="15" s="1"/>
  <c r="D48" i="15"/>
  <c r="D44" i="15"/>
  <c r="D43" i="15"/>
  <c r="D36" i="15"/>
  <c r="D34" i="15"/>
  <c r="D66" i="15"/>
  <c r="D42" i="15"/>
  <c r="D59" i="15"/>
  <c r="G74" i="15"/>
  <c r="D58" i="15"/>
  <c r="D102" i="15"/>
  <c r="D20" i="19" l="1"/>
  <c r="D4" i="19" s="1"/>
  <c r="F41" i="53"/>
  <c r="F40" i="53"/>
  <c r="I82" i="9" l="1"/>
  <c r="I81" i="9"/>
  <c r="I80" i="9"/>
  <c r="I78" i="9"/>
  <c r="I79" i="9"/>
  <c r="E70" i="9"/>
  <c r="E68" i="9"/>
  <c r="E71" i="9"/>
  <c r="E67" i="9"/>
  <c r="E72" i="9"/>
  <c r="E42" i="9"/>
  <c r="E65" i="9"/>
  <c r="E62" i="9"/>
  <c r="E52" i="9"/>
  <c r="I77" i="9"/>
  <c r="E45" i="9"/>
  <c r="E51" i="9"/>
  <c r="E35" i="9"/>
  <c r="E47" i="9"/>
  <c r="I100" i="9"/>
  <c r="E98" i="9"/>
  <c r="I29" i="9"/>
  <c r="H64" i="53" l="1"/>
  <c r="H62" i="53"/>
  <c r="H61" i="53"/>
  <c r="H60" i="53"/>
  <c r="H59" i="53"/>
  <c r="H58" i="53"/>
  <c r="H57" i="53"/>
  <c r="H56" i="53"/>
  <c r="H54" i="53"/>
  <c r="G52" i="53"/>
  <c r="F52" i="53"/>
  <c r="E52" i="53"/>
  <c r="H50" i="53"/>
  <c r="H49" i="53"/>
  <c r="H48" i="53"/>
  <c r="H47" i="53"/>
  <c r="H46" i="53"/>
  <c r="H45" i="53"/>
  <c r="H43" i="53"/>
  <c r="H42" i="53"/>
  <c r="H41" i="53"/>
  <c r="H40" i="53"/>
  <c r="H38" i="53"/>
  <c r="H37" i="53"/>
  <c r="H36" i="53"/>
  <c r="H35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8" i="53"/>
  <c r="H16" i="53"/>
  <c r="H15" i="53"/>
  <c r="H14" i="53"/>
  <c r="H13" i="53"/>
  <c r="H12" i="53"/>
  <c r="H11" i="53"/>
  <c r="H10" i="53"/>
  <c r="H9" i="53"/>
  <c r="H8" i="53"/>
  <c r="H7" i="53"/>
  <c r="G5" i="53"/>
  <c r="F5" i="53"/>
  <c r="E5" i="53"/>
  <c r="E4" i="53" l="1"/>
  <c r="F4" i="53"/>
  <c r="G4" i="53"/>
  <c r="H52" i="53"/>
  <c r="H5" i="53"/>
  <c r="H4" i="53" l="1"/>
  <c r="D3" i="32" l="1"/>
  <c r="F3" i="52" l="1"/>
  <c r="E4" i="51" l="1"/>
  <c r="E3" i="51" s="1"/>
  <c r="E40" i="47" l="1"/>
  <c r="G33" i="47"/>
  <c r="E33" i="47"/>
  <c r="E32" i="47"/>
  <c r="E31" i="47"/>
  <c r="E30" i="47"/>
  <c r="E29" i="47"/>
  <c r="E28" i="47"/>
  <c r="E27" i="47"/>
  <c r="E26" i="47"/>
  <c r="G25" i="47"/>
  <c r="E25" i="47"/>
  <c r="E24" i="47"/>
  <c r="E23" i="47"/>
  <c r="E22" i="47"/>
  <c r="E21" i="47"/>
  <c r="E20" i="47"/>
  <c r="E19" i="47"/>
  <c r="G18" i="47"/>
  <c r="E18" i="47"/>
  <c r="E17" i="47"/>
  <c r="E16" i="47"/>
  <c r="E15" i="47"/>
  <c r="E14" i="47"/>
  <c r="E13" i="47"/>
  <c r="E12" i="47"/>
  <c r="E11" i="47"/>
  <c r="E10" i="47"/>
  <c r="E9" i="47"/>
  <c r="G8" i="47"/>
  <c r="E8" i="47"/>
  <c r="E7" i="47"/>
  <c r="E6" i="47"/>
  <c r="E5" i="47"/>
  <c r="G4" i="47"/>
  <c r="E4" i="47"/>
  <c r="D3" i="47"/>
  <c r="G3" i="47" l="1"/>
  <c r="E3" i="47"/>
  <c r="E3" i="7" l="1"/>
  <c r="G131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F108" i="1"/>
  <c r="E108" i="1"/>
  <c r="G107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E4" i="1"/>
  <c r="G35" i="1"/>
  <c r="G34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F4" i="1"/>
  <c r="D121" i="27"/>
  <c r="D4" i="27"/>
  <c r="H35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G3" i="25"/>
  <c r="F3" i="25"/>
  <c r="E3" i="25"/>
  <c r="G98" i="21"/>
  <c r="G89" i="21"/>
  <c r="G88" i="21"/>
  <c r="G87" i="21"/>
  <c r="G86" i="21"/>
  <c r="G85" i="21"/>
  <c r="G84" i="21"/>
  <c r="G83" i="21"/>
  <c r="G82" i="21"/>
  <c r="G81" i="21"/>
  <c r="G80" i="21"/>
  <c r="G79" i="21"/>
  <c r="F78" i="21"/>
  <c r="E78" i="21"/>
  <c r="G7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9" i="21"/>
  <c r="G28" i="2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F4" i="21"/>
  <c r="F88" i="23"/>
  <c r="F79" i="23"/>
  <c r="F78" i="23"/>
  <c r="F77" i="23"/>
  <c r="F76" i="23"/>
  <c r="F75" i="23"/>
  <c r="F74" i="23"/>
  <c r="F73" i="23"/>
  <c r="F70" i="23"/>
  <c r="F69" i="23"/>
  <c r="E68" i="23"/>
  <c r="D68" i="23"/>
  <c r="F67" i="23"/>
  <c r="F51" i="23"/>
  <c r="F50" i="23"/>
  <c r="F49" i="23"/>
  <c r="F48" i="23"/>
  <c r="F47" i="23"/>
  <c r="F46" i="23"/>
  <c r="F45" i="23"/>
  <c r="F44" i="23"/>
  <c r="F43" i="23"/>
  <c r="F42" i="23"/>
  <c r="F41" i="23"/>
  <c r="F40" i="23"/>
  <c r="F39" i="23"/>
  <c r="F38" i="23"/>
  <c r="F37" i="23"/>
  <c r="F36" i="23"/>
  <c r="F35" i="23"/>
  <c r="F34" i="23"/>
  <c r="F33" i="23"/>
  <c r="F32" i="23"/>
  <c r="F31" i="23"/>
  <c r="F30" i="23"/>
  <c r="F29" i="23"/>
  <c r="F28" i="23"/>
  <c r="F27" i="23"/>
  <c r="F26" i="23"/>
  <c r="F25" i="23"/>
  <c r="F24" i="23"/>
  <c r="F23" i="23"/>
  <c r="F22" i="23"/>
  <c r="F21" i="23"/>
  <c r="F20" i="23"/>
  <c r="F19" i="23"/>
  <c r="F18" i="23"/>
  <c r="F17" i="23"/>
  <c r="F16" i="23"/>
  <c r="F15" i="23"/>
  <c r="F14" i="23"/>
  <c r="F13" i="23"/>
  <c r="F12" i="23"/>
  <c r="F11" i="23"/>
  <c r="F8" i="23"/>
  <c r="F7" i="23"/>
  <c r="F6" i="23"/>
  <c r="E5" i="23"/>
  <c r="D5" i="13"/>
  <c r="D3" i="13" s="1"/>
  <c r="G44" i="19"/>
  <c r="G35" i="19"/>
  <c r="G34" i="19"/>
  <c r="G33" i="19"/>
  <c r="G32" i="19"/>
  <c r="G31" i="19"/>
  <c r="G29" i="19"/>
  <c r="G15" i="19"/>
  <c r="G8" i="19"/>
  <c r="G27" i="19"/>
  <c r="G25" i="19"/>
  <c r="G10" i="19"/>
  <c r="G24" i="19"/>
  <c r="G30" i="19"/>
  <c r="G23" i="19"/>
  <c r="G6" i="19"/>
  <c r="G22" i="19"/>
  <c r="G14" i="19"/>
  <c r="G12" i="19"/>
  <c r="G11" i="19"/>
  <c r="G7" i="19"/>
  <c r="G9" i="19"/>
  <c r="G21" i="19"/>
  <c r="G50" i="19"/>
  <c r="H58" i="17"/>
  <c r="H57" i="17"/>
  <c r="H56" i="17"/>
  <c r="H55" i="17"/>
  <c r="H54" i="17"/>
  <c r="H53" i="17"/>
  <c r="H52" i="17"/>
  <c r="G51" i="17"/>
  <c r="F51" i="17"/>
  <c r="E51" i="17"/>
  <c r="H50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1" i="17"/>
  <c r="H10" i="17"/>
  <c r="H9" i="17"/>
  <c r="H8" i="17"/>
  <c r="H7" i="17"/>
  <c r="H6" i="17"/>
  <c r="H5" i="17"/>
  <c r="G4" i="17"/>
  <c r="F4" i="17"/>
  <c r="E4" i="17"/>
  <c r="G107" i="15"/>
  <c r="G106" i="15"/>
  <c r="G105" i="15"/>
  <c r="G104" i="15"/>
  <c r="G103" i="15"/>
  <c r="G102" i="15"/>
  <c r="F101" i="15"/>
  <c r="E101" i="15"/>
  <c r="D101" i="15"/>
  <c r="G100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F31" i="15"/>
  <c r="E31" i="15"/>
  <c r="D31" i="15"/>
  <c r="G28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8" i="15"/>
  <c r="G7" i="15"/>
  <c r="G6" i="15"/>
  <c r="G5" i="15"/>
  <c r="F4" i="15"/>
  <c r="E4" i="15"/>
  <c r="D4" i="15"/>
  <c r="I99" i="9"/>
  <c r="I98" i="9"/>
  <c r="H97" i="9"/>
  <c r="G97" i="9"/>
  <c r="F97" i="9"/>
  <c r="E97" i="9"/>
  <c r="I96" i="9"/>
  <c r="I76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H33" i="9"/>
  <c r="G33" i="9"/>
  <c r="F33" i="9"/>
  <c r="E33" i="9"/>
  <c r="I31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H4" i="9"/>
  <c r="G4" i="9"/>
  <c r="F4" i="9"/>
  <c r="E4" i="9"/>
  <c r="F3" i="17" l="1"/>
  <c r="F3" i="21"/>
  <c r="E3" i="23"/>
  <c r="E4" i="23"/>
  <c r="G20" i="19"/>
  <c r="G5" i="19"/>
  <c r="I106" i="9"/>
  <c r="G108" i="1"/>
  <c r="F68" i="23"/>
  <c r="F5" i="23"/>
  <c r="H51" i="17"/>
  <c r="F30" i="15"/>
  <c r="F3" i="15" s="1"/>
  <c r="D30" i="15"/>
  <c r="D3" i="15" s="1"/>
  <c r="E30" i="15"/>
  <c r="E3" i="15" s="1"/>
  <c r="E32" i="9"/>
  <c r="E3" i="9" s="1"/>
  <c r="G32" i="9"/>
  <c r="G3" i="9" s="1"/>
  <c r="H32" i="9"/>
  <c r="H3" i="9" s="1"/>
  <c r="I97" i="9"/>
  <c r="F3" i="1"/>
  <c r="E3" i="1"/>
  <c r="G36" i="1"/>
  <c r="G4" i="1" s="1"/>
  <c r="D3" i="27"/>
  <c r="H3" i="25"/>
  <c r="G78" i="21"/>
  <c r="G4" i="21"/>
  <c r="E4" i="21"/>
  <c r="E3" i="21" s="1"/>
  <c r="D5" i="23"/>
  <c r="E3" i="17"/>
  <c r="H4" i="17"/>
  <c r="G3" i="17"/>
  <c r="G101" i="15"/>
  <c r="G4" i="15"/>
  <c r="G31" i="15"/>
  <c r="F32" i="9"/>
  <c r="F3" i="9" s="1"/>
  <c r="I33" i="9"/>
  <c r="I4" i="9"/>
  <c r="F4" i="23" l="1"/>
  <c r="D3" i="23"/>
  <c r="D4" i="23"/>
  <c r="G4" i="19"/>
  <c r="G3" i="1"/>
  <c r="H3" i="17"/>
  <c r="F3" i="23"/>
  <c r="G3" i="21"/>
  <c r="I32" i="9"/>
  <c r="I3" i="9" s="1"/>
  <c r="G30" i="15"/>
  <c r="G3" i="15" s="1"/>
  <c r="M53" i="34" l="1"/>
  <c r="J52" i="34" l="1"/>
  <c r="J49" i="29" l="1"/>
  <c r="J250" i="28"/>
  <c r="J88" i="20" l="1"/>
  <c r="O25" i="20"/>
  <c r="J101" i="16" l="1"/>
  <c r="K98" i="10" l="1"/>
  <c r="J89" i="38" l="1"/>
  <c r="J37" i="31"/>
  <c r="G9" i="40"/>
  <c r="P3" i="38"/>
  <c r="P4" i="38"/>
  <c r="P5" i="38"/>
  <c r="P6" i="38"/>
  <c r="P7" i="38"/>
  <c r="P8" i="38"/>
  <c r="P9" i="38"/>
  <c r="P10" i="38"/>
  <c r="P11" i="38"/>
  <c r="P12" i="38"/>
  <c r="P13" i="38"/>
  <c r="P14" i="38"/>
  <c r="P15" i="38"/>
  <c r="P16" i="38"/>
  <c r="P17" i="38"/>
  <c r="P18" i="38"/>
  <c r="P19" i="38"/>
  <c r="P20" i="38"/>
  <c r="P21" i="38"/>
  <c r="P22" i="38"/>
  <c r="P23" i="38"/>
  <c r="P24" i="38"/>
  <c r="P25" i="38"/>
  <c r="P26" i="38"/>
  <c r="P27" i="38"/>
  <c r="P28" i="38"/>
  <c r="P29" i="38"/>
  <c r="P30" i="38"/>
  <c r="P31" i="38"/>
  <c r="P32" i="38"/>
  <c r="P33" i="38"/>
  <c r="P34" i="38"/>
  <c r="P35" i="38"/>
  <c r="P36" i="38"/>
  <c r="P37" i="38"/>
  <c r="P38" i="38"/>
  <c r="P39" i="38"/>
  <c r="P40" i="38"/>
  <c r="P41" i="38"/>
  <c r="P42" i="38"/>
  <c r="P43" i="38"/>
  <c r="P44" i="38"/>
  <c r="P45" i="38"/>
  <c r="P46" i="38"/>
  <c r="P47" i="38"/>
  <c r="P48" i="38"/>
  <c r="P49" i="38"/>
  <c r="P50" i="38"/>
  <c r="P51" i="38"/>
  <c r="P52" i="38"/>
  <c r="P53" i="38"/>
  <c r="P54" i="38"/>
  <c r="P55" i="38"/>
  <c r="P56" i="38"/>
  <c r="P57" i="38"/>
  <c r="P58" i="38"/>
  <c r="P59" i="38"/>
  <c r="P60" i="38"/>
  <c r="P61" i="38"/>
  <c r="P62" i="38"/>
  <c r="P63" i="38"/>
  <c r="P64" i="38"/>
  <c r="P65" i="38"/>
  <c r="P66" i="38"/>
  <c r="P67" i="38"/>
  <c r="P68" i="38"/>
  <c r="P69" i="38"/>
  <c r="P70" i="38"/>
  <c r="P71" i="38"/>
  <c r="P72" i="38"/>
  <c r="P73" i="38"/>
  <c r="P74" i="38"/>
  <c r="P75" i="38"/>
  <c r="P76" i="38"/>
  <c r="P77" i="38"/>
  <c r="P78" i="38"/>
  <c r="P79" i="38"/>
  <c r="P80" i="38"/>
  <c r="P81" i="38"/>
  <c r="P82" i="38"/>
  <c r="P83" i="38"/>
  <c r="P84" i="38"/>
  <c r="P85" i="38"/>
  <c r="P86" i="38"/>
  <c r="P87" i="38"/>
  <c r="P88" i="38"/>
  <c r="P2" i="38"/>
  <c r="O3" i="38"/>
  <c r="O4" i="38"/>
  <c r="O5" i="38"/>
  <c r="O6" i="38"/>
  <c r="O7" i="38"/>
  <c r="O8" i="38"/>
  <c r="O9" i="38"/>
  <c r="O10" i="38"/>
  <c r="O11" i="38"/>
  <c r="O12" i="38"/>
  <c r="O13" i="38"/>
  <c r="O14" i="38"/>
  <c r="O15" i="38"/>
  <c r="O16" i="38"/>
  <c r="O17" i="38"/>
  <c r="O18" i="38"/>
  <c r="O19" i="38"/>
  <c r="O20" i="38"/>
  <c r="O21" i="38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66" i="38"/>
  <c r="O67" i="38"/>
  <c r="O68" i="38"/>
  <c r="O69" i="38"/>
  <c r="O70" i="38"/>
  <c r="O71" i="38"/>
  <c r="O72" i="38"/>
  <c r="O73" i="38"/>
  <c r="O74" i="38"/>
  <c r="O75" i="38"/>
  <c r="O76" i="38"/>
  <c r="O77" i="38"/>
  <c r="O78" i="38"/>
  <c r="O79" i="38"/>
  <c r="O80" i="38"/>
  <c r="O81" i="38"/>
  <c r="O82" i="38"/>
  <c r="O83" i="38"/>
  <c r="O84" i="38"/>
  <c r="O85" i="38"/>
  <c r="O86" i="38"/>
  <c r="O87" i="38"/>
  <c r="O88" i="38"/>
  <c r="O2" i="38"/>
  <c r="O4" i="35"/>
  <c r="O5" i="35"/>
  <c r="O6" i="35"/>
  <c r="O7" i="35"/>
  <c r="O8" i="35"/>
  <c r="O9" i="35"/>
  <c r="O10" i="35"/>
  <c r="O11" i="35"/>
  <c r="O12" i="35"/>
  <c r="O13" i="35"/>
  <c r="O14" i="35"/>
  <c r="O15" i="35"/>
  <c r="O3" i="35"/>
  <c r="S4" i="34"/>
  <c r="T4" i="34"/>
  <c r="U4" i="34"/>
  <c r="S5" i="34"/>
  <c r="T5" i="34"/>
  <c r="U5" i="34"/>
  <c r="S6" i="34"/>
  <c r="T6" i="34"/>
  <c r="U6" i="34"/>
  <c r="S7" i="34"/>
  <c r="T7" i="34"/>
  <c r="U7" i="34"/>
  <c r="S8" i="34"/>
  <c r="T8" i="34"/>
  <c r="U8" i="34"/>
  <c r="S9" i="34"/>
  <c r="T9" i="34"/>
  <c r="U9" i="34"/>
  <c r="S10" i="34"/>
  <c r="T10" i="34"/>
  <c r="U10" i="34"/>
  <c r="S11" i="34"/>
  <c r="T11" i="34"/>
  <c r="U11" i="34"/>
  <c r="S12" i="34"/>
  <c r="T12" i="34"/>
  <c r="U12" i="34"/>
  <c r="S13" i="34"/>
  <c r="T13" i="34"/>
  <c r="U13" i="34"/>
  <c r="U3" i="34"/>
  <c r="T3" i="34"/>
  <c r="S3" i="34"/>
  <c r="U15" i="34"/>
  <c r="U16" i="34"/>
  <c r="U17" i="34"/>
  <c r="U18" i="34"/>
  <c r="U19" i="34"/>
  <c r="U20" i="34"/>
  <c r="U21" i="34"/>
  <c r="U22" i="34"/>
  <c r="U23" i="34"/>
  <c r="U24" i="34"/>
  <c r="U25" i="34"/>
  <c r="U26" i="34"/>
  <c r="U27" i="34"/>
  <c r="U28" i="34"/>
  <c r="U29" i="34"/>
  <c r="U30" i="34"/>
  <c r="U31" i="34"/>
  <c r="U32" i="34"/>
  <c r="U33" i="34"/>
  <c r="U34" i="34"/>
  <c r="U35" i="34"/>
  <c r="U36" i="34"/>
  <c r="U37" i="34"/>
  <c r="U38" i="34"/>
  <c r="U39" i="34"/>
  <c r="U40" i="34"/>
  <c r="U41" i="34"/>
  <c r="U42" i="34"/>
  <c r="U43" i="34"/>
  <c r="U44" i="34"/>
  <c r="U45" i="34"/>
  <c r="U46" i="34"/>
  <c r="U47" i="34"/>
  <c r="U48" i="34"/>
  <c r="U49" i="34"/>
  <c r="U50" i="34"/>
  <c r="U51" i="34"/>
  <c r="U14" i="34"/>
  <c r="T15" i="34"/>
  <c r="T16" i="34"/>
  <c r="T17" i="34"/>
  <c r="T18" i="34"/>
  <c r="T19" i="34"/>
  <c r="T20" i="34"/>
  <c r="T21" i="34"/>
  <c r="T22" i="34"/>
  <c r="T23" i="34"/>
  <c r="T24" i="34"/>
  <c r="T25" i="34"/>
  <c r="T26" i="34"/>
  <c r="T27" i="34"/>
  <c r="T28" i="34"/>
  <c r="T29" i="34"/>
  <c r="T30" i="34"/>
  <c r="T31" i="34"/>
  <c r="T32" i="34"/>
  <c r="T33" i="34"/>
  <c r="T34" i="34"/>
  <c r="T35" i="34"/>
  <c r="T36" i="34"/>
  <c r="T37" i="34"/>
  <c r="T38" i="34"/>
  <c r="T39" i="34"/>
  <c r="T40" i="34"/>
  <c r="T41" i="34"/>
  <c r="T42" i="34"/>
  <c r="T43" i="34"/>
  <c r="T44" i="34"/>
  <c r="T45" i="34"/>
  <c r="T46" i="34"/>
  <c r="T47" i="34"/>
  <c r="T48" i="34"/>
  <c r="T49" i="34"/>
  <c r="T50" i="34"/>
  <c r="T51" i="34"/>
  <c r="T14" i="34"/>
  <c r="S15" i="34"/>
  <c r="S16" i="34"/>
  <c r="S17" i="34"/>
  <c r="S18" i="34"/>
  <c r="S19" i="34"/>
  <c r="S20" i="34"/>
  <c r="S21" i="34"/>
  <c r="S22" i="34"/>
  <c r="S23" i="34"/>
  <c r="S24" i="34"/>
  <c r="S25" i="34"/>
  <c r="S26" i="34"/>
  <c r="S27" i="34"/>
  <c r="S28" i="34"/>
  <c r="S29" i="34"/>
  <c r="S30" i="34"/>
  <c r="S31" i="34"/>
  <c r="S32" i="34"/>
  <c r="S33" i="34"/>
  <c r="S34" i="34"/>
  <c r="S35" i="34"/>
  <c r="S36" i="34"/>
  <c r="S37" i="34"/>
  <c r="S38" i="34"/>
  <c r="S39" i="34"/>
  <c r="S40" i="34"/>
  <c r="S41" i="34"/>
  <c r="S42" i="34"/>
  <c r="S43" i="34"/>
  <c r="S44" i="34"/>
  <c r="S45" i="34"/>
  <c r="S46" i="34"/>
  <c r="S47" i="34"/>
  <c r="S48" i="34"/>
  <c r="S49" i="34"/>
  <c r="S50" i="34"/>
  <c r="S51" i="34"/>
  <c r="S14" i="34"/>
  <c r="R4" i="34"/>
  <c r="R5" i="34"/>
  <c r="R6" i="34"/>
  <c r="R7" i="34"/>
  <c r="R8" i="34"/>
  <c r="R9" i="34"/>
  <c r="R10" i="34"/>
  <c r="R11" i="34"/>
  <c r="R12" i="34"/>
  <c r="R13" i="34"/>
  <c r="R14" i="34"/>
  <c r="R15" i="34"/>
  <c r="R16" i="34"/>
  <c r="R17" i="34"/>
  <c r="R18" i="34"/>
  <c r="R19" i="34"/>
  <c r="R20" i="34"/>
  <c r="R21" i="34"/>
  <c r="R22" i="34"/>
  <c r="R23" i="34"/>
  <c r="R24" i="34"/>
  <c r="R25" i="34"/>
  <c r="R26" i="34"/>
  <c r="R27" i="34"/>
  <c r="R28" i="34"/>
  <c r="R29" i="34"/>
  <c r="R30" i="34"/>
  <c r="R31" i="34"/>
  <c r="R32" i="34"/>
  <c r="R33" i="34"/>
  <c r="R34" i="34"/>
  <c r="R35" i="34"/>
  <c r="R36" i="34"/>
  <c r="R37" i="34"/>
  <c r="R38" i="34"/>
  <c r="R39" i="34"/>
  <c r="R40" i="34"/>
  <c r="R41" i="34"/>
  <c r="R42" i="34"/>
  <c r="R43" i="34"/>
  <c r="R44" i="34"/>
  <c r="R45" i="34"/>
  <c r="R46" i="34"/>
  <c r="R47" i="34"/>
  <c r="R48" i="34"/>
  <c r="R49" i="34"/>
  <c r="R50" i="34"/>
  <c r="R51" i="34"/>
  <c r="R3" i="34"/>
  <c r="Q4" i="34"/>
  <c r="Q5" i="34"/>
  <c r="Q6" i="34"/>
  <c r="Q7" i="34"/>
  <c r="Q8" i="34"/>
  <c r="Q9" i="34"/>
  <c r="Q10" i="34"/>
  <c r="Q11" i="34"/>
  <c r="Q12" i="34"/>
  <c r="Q13" i="34"/>
  <c r="Q14" i="34"/>
  <c r="Q15" i="34"/>
  <c r="Q16" i="34"/>
  <c r="Q17" i="34"/>
  <c r="Q18" i="34"/>
  <c r="Q19" i="34"/>
  <c r="Q20" i="34"/>
  <c r="Q21" i="34"/>
  <c r="Q22" i="34"/>
  <c r="Q23" i="34"/>
  <c r="Q24" i="34"/>
  <c r="Q25" i="34"/>
  <c r="Q26" i="34"/>
  <c r="Q27" i="34"/>
  <c r="Q28" i="34"/>
  <c r="Q29" i="34"/>
  <c r="Q30" i="34"/>
  <c r="Q31" i="34"/>
  <c r="Q32" i="34"/>
  <c r="Q33" i="34"/>
  <c r="Q34" i="34"/>
  <c r="Q35" i="34"/>
  <c r="Q36" i="34"/>
  <c r="Q37" i="34"/>
  <c r="Q38" i="34"/>
  <c r="Q39" i="34"/>
  <c r="Q40" i="34"/>
  <c r="Q41" i="34"/>
  <c r="Q42" i="34"/>
  <c r="Q43" i="34"/>
  <c r="Q44" i="34"/>
  <c r="Q45" i="34"/>
  <c r="Q46" i="34"/>
  <c r="Q47" i="34"/>
  <c r="Q48" i="34"/>
  <c r="Q49" i="34"/>
  <c r="Q50" i="34"/>
  <c r="Q51" i="34"/>
  <c r="Q3" i="34"/>
  <c r="P4" i="34"/>
  <c r="P5" i="34"/>
  <c r="P6" i="34"/>
  <c r="P7" i="34"/>
  <c r="P8" i="34"/>
  <c r="P9" i="34"/>
  <c r="P10" i="34"/>
  <c r="P11" i="34"/>
  <c r="P12" i="34"/>
  <c r="P13" i="34"/>
  <c r="P14" i="34"/>
  <c r="P15" i="34"/>
  <c r="P16" i="34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3" i="34"/>
  <c r="O4" i="34"/>
  <c r="O5" i="34"/>
  <c r="O6" i="34"/>
  <c r="O7" i="34"/>
  <c r="O8" i="34"/>
  <c r="O9" i="34"/>
  <c r="O10" i="34"/>
  <c r="O11" i="34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3" i="34"/>
  <c r="P4" i="31"/>
  <c r="P5" i="31"/>
  <c r="P6" i="31"/>
  <c r="P7" i="31"/>
  <c r="P8" i="31"/>
  <c r="P9" i="31"/>
  <c r="P10" i="31"/>
  <c r="P11" i="31"/>
  <c r="P12" i="31"/>
  <c r="P13" i="31"/>
  <c r="P14" i="31"/>
  <c r="P15" i="31"/>
  <c r="P16" i="31"/>
  <c r="P17" i="31"/>
  <c r="P18" i="31"/>
  <c r="P19" i="31"/>
  <c r="P20" i="31"/>
  <c r="P21" i="31"/>
  <c r="P22" i="31"/>
  <c r="P23" i="31"/>
  <c r="P24" i="31"/>
  <c r="P25" i="31"/>
  <c r="P26" i="31"/>
  <c r="P27" i="31"/>
  <c r="P28" i="31"/>
  <c r="P29" i="31"/>
  <c r="P30" i="31"/>
  <c r="P31" i="31"/>
  <c r="P32" i="31"/>
  <c r="P33" i="31"/>
  <c r="P34" i="31"/>
  <c r="P35" i="31"/>
  <c r="P36" i="31"/>
  <c r="P3" i="31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3" i="29"/>
  <c r="P4" i="28"/>
  <c r="P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29" i="28"/>
  <c r="P30" i="28"/>
  <c r="P31" i="28"/>
  <c r="P32" i="28"/>
  <c r="P33" i="28"/>
  <c r="P34" i="28"/>
  <c r="P35" i="28"/>
  <c r="P36" i="28"/>
  <c r="P37" i="28"/>
  <c r="P38" i="28"/>
  <c r="P39" i="28"/>
  <c r="P40" i="28"/>
  <c r="P41" i="28"/>
  <c r="P42" i="28"/>
  <c r="P43" i="28"/>
  <c r="P44" i="28"/>
  <c r="P45" i="28"/>
  <c r="P46" i="28"/>
  <c r="P47" i="28"/>
  <c r="P48" i="28"/>
  <c r="P49" i="28"/>
  <c r="P50" i="28"/>
  <c r="P51" i="28"/>
  <c r="P52" i="28"/>
  <c r="P53" i="28"/>
  <c r="P54" i="28"/>
  <c r="P55" i="28"/>
  <c r="P56" i="28"/>
  <c r="P57" i="28"/>
  <c r="P58" i="28"/>
  <c r="P59" i="28"/>
  <c r="P60" i="28"/>
  <c r="P61" i="28"/>
  <c r="P62" i="28"/>
  <c r="P63" i="28"/>
  <c r="P64" i="28"/>
  <c r="P65" i="28"/>
  <c r="P66" i="28"/>
  <c r="P67" i="28"/>
  <c r="P68" i="28"/>
  <c r="P69" i="28"/>
  <c r="P70" i="28"/>
  <c r="P71" i="28"/>
  <c r="P72" i="28"/>
  <c r="P73" i="28"/>
  <c r="P74" i="28"/>
  <c r="P75" i="28"/>
  <c r="P76" i="28"/>
  <c r="P77" i="28"/>
  <c r="P78" i="28"/>
  <c r="P79" i="28"/>
  <c r="P80" i="28"/>
  <c r="P81" i="28"/>
  <c r="P82" i="28"/>
  <c r="P83" i="28"/>
  <c r="P84" i="28"/>
  <c r="P85" i="28"/>
  <c r="P86" i="28"/>
  <c r="P87" i="28"/>
  <c r="P88" i="28"/>
  <c r="P89" i="28"/>
  <c r="P90" i="28"/>
  <c r="P91" i="28"/>
  <c r="P92" i="28"/>
  <c r="P93" i="28"/>
  <c r="P94" i="28"/>
  <c r="P95" i="28"/>
  <c r="P96" i="28"/>
  <c r="P97" i="28"/>
  <c r="P98" i="28"/>
  <c r="P99" i="28"/>
  <c r="P100" i="28"/>
  <c r="P101" i="28"/>
  <c r="P102" i="28"/>
  <c r="P103" i="28"/>
  <c r="P104" i="28"/>
  <c r="P105" i="28"/>
  <c r="P106" i="28"/>
  <c r="P107" i="28"/>
  <c r="P108" i="28"/>
  <c r="P109" i="28"/>
  <c r="P110" i="28"/>
  <c r="P111" i="28"/>
  <c r="P112" i="28"/>
  <c r="P113" i="28"/>
  <c r="P114" i="28"/>
  <c r="P115" i="28"/>
  <c r="P116" i="28"/>
  <c r="P117" i="28"/>
  <c r="P118" i="28"/>
  <c r="P119" i="28"/>
  <c r="P120" i="28"/>
  <c r="P121" i="28"/>
  <c r="P122" i="28"/>
  <c r="P123" i="28"/>
  <c r="P124" i="28"/>
  <c r="P125" i="28"/>
  <c r="P126" i="28"/>
  <c r="P127" i="28"/>
  <c r="P128" i="28"/>
  <c r="P129" i="28"/>
  <c r="P130" i="28"/>
  <c r="P131" i="28"/>
  <c r="P132" i="28"/>
  <c r="P133" i="28"/>
  <c r="P134" i="28"/>
  <c r="P135" i="28"/>
  <c r="P136" i="28"/>
  <c r="P137" i="28"/>
  <c r="P138" i="28"/>
  <c r="P139" i="28"/>
  <c r="P140" i="28"/>
  <c r="P141" i="28"/>
  <c r="P142" i="28"/>
  <c r="P143" i="28"/>
  <c r="P144" i="28"/>
  <c r="P145" i="28"/>
  <c r="P146" i="28"/>
  <c r="P147" i="28"/>
  <c r="P148" i="28"/>
  <c r="P149" i="28"/>
  <c r="P150" i="28"/>
  <c r="P151" i="28"/>
  <c r="P152" i="28"/>
  <c r="P153" i="28"/>
  <c r="P154" i="28"/>
  <c r="P155" i="28"/>
  <c r="P156" i="28"/>
  <c r="P157" i="28"/>
  <c r="P158" i="28"/>
  <c r="P159" i="28"/>
  <c r="P160" i="28"/>
  <c r="P161" i="28"/>
  <c r="P162" i="28"/>
  <c r="P163" i="28"/>
  <c r="P164" i="28"/>
  <c r="P165" i="28"/>
  <c r="P166" i="28"/>
  <c r="P167" i="28"/>
  <c r="P168" i="28"/>
  <c r="P169" i="28"/>
  <c r="P170" i="28"/>
  <c r="P171" i="28"/>
  <c r="P172" i="28"/>
  <c r="P173" i="28"/>
  <c r="P174" i="28"/>
  <c r="P175" i="28"/>
  <c r="P176" i="28"/>
  <c r="P177" i="28"/>
  <c r="P178" i="28"/>
  <c r="P179" i="28"/>
  <c r="P180" i="28"/>
  <c r="P181" i="28"/>
  <c r="P182" i="28"/>
  <c r="P183" i="28"/>
  <c r="P184" i="28"/>
  <c r="P185" i="28"/>
  <c r="P186" i="28"/>
  <c r="P187" i="28"/>
  <c r="P188" i="28"/>
  <c r="P189" i="28"/>
  <c r="P190" i="28"/>
  <c r="P191" i="28"/>
  <c r="P192" i="28"/>
  <c r="P193" i="28"/>
  <c r="P194" i="28"/>
  <c r="P195" i="28"/>
  <c r="P196" i="28"/>
  <c r="P197" i="28"/>
  <c r="P198" i="28"/>
  <c r="P199" i="28"/>
  <c r="P200" i="28"/>
  <c r="P201" i="28"/>
  <c r="P202" i="28"/>
  <c r="P203" i="28"/>
  <c r="P204" i="28"/>
  <c r="P205" i="28"/>
  <c r="P206" i="28"/>
  <c r="P207" i="28"/>
  <c r="P208" i="28"/>
  <c r="P209" i="28"/>
  <c r="P210" i="28"/>
  <c r="P211" i="28"/>
  <c r="P212" i="28"/>
  <c r="P213" i="28"/>
  <c r="P214" i="28"/>
  <c r="P215" i="28"/>
  <c r="P216" i="28"/>
  <c r="P217" i="28"/>
  <c r="P218" i="28"/>
  <c r="P219" i="28"/>
  <c r="P220" i="28"/>
  <c r="P221" i="28"/>
  <c r="P222" i="28"/>
  <c r="P223" i="28"/>
  <c r="P224" i="28"/>
  <c r="P225" i="28"/>
  <c r="P226" i="28"/>
  <c r="P227" i="28"/>
  <c r="P228" i="28"/>
  <c r="P229" i="28"/>
  <c r="P230" i="28"/>
  <c r="P231" i="28"/>
  <c r="P232" i="28"/>
  <c r="P233" i="28"/>
  <c r="P234" i="28"/>
  <c r="P235" i="28"/>
  <c r="P236" i="28"/>
  <c r="P237" i="28"/>
  <c r="P238" i="28"/>
  <c r="P239" i="28"/>
  <c r="P240" i="28"/>
  <c r="P241" i="28"/>
  <c r="P242" i="28"/>
  <c r="P243" i="28"/>
  <c r="P244" i="28"/>
  <c r="P245" i="28"/>
  <c r="P246" i="28"/>
  <c r="P247" i="28"/>
  <c r="P248" i="28"/>
  <c r="P249" i="28"/>
  <c r="P3" i="28"/>
  <c r="O4" i="28"/>
  <c r="O5" i="28"/>
  <c r="O6" i="28"/>
  <c r="O7" i="28"/>
  <c r="O8" i="28"/>
  <c r="O9" i="28"/>
  <c r="O10" i="28"/>
  <c r="O11" i="28"/>
  <c r="O12" i="28"/>
  <c r="O13" i="28"/>
  <c r="O14" i="28"/>
  <c r="O15" i="28"/>
  <c r="O16" i="28"/>
  <c r="O17" i="28"/>
  <c r="O18" i="28"/>
  <c r="O19" i="28"/>
  <c r="O20" i="28"/>
  <c r="O21" i="28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66" i="28"/>
  <c r="O67" i="28"/>
  <c r="O68" i="28"/>
  <c r="O69" i="28"/>
  <c r="O70" i="28"/>
  <c r="O71" i="28"/>
  <c r="O72" i="28"/>
  <c r="O73" i="28"/>
  <c r="O74" i="28"/>
  <c r="O75" i="28"/>
  <c r="O76" i="28"/>
  <c r="O77" i="28"/>
  <c r="O78" i="28"/>
  <c r="O79" i="28"/>
  <c r="O80" i="28"/>
  <c r="O81" i="28"/>
  <c r="O82" i="28"/>
  <c r="O83" i="28"/>
  <c r="O84" i="28"/>
  <c r="O85" i="28"/>
  <c r="O86" i="28"/>
  <c r="O87" i="28"/>
  <c r="O88" i="28"/>
  <c r="O89" i="28"/>
  <c r="O90" i="28"/>
  <c r="O91" i="28"/>
  <c r="O92" i="28"/>
  <c r="O93" i="28"/>
  <c r="O94" i="28"/>
  <c r="O95" i="28"/>
  <c r="O96" i="28"/>
  <c r="O97" i="28"/>
  <c r="O98" i="28"/>
  <c r="O99" i="28"/>
  <c r="O100" i="28"/>
  <c r="O101" i="28"/>
  <c r="O102" i="28"/>
  <c r="O103" i="28"/>
  <c r="O104" i="28"/>
  <c r="O105" i="28"/>
  <c r="O106" i="28"/>
  <c r="O107" i="28"/>
  <c r="O108" i="28"/>
  <c r="O109" i="28"/>
  <c r="O110" i="28"/>
  <c r="O111" i="28"/>
  <c r="O112" i="28"/>
  <c r="O113" i="28"/>
  <c r="O114" i="28"/>
  <c r="O115" i="28"/>
  <c r="O116" i="28"/>
  <c r="O117" i="28"/>
  <c r="O118" i="28"/>
  <c r="O119" i="28"/>
  <c r="O120" i="28"/>
  <c r="O121" i="28"/>
  <c r="O122" i="28"/>
  <c r="O123" i="28"/>
  <c r="O124" i="28"/>
  <c r="O125" i="28"/>
  <c r="O126" i="28"/>
  <c r="O127" i="28"/>
  <c r="O128" i="28"/>
  <c r="O129" i="28"/>
  <c r="O130" i="28"/>
  <c r="O131" i="28"/>
  <c r="O132" i="28"/>
  <c r="O133" i="28"/>
  <c r="O134" i="28"/>
  <c r="O135" i="28"/>
  <c r="O136" i="28"/>
  <c r="O137" i="28"/>
  <c r="O138" i="28"/>
  <c r="O139" i="28"/>
  <c r="O140" i="28"/>
  <c r="O141" i="28"/>
  <c r="O142" i="28"/>
  <c r="O143" i="28"/>
  <c r="O144" i="28"/>
  <c r="O145" i="28"/>
  <c r="O146" i="28"/>
  <c r="O147" i="28"/>
  <c r="O148" i="28"/>
  <c r="O149" i="28"/>
  <c r="O150" i="28"/>
  <c r="O151" i="28"/>
  <c r="O152" i="28"/>
  <c r="O153" i="28"/>
  <c r="O154" i="28"/>
  <c r="O155" i="28"/>
  <c r="O156" i="28"/>
  <c r="O157" i="28"/>
  <c r="O158" i="28"/>
  <c r="O159" i="28"/>
  <c r="O160" i="28"/>
  <c r="O161" i="28"/>
  <c r="O162" i="28"/>
  <c r="O163" i="28"/>
  <c r="O164" i="28"/>
  <c r="O165" i="28"/>
  <c r="O166" i="28"/>
  <c r="O167" i="28"/>
  <c r="O168" i="28"/>
  <c r="O169" i="28"/>
  <c r="O170" i="28"/>
  <c r="O171" i="28"/>
  <c r="O172" i="28"/>
  <c r="O173" i="28"/>
  <c r="O174" i="28"/>
  <c r="O175" i="28"/>
  <c r="O176" i="28"/>
  <c r="O177" i="28"/>
  <c r="O178" i="28"/>
  <c r="O179" i="28"/>
  <c r="O180" i="28"/>
  <c r="O181" i="28"/>
  <c r="O182" i="28"/>
  <c r="O183" i="28"/>
  <c r="O184" i="28"/>
  <c r="O185" i="28"/>
  <c r="O186" i="28"/>
  <c r="O187" i="28"/>
  <c r="O188" i="28"/>
  <c r="O189" i="28"/>
  <c r="O190" i="28"/>
  <c r="O191" i="28"/>
  <c r="O192" i="28"/>
  <c r="O193" i="28"/>
  <c r="O194" i="28"/>
  <c r="O195" i="28"/>
  <c r="O196" i="28"/>
  <c r="O197" i="28"/>
  <c r="O198" i="28"/>
  <c r="O199" i="28"/>
  <c r="O200" i="28"/>
  <c r="O201" i="28"/>
  <c r="O202" i="28"/>
  <c r="O203" i="28"/>
  <c r="O204" i="28"/>
  <c r="O205" i="28"/>
  <c r="O206" i="28"/>
  <c r="O207" i="28"/>
  <c r="O208" i="28"/>
  <c r="O209" i="28"/>
  <c r="O210" i="28"/>
  <c r="O211" i="28"/>
  <c r="O212" i="28"/>
  <c r="O213" i="28"/>
  <c r="O214" i="28"/>
  <c r="O215" i="28"/>
  <c r="O216" i="28"/>
  <c r="O217" i="28"/>
  <c r="O218" i="28"/>
  <c r="O219" i="28"/>
  <c r="O220" i="28"/>
  <c r="O221" i="28"/>
  <c r="O222" i="28"/>
  <c r="O223" i="28"/>
  <c r="O224" i="28"/>
  <c r="O225" i="28"/>
  <c r="O226" i="28"/>
  <c r="O227" i="28"/>
  <c r="O228" i="28"/>
  <c r="O229" i="28"/>
  <c r="O230" i="28"/>
  <c r="O231" i="28"/>
  <c r="O232" i="28"/>
  <c r="O233" i="28"/>
  <c r="O234" i="28"/>
  <c r="O235" i="28"/>
  <c r="O236" i="28"/>
  <c r="O237" i="28"/>
  <c r="O238" i="28"/>
  <c r="O239" i="28"/>
  <c r="O240" i="28"/>
  <c r="O241" i="28"/>
  <c r="O242" i="28"/>
  <c r="O243" i="28"/>
  <c r="O244" i="28"/>
  <c r="O245" i="28"/>
  <c r="O246" i="28"/>
  <c r="O247" i="28"/>
  <c r="O248" i="28"/>
  <c r="O249" i="28"/>
  <c r="O3" i="28"/>
  <c r="O4" i="26"/>
  <c r="O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" i="26"/>
  <c r="J57" i="22"/>
  <c r="J82" i="24"/>
  <c r="P4" i="24"/>
  <c r="P5" i="24"/>
  <c r="P6" i="24"/>
  <c r="P7" i="24"/>
  <c r="P8" i="24"/>
  <c r="P9" i="24"/>
  <c r="P10" i="24"/>
  <c r="P11" i="24"/>
  <c r="P12" i="24"/>
  <c r="P13" i="24"/>
  <c r="P14" i="24"/>
  <c r="P15" i="24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P34" i="24"/>
  <c r="P35" i="24"/>
  <c r="P36" i="24"/>
  <c r="P37" i="24"/>
  <c r="P38" i="24"/>
  <c r="P39" i="24"/>
  <c r="P40" i="24"/>
  <c r="P41" i="24"/>
  <c r="P42" i="24"/>
  <c r="P43" i="24"/>
  <c r="P44" i="24"/>
  <c r="P45" i="24"/>
  <c r="P46" i="24"/>
  <c r="P47" i="24"/>
  <c r="P48" i="24"/>
  <c r="P49" i="24"/>
  <c r="P50" i="24"/>
  <c r="P51" i="24"/>
  <c r="P52" i="24"/>
  <c r="P53" i="24"/>
  <c r="P54" i="24"/>
  <c r="P55" i="24"/>
  <c r="P56" i="24"/>
  <c r="P57" i="24"/>
  <c r="P58" i="24"/>
  <c r="P59" i="24"/>
  <c r="P60" i="24"/>
  <c r="P61" i="24"/>
  <c r="P62" i="24"/>
  <c r="P63" i="24"/>
  <c r="P64" i="24"/>
  <c r="P65" i="24"/>
  <c r="P66" i="24"/>
  <c r="P67" i="24"/>
  <c r="P68" i="24"/>
  <c r="P69" i="24"/>
  <c r="P70" i="24"/>
  <c r="P71" i="24"/>
  <c r="P72" i="24"/>
  <c r="P73" i="24"/>
  <c r="P74" i="24"/>
  <c r="P75" i="24"/>
  <c r="P76" i="24"/>
  <c r="P77" i="24"/>
  <c r="P78" i="24"/>
  <c r="P79" i="24"/>
  <c r="P80" i="24"/>
  <c r="P81" i="24"/>
  <c r="P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3" i="24"/>
  <c r="P4" i="22"/>
  <c r="P5" i="22"/>
  <c r="P6" i="22"/>
  <c r="P7" i="22"/>
  <c r="P8" i="22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5" i="22"/>
  <c r="P46" i="22"/>
  <c r="P47" i="22"/>
  <c r="P48" i="22"/>
  <c r="P49" i="22"/>
  <c r="P50" i="22"/>
  <c r="P51" i="22"/>
  <c r="P52" i="22"/>
  <c r="P53" i="22"/>
  <c r="P54" i="22"/>
  <c r="P55" i="22"/>
  <c r="P56" i="22"/>
  <c r="P3" i="22"/>
  <c r="O4" i="22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3" i="22"/>
  <c r="Q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3" i="20"/>
  <c r="P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3" i="20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1" i="18"/>
  <c r="O102" i="18"/>
  <c r="O103" i="18"/>
  <c r="O104" i="18"/>
  <c r="O105" i="18"/>
  <c r="O106" i="18"/>
  <c r="O107" i="18"/>
  <c r="O108" i="18"/>
  <c r="O109" i="18"/>
  <c r="O110" i="18"/>
  <c r="O111" i="18"/>
  <c r="O112" i="18"/>
  <c r="O113" i="18"/>
  <c r="O3" i="18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3" i="16"/>
  <c r="J80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3" i="11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Q3" i="10"/>
  <c r="P3" i="10"/>
  <c r="O3" i="10"/>
  <c r="I8" i="40"/>
  <c r="I7" i="40"/>
  <c r="I6" i="40"/>
  <c r="I5" i="40"/>
  <c r="I4" i="40"/>
  <c r="I3" i="40"/>
  <c r="K86" i="38"/>
  <c r="L85" i="38"/>
  <c r="L84" i="38"/>
  <c r="L83" i="38"/>
  <c r="L82" i="38"/>
  <c r="K81" i="38"/>
  <c r="L80" i="38"/>
  <c r="K79" i="38"/>
  <c r="L78" i="38"/>
  <c r="K77" i="38"/>
  <c r="L76" i="38"/>
  <c r="K75" i="38"/>
  <c r="L74" i="38"/>
  <c r="K73" i="38"/>
  <c r="L72" i="38"/>
  <c r="K71" i="38"/>
  <c r="L70" i="38"/>
  <c r="L69" i="38"/>
  <c r="L68" i="38"/>
  <c r="L67" i="38"/>
  <c r="K66" i="38"/>
  <c r="L65" i="38"/>
  <c r="K64" i="38"/>
  <c r="L63" i="38"/>
  <c r="L62" i="38"/>
  <c r="L61" i="38"/>
  <c r="L60" i="38"/>
  <c r="K59" i="38"/>
  <c r="L58" i="38"/>
  <c r="K57" i="38"/>
  <c r="L56" i="38"/>
  <c r="K55" i="38"/>
  <c r="L54" i="38"/>
  <c r="L53" i="38"/>
  <c r="L52" i="38"/>
  <c r="K51" i="38"/>
  <c r="L50" i="38"/>
  <c r="L49" i="38"/>
  <c r="L48" i="38"/>
  <c r="L47" i="38"/>
  <c r="L46" i="38"/>
  <c r="L45" i="38"/>
  <c r="L44" i="38"/>
  <c r="K43" i="38"/>
  <c r="L42" i="38"/>
  <c r="L41" i="38"/>
  <c r="K40" i="38"/>
  <c r="L39" i="38"/>
  <c r="K38" i="38"/>
  <c r="L37" i="38"/>
  <c r="K36" i="38"/>
  <c r="L35" i="38"/>
  <c r="L34" i="38"/>
  <c r="L33" i="38"/>
  <c r="K32" i="38"/>
  <c r="L31" i="38"/>
  <c r="K30" i="38"/>
  <c r="L29" i="38"/>
  <c r="L28" i="38"/>
  <c r="L27" i="38"/>
  <c r="L26" i="38"/>
  <c r="K25" i="38"/>
  <c r="L24" i="38"/>
  <c r="L23" i="38"/>
  <c r="K22" i="38"/>
  <c r="L21" i="38"/>
  <c r="K20" i="38"/>
  <c r="L19" i="38"/>
  <c r="L18" i="38"/>
  <c r="L17" i="38"/>
  <c r="L16" i="38"/>
  <c r="K15" i="38"/>
  <c r="L14" i="38"/>
  <c r="L13" i="38"/>
  <c r="L12" i="38"/>
  <c r="L11" i="38"/>
  <c r="L10" i="38"/>
  <c r="K9" i="38"/>
  <c r="L8" i="38"/>
  <c r="L7" i="38"/>
  <c r="L6" i="38"/>
  <c r="K5" i="38"/>
  <c r="L4" i="38"/>
  <c r="L3" i="38"/>
  <c r="L2" i="38"/>
  <c r="L3" i="35"/>
  <c r="L4" i="35"/>
  <c r="L5" i="35"/>
  <c r="L6" i="35"/>
  <c r="L7" i="35"/>
  <c r="L8" i="35"/>
  <c r="L9" i="35"/>
  <c r="L10" i="35"/>
  <c r="L11" i="35"/>
  <c r="L12" i="35"/>
  <c r="L13" i="35"/>
  <c r="L14" i="35"/>
  <c r="L15" i="35"/>
  <c r="J16" i="35"/>
  <c r="L51" i="34"/>
  <c r="L50" i="34"/>
  <c r="L49" i="34"/>
  <c r="L48" i="34"/>
  <c r="L47" i="34"/>
  <c r="L46" i="34"/>
  <c r="L45" i="34"/>
  <c r="L44" i="34"/>
  <c r="L43" i="34"/>
  <c r="L42" i="34"/>
  <c r="L41" i="34"/>
  <c r="L40" i="34"/>
  <c r="L39" i="34"/>
  <c r="L38" i="34"/>
  <c r="L37" i="34"/>
  <c r="L36" i="34"/>
  <c r="L35" i="34"/>
  <c r="L34" i="34"/>
  <c r="L33" i="34"/>
  <c r="L32" i="34"/>
  <c r="L31" i="34"/>
  <c r="L30" i="34"/>
  <c r="L29" i="34"/>
  <c r="L28" i="34"/>
  <c r="L27" i="34"/>
  <c r="L26" i="34"/>
  <c r="L25" i="34"/>
  <c r="L24" i="34"/>
  <c r="L23" i="34"/>
  <c r="L22" i="34"/>
  <c r="I22" i="34"/>
  <c r="L21" i="34"/>
  <c r="L20" i="34"/>
  <c r="L19" i="34"/>
  <c r="L18" i="34"/>
  <c r="L17" i="34"/>
  <c r="L16" i="34"/>
  <c r="L15" i="34"/>
  <c r="L14" i="34"/>
  <c r="L13" i="34"/>
  <c r="L12" i="34"/>
  <c r="L11" i="34"/>
  <c r="L10" i="34"/>
  <c r="L9" i="34"/>
  <c r="L8" i="34"/>
  <c r="L7" i="34"/>
  <c r="L6" i="34"/>
  <c r="L5" i="34"/>
  <c r="L4" i="34"/>
  <c r="L3" i="34"/>
  <c r="L48" i="29"/>
  <c r="L47" i="29"/>
  <c r="L46" i="29"/>
  <c r="L45" i="29"/>
  <c r="L44" i="29"/>
  <c r="L43" i="29"/>
  <c r="L42" i="29"/>
  <c r="L41" i="29"/>
  <c r="L40" i="29"/>
  <c r="L39" i="29"/>
  <c r="L38" i="29"/>
  <c r="L37" i="29"/>
  <c r="L36" i="29"/>
  <c r="L35" i="29"/>
  <c r="L34" i="29"/>
  <c r="L33" i="29"/>
  <c r="L32" i="29"/>
  <c r="L31" i="29"/>
  <c r="L30" i="29"/>
  <c r="L29" i="29"/>
  <c r="L28" i="29"/>
  <c r="L27" i="29"/>
  <c r="L26" i="29"/>
  <c r="L25" i="29"/>
  <c r="L24" i="29"/>
  <c r="L23" i="29"/>
  <c r="L22" i="29"/>
  <c r="L21" i="29"/>
  <c r="L20" i="29"/>
  <c r="L19" i="29"/>
  <c r="L18" i="29"/>
  <c r="L17" i="29"/>
  <c r="L16" i="29"/>
  <c r="L15" i="29"/>
  <c r="L14" i="29"/>
  <c r="L13" i="29"/>
  <c r="L12" i="29"/>
  <c r="L11" i="29"/>
  <c r="L10" i="29"/>
  <c r="L9" i="29"/>
  <c r="L8" i="29"/>
  <c r="L7" i="29"/>
  <c r="L6" i="29"/>
  <c r="L5" i="29"/>
  <c r="L4" i="29"/>
  <c r="L3" i="29"/>
  <c r="K249" i="28"/>
  <c r="K248" i="28"/>
  <c r="K247" i="28"/>
  <c r="K246" i="28"/>
  <c r="K245" i="28"/>
  <c r="K244" i="28"/>
  <c r="K243" i="28"/>
  <c r="K242" i="28"/>
  <c r="K241" i="28"/>
  <c r="K240" i="28"/>
  <c r="K239" i="28"/>
  <c r="K238" i="28"/>
  <c r="K237" i="28"/>
  <c r="K236" i="28"/>
  <c r="K235" i="28"/>
  <c r="K234" i="28"/>
  <c r="K233" i="28"/>
  <c r="K232" i="28"/>
  <c r="K231" i="28"/>
  <c r="K230" i="28"/>
  <c r="K229" i="28"/>
  <c r="K228" i="28"/>
  <c r="K227" i="28"/>
  <c r="K226" i="28"/>
  <c r="K225" i="28"/>
  <c r="K224" i="28"/>
  <c r="K223" i="28"/>
  <c r="K222" i="28"/>
  <c r="K221" i="28"/>
  <c r="K220" i="28"/>
  <c r="K219" i="28"/>
  <c r="K218" i="28"/>
  <c r="K217" i="28"/>
  <c r="K216" i="28"/>
  <c r="K215" i="28"/>
  <c r="K214" i="28"/>
  <c r="K213" i="28"/>
  <c r="K212" i="28"/>
  <c r="K211" i="28"/>
  <c r="K210" i="28"/>
  <c r="K209" i="28"/>
  <c r="K208" i="28"/>
  <c r="K207" i="28"/>
  <c r="K206" i="28"/>
  <c r="K205" i="28"/>
  <c r="K204" i="28"/>
  <c r="K203" i="28"/>
  <c r="K202" i="28"/>
  <c r="K201" i="28"/>
  <c r="K200" i="28"/>
  <c r="K199" i="28"/>
  <c r="K198" i="28"/>
  <c r="K197" i="28"/>
  <c r="K196" i="28"/>
  <c r="K195" i="28"/>
  <c r="K194" i="28"/>
  <c r="K193" i="28"/>
  <c r="K192" i="28"/>
  <c r="K191" i="28"/>
  <c r="K190" i="28"/>
  <c r="K189" i="28"/>
  <c r="K188" i="28"/>
  <c r="K187" i="28"/>
  <c r="K186" i="28"/>
  <c r="K185" i="28"/>
  <c r="K184" i="28"/>
  <c r="K183" i="28"/>
  <c r="K182" i="28"/>
  <c r="K181" i="28"/>
  <c r="K180" i="28"/>
  <c r="K179" i="28"/>
  <c r="K178" i="28"/>
  <c r="K177" i="28"/>
  <c r="K176" i="28"/>
  <c r="K175" i="28"/>
  <c r="K174" i="28"/>
  <c r="K173" i="28"/>
  <c r="K172" i="28"/>
  <c r="K171" i="28"/>
  <c r="K170" i="28"/>
  <c r="K169" i="28"/>
  <c r="K168" i="28"/>
  <c r="K167" i="28"/>
  <c r="K166" i="28"/>
  <c r="K165" i="28"/>
  <c r="K164" i="28"/>
  <c r="K163" i="28"/>
  <c r="K162" i="28"/>
  <c r="K161" i="28"/>
  <c r="K160" i="28"/>
  <c r="K159" i="28"/>
  <c r="K158" i="28"/>
  <c r="K157" i="28"/>
  <c r="K156" i="28"/>
  <c r="K155" i="28"/>
  <c r="K154" i="28"/>
  <c r="K153" i="28"/>
  <c r="K152" i="28"/>
  <c r="K151" i="28"/>
  <c r="K150" i="28"/>
  <c r="K149" i="28"/>
  <c r="K148" i="28"/>
  <c r="K147" i="28"/>
  <c r="K146" i="28"/>
  <c r="K145" i="28"/>
  <c r="K144" i="28"/>
  <c r="K143" i="28"/>
  <c r="K142" i="28"/>
  <c r="K141" i="28"/>
  <c r="K140" i="28"/>
  <c r="K139" i="28"/>
  <c r="K138" i="28"/>
  <c r="K137" i="28"/>
  <c r="K136" i="28"/>
  <c r="K135" i="28"/>
  <c r="K134" i="28"/>
  <c r="K133" i="28"/>
  <c r="K132" i="28"/>
  <c r="K131" i="28"/>
  <c r="K130" i="28"/>
  <c r="K129" i="28"/>
  <c r="K128" i="28"/>
  <c r="K127" i="28"/>
  <c r="K126" i="28"/>
  <c r="K125" i="28"/>
  <c r="K124" i="28"/>
  <c r="K123" i="28"/>
  <c r="K122" i="28"/>
  <c r="K121" i="28"/>
  <c r="K120" i="28"/>
  <c r="K119" i="28"/>
  <c r="K118" i="28"/>
  <c r="K117" i="28"/>
  <c r="K116" i="28"/>
  <c r="K115" i="28"/>
  <c r="K114" i="28"/>
  <c r="K113" i="28"/>
  <c r="K112" i="28"/>
  <c r="K111" i="28"/>
  <c r="K110" i="28"/>
  <c r="K109" i="28"/>
  <c r="K108" i="28"/>
  <c r="K107" i="28"/>
  <c r="K106" i="28"/>
  <c r="K105" i="28"/>
  <c r="K104" i="28"/>
  <c r="K103" i="28"/>
  <c r="K102" i="28"/>
  <c r="K101" i="28"/>
  <c r="K100" i="28"/>
  <c r="K99" i="28"/>
  <c r="K98" i="28"/>
  <c r="K97" i="28"/>
  <c r="K96" i="28"/>
  <c r="K95" i="28"/>
  <c r="K94" i="28"/>
  <c r="K93" i="28"/>
  <c r="K92" i="28"/>
  <c r="K91" i="28"/>
  <c r="K90" i="28"/>
  <c r="K89" i="28"/>
  <c r="K88" i="28"/>
  <c r="K87" i="28"/>
  <c r="K86" i="28"/>
  <c r="K85" i="28"/>
  <c r="K84" i="28"/>
  <c r="K83" i="28"/>
  <c r="K82" i="28"/>
  <c r="K81" i="28"/>
  <c r="K80" i="28"/>
  <c r="K79" i="28"/>
  <c r="K78" i="28"/>
  <c r="K77" i="28"/>
  <c r="K76" i="28"/>
  <c r="K75" i="28"/>
  <c r="K74" i="28"/>
  <c r="K73" i="28"/>
  <c r="K72" i="28"/>
  <c r="K71" i="28"/>
  <c r="K70" i="28"/>
  <c r="K69" i="28"/>
  <c r="K68" i="28"/>
  <c r="K67" i="28"/>
  <c r="K66" i="28"/>
  <c r="K65" i="28"/>
  <c r="K64" i="28"/>
  <c r="K63" i="28"/>
  <c r="K62" i="28"/>
  <c r="K61" i="28"/>
  <c r="K60" i="28"/>
  <c r="K59" i="28"/>
  <c r="K58" i="28"/>
  <c r="K57" i="28"/>
  <c r="K56" i="28"/>
  <c r="K55" i="28"/>
  <c r="K54" i="28"/>
  <c r="K53" i="28"/>
  <c r="K52" i="28"/>
  <c r="K51" i="28"/>
  <c r="K50" i="28"/>
  <c r="K49" i="28"/>
  <c r="K48" i="28"/>
  <c r="K47" i="28"/>
  <c r="K46" i="28"/>
  <c r="K45" i="28"/>
  <c r="K44" i="28"/>
  <c r="K43" i="28"/>
  <c r="K42" i="28"/>
  <c r="K41" i="28"/>
  <c r="K40" i="28"/>
  <c r="K39" i="28"/>
  <c r="K38" i="28"/>
  <c r="K37" i="28"/>
  <c r="K36" i="28"/>
  <c r="K35" i="28"/>
  <c r="K34" i="28"/>
  <c r="K33" i="28"/>
  <c r="K32" i="28"/>
  <c r="K31" i="28"/>
  <c r="K30" i="28"/>
  <c r="K29" i="28"/>
  <c r="K26" i="28"/>
  <c r="K25" i="28"/>
  <c r="K24" i="28"/>
  <c r="K23" i="28"/>
  <c r="K22" i="28"/>
  <c r="K21" i="28"/>
  <c r="K20" i="28"/>
  <c r="K19" i="28"/>
  <c r="K18" i="28"/>
  <c r="K17" i="28"/>
  <c r="K16" i="28"/>
  <c r="K15" i="28"/>
  <c r="K14" i="28"/>
  <c r="K13" i="28"/>
  <c r="K12" i="28"/>
  <c r="K11" i="28"/>
  <c r="K10" i="28"/>
  <c r="K9" i="28"/>
  <c r="K8" i="28"/>
  <c r="K7" i="28"/>
  <c r="K6" i="28"/>
  <c r="I4" i="28"/>
  <c r="K32" i="26"/>
  <c r="K31" i="26"/>
  <c r="K30" i="26"/>
  <c r="K29" i="26"/>
  <c r="K28" i="26"/>
  <c r="K27" i="26"/>
  <c r="K26" i="26"/>
  <c r="K25" i="26"/>
  <c r="K24" i="26"/>
  <c r="K23" i="26"/>
  <c r="K22" i="26"/>
  <c r="K21" i="26"/>
  <c r="K20" i="26"/>
  <c r="K19" i="26"/>
  <c r="K18" i="26"/>
  <c r="K17" i="26"/>
  <c r="K16" i="26"/>
  <c r="K15" i="26"/>
  <c r="J14" i="26"/>
  <c r="K13" i="26"/>
  <c r="K12" i="26"/>
  <c r="K11" i="26"/>
  <c r="K10" i="26"/>
  <c r="K9" i="26"/>
  <c r="L81" i="24"/>
  <c r="L80" i="24"/>
  <c r="L79" i="24"/>
  <c r="L78" i="24"/>
  <c r="L77" i="24"/>
  <c r="L76" i="24"/>
  <c r="L75" i="24"/>
  <c r="L74" i="24"/>
  <c r="L73" i="24"/>
  <c r="L72" i="24"/>
  <c r="L71" i="24"/>
  <c r="L70" i="24"/>
  <c r="L69" i="24"/>
  <c r="L68" i="24"/>
  <c r="L67" i="24"/>
  <c r="L66" i="24"/>
  <c r="L65" i="24"/>
  <c r="L64" i="24"/>
  <c r="L63" i="24"/>
  <c r="L62" i="24"/>
  <c r="L61" i="24"/>
  <c r="L60" i="24"/>
  <c r="L59" i="24"/>
  <c r="L58" i="24"/>
  <c r="L57" i="24"/>
  <c r="L56" i="24"/>
  <c r="L55" i="24"/>
  <c r="L54" i="24"/>
  <c r="L53" i="24"/>
  <c r="L52" i="24"/>
  <c r="L51" i="24"/>
  <c r="L50" i="24"/>
  <c r="L49" i="24"/>
  <c r="L48" i="24"/>
  <c r="L47" i="24"/>
  <c r="L46" i="24"/>
  <c r="L45" i="24"/>
  <c r="L44" i="24"/>
  <c r="L43" i="24"/>
  <c r="L42" i="24"/>
  <c r="L41" i="24"/>
  <c r="L40" i="24"/>
  <c r="L39" i="24"/>
  <c r="L38" i="24"/>
  <c r="L37" i="24"/>
  <c r="L36" i="24"/>
  <c r="L35" i="24"/>
  <c r="L34" i="24"/>
  <c r="L33" i="24"/>
  <c r="L32" i="24"/>
  <c r="L31" i="24"/>
  <c r="L30" i="24"/>
  <c r="L29" i="24"/>
  <c r="L28" i="24"/>
  <c r="L27" i="24"/>
  <c r="L26" i="24"/>
  <c r="L25" i="24"/>
  <c r="L24" i="24"/>
  <c r="L23" i="24"/>
  <c r="L22" i="24"/>
  <c r="L21" i="24"/>
  <c r="L20" i="24"/>
  <c r="L19" i="24"/>
  <c r="L18" i="24"/>
  <c r="L17" i="24"/>
  <c r="L16" i="24"/>
  <c r="L15" i="24"/>
  <c r="L14" i="24"/>
  <c r="L13" i="24"/>
  <c r="L12" i="24"/>
  <c r="L11" i="24"/>
  <c r="L10" i="24"/>
  <c r="L9" i="24"/>
  <c r="L8" i="24"/>
  <c r="L7" i="24"/>
  <c r="L6" i="24"/>
  <c r="L5" i="24"/>
  <c r="L4" i="24"/>
  <c r="L3" i="24"/>
  <c r="L56" i="22"/>
  <c r="L55" i="22"/>
  <c r="L54" i="22"/>
  <c r="L53" i="22"/>
  <c r="L52" i="22"/>
  <c r="L51" i="22"/>
  <c r="L50" i="22"/>
  <c r="L49" i="22"/>
  <c r="L48" i="22"/>
  <c r="L47" i="22"/>
  <c r="L46" i="22"/>
  <c r="L45" i="22"/>
  <c r="L44" i="22"/>
  <c r="L43" i="22"/>
  <c r="L42" i="22"/>
  <c r="L41" i="22"/>
  <c r="L40" i="22"/>
  <c r="L39" i="22"/>
  <c r="L38" i="22"/>
  <c r="L37" i="22"/>
  <c r="L36" i="22"/>
  <c r="L35" i="22"/>
  <c r="L34" i="22"/>
  <c r="L33" i="22"/>
  <c r="L32" i="22"/>
  <c r="L31" i="22"/>
  <c r="L30" i="22"/>
  <c r="L29" i="22"/>
  <c r="L28" i="22"/>
  <c r="L27" i="22"/>
  <c r="L26" i="22"/>
  <c r="L25" i="22"/>
  <c r="L24" i="22"/>
  <c r="L23" i="22"/>
  <c r="L22" i="22"/>
  <c r="L21" i="22"/>
  <c r="L20" i="22"/>
  <c r="L19" i="22"/>
  <c r="L18" i="22"/>
  <c r="L17" i="22"/>
  <c r="L16" i="22"/>
  <c r="L15" i="22"/>
  <c r="L14" i="22"/>
  <c r="L13" i="22"/>
  <c r="L12" i="22"/>
  <c r="L11" i="22"/>
  <c r="L10" i="22"/>
  <c r="L9" i="22"/>
  <c r="L8" i="22"/>
  <c r="L7" i="22"/>
  <c r="L6" i="22"/>
  <c r="L5" i="22"/>
  <c r="L4" i="22"/>
  <c r="L3" i="22"/>
  <c r="I21" i="20"/>
  <c r="J114" i="18"/>
  <c r="L113" i="18"/>
  <c r="L112" i="18"/>
  <c r="L111" i="18"/>
  <c r="L110" i="18"/>
  <c r="L109" i="18"/>
  <c r="L108" i="18"/>
  <c r="L107" i="18"/>
  <c r="L106" i="18"/>
  <c r="L105" i="18"/>
  <c r="L104" i="18"/>
  <c r="L103" i="18"/>
  <c r="L102" i="18"/>
  <c r="L101" i="18"/>
  <c r="L100" i="18"/>
  <c r="L99" i="18"/>
  <c r="L98" i="18"/>
  <c r="L97" i="18"/>
  <c r="L96" i="18"/>
  <c r="L95" i="18"/>
  <c r="L94" i="18"/>
  <c r="L93" i="18"/>
  <c r="L92" i="18"/>
  <c r="L91" i="18"/>
  <c r="L90" i="18"/>
  <c r="L89" i="18"/>
  <c r="L88" i="18"/>
  <c r="L87" i="18"/>
  <c r="L86" i="18"/>
  <c r="L85" i="18"/>
  <c r="L84" i="18"/>
  <c r="L83" i="18"/>
  <c r="L82" i="18"/>
  <c r="L81" i="18"/>
  <c r="L80" i="18"/>
  <c r="L79" i="18"/>
  <c r="L78" i="18"/>
  <c r="L77" i="18"/>
  <c r="L76" i="18"/>
  <c r="L75" i="18"/>
  <c r="L74" i="18"/>
  <c r="L73" i="18"/>
  <c r="L72" i="18"/>
  <c r="L71" i="18"/>
  <c r="L70" i="18"/>
  <c r="L69" i="18"/>
  <c r="L68" i="18"/>
  <c r="L67" i="18"/>
  <c r="L66" i="18"/>
  <c r="L65" i="18"/>
  <c r="L64" i="18"/>
  <c r="L63" i="18"/>
  <c r="L62" i="18"/>
  <c r="L61" i="18"/>
  <c r="L60" i="18"/>
  <c r="L59" i="18"/>
  <c r="L58" i="18"/>
  <c r="L57" i="18"/>
  <c r="L56" i="18"/>
  <c r="L55" i="18"/>
  <c r="L54" i="18"/>
  <c r="L53" i="18"/>
  <c r="L52" i="18"/>
  <c r="L51" i="18"/>
  <c r="L50" i="18"/>
  <c r="L49" i="18"/>
  <c r="L48" i="18"/>
  <c r="L47" i="18"/>
  <c r="L46" i="18"/>
  <c r="L45" i="18"/>
  <c r="L44" i="18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30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3" i="18"/>
  <c r="L22" i="16"/>
  <c r="L21" i="16"/>
  <c r="L7" i="16"/>
  <c r="L99" i="16"/>
  <c r="L5" i="16"/>
  <c r="L87" i="16"/>
  <c r="L86" i="16"/>
  <c r="L85" i="16"/>
  <c r="L29" i="16"/>
  <c r="L84" i="16"/>
  <c r="L83" i="16"/>
  <c r="L82" i="16"/>
  <c r="L81" i="16"/>
  <c r="L88" i="16"/>
  <c r="L48" i="16"/>
  <c r="L90" i="16"/>
  <c r="L93" i="16"/>
  <c r="L92" i="16"/>
  <c r="L52" i="16"/>
  <c r="L19" i="16"/>
  <c r="L39" i="16"/>
  <c r="L16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L47" i="16"/>
  <c r="L34" i="16"/>
  <c r="L33" i="16"/>
  <c r="L38" i="16"/>
  <c r="L37" i="16"/>
  <c r="L12" i="16"/>
  <c r="L11" i="16"/>
  <c r="L15" i="16"/>
  <c r="L43" i="16"/>
  <c r="L64" i="16"/>
  <c r="L57" i="16"/>
  <c r="L95" i="16"/>
  <c r="L24" i="16"/>
  <c r="L10" i="16"/>
  <c r="L96" i="16"/>
  <c r="L56" i="16"/>
  <c r="L54" i="16"/>
  <c r="L4" i="16"/>
  <c r="L28" i="16"/>
  <c r="L27" i="16"/>
  <c r="L23" i="16"/>
  <c r="L63" i="16"/>
  <c r="L59" i="16"/>
  <c r="L18" i="16"/>
  <c r="L32" i="16"/>
  <c r="L98" i="16"/>
  <c r="L51" i="16"/>
  <c r="L45" i="16"/>
  <c r="L6" i="16"/>
  <c r="L36" i="16"/>
  <c r="L20" i="16"/>
  <c r="L89" i="16"/>
  <c r="L53" i="16"/>
  <c r="L42" i="16"/>
  <c r="L17" i="16"/>
  <c r="L9" i="16"/>
  <c r="L44" i="16"/>
  <c r="L25" i="16"/>
  <c r="L3" i="16"/>
  <c r="L41" i="16"/>
  <c r="L91" i="16"/>
  <c r="L94" i="16"/>
  <c r="L60" i="16"/>
  <c r="L13" i="16"/>
  <c r="L55" i="16"/>
  <c r="L2" i="16"/>
  <c r="L26" i="16"/>
  <c r="L97" i="16"/>
  <c r="L8" i="16"/>
  <c r="L30" i="16"/>
  <c r="L40" i="16"/>
  <c r="L50" i="16"/>
  <c r="L49" i="16"/>
  <c r="L46" i="16"/>
  <c r="L58" i="16"/>
  <c r="L61" i="16"/>
  <c r="L31" i="16"/>
  <c r="L14" i="16"/>
  <c r="L35" i="16"/>
  <c r="L62" i="16"/>
  <c r="L3" i="14"/>
  <c r="L79" i="11"/>
  <c r="L78" i="11"/>
  <c r="L77" i="11"/>
  <c r="L76" i="11"/>
  <c r="L75" i="11"/>
  <c r="L74" i="11"/>
  <c r="L73" i="11"/>
  <c r="L72" i="11"/>
  <c r="L71" i="11"/>
  <c r="L70" i="11"/>
  <c r="L69" i="11"/>
  <c r="L68" i="11"/>
  <c r="L67" i="11"/>
  <c r="L66" i="11"/>
  <c r="L65" i="11"/>
  <c r="L64" i="11"/>
  <c r="L63" i="11"/>
  <c r="L62" i="11"/>
  <c r="L61" i="11"/>
  <c r="L60" i="11"/>
  <c r="L59" i="11"/>
  <c r="L58" i="11"/>
  <c r="L57" i="11"/>
  <c r="L56" i="11"/>
  <c r="L55" i="11"/>
  <c r="L54" i="11"/>
  <c r="L53" i="11"/>
  <c r="L52" i="11"/>
  <c r="L51" i="11"/>
  <c r="L50" i="11"/>
  <c r="L49" i="11"/>
  <c r="L48" i="11"/>
  <c r="L47" i="11"/>
  <c r="L46" i="11"/>
  <c r="L45" i="11"/>
  <c r="L44" i="11"/>
  <c r="L43" i="11"/>
  <c r="L42" i="11"/>
  <c r="L41" i="11"/>
  <c r="L40" i="11"/>
  <c r="L39" i="11"/>
  <c r="L38" i="11"/>
  <c r="L37" i="11"/>
  <c r="L36" i="11"/>
  <c r="L35" i="11"/>
  <c r="L34" i="11"/>
  <c r="L33" i="11"/>
  <c r="L32" i="11"/>
  <c r="L31" i="1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I12" i="11"/>
  <c r="L11" i="11"/>
  <c r="L10" i="11"/>
  <c r="L9" i="11"/>
  <c r="L8" i="11"/>
  <c r="L7" i="11"/>
  <c r="L6" i="11"/>
  <c r="L5" i="11"/>
  <c r="L4" i="11"/>
  <c r="L3" i="11"/>
  <c r="J9" i="8"/>
  <c r="J98" i="10"/>
  <c r="L97" i="10"/>
  <c r="L96" i="10"/>
  <c r="L95" i="10"/>
  <c r="L94" i="10"/>
  <c r="L93" i="10"/>
  <c r="L92" i="10"/>
  <c r="L91" i="10"/>
  <c r="I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I8" i="10"/>
  <c r="L7" i="10"/>
  <c r="L6" i="10"/>
  <c r="L5" i="10"/>
  <c r="L4" i="10"/>
  <c r="L3" i="10"/>
  <c r="L8" i="8"/>
  <c r="L7" i="8"/>
  <c r="L6" i="8"/>
  <c r="L5" i="8"/>
  <c r="L4" i="8"/>
  <c r="L3" i="8"/>
  <c r="K87" i="38" l="1"/>
  <c r="K14" i="26"/>
  <c r="J33" i="26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J45" i="5"/>
  <c r="S48" i="18" l="1"/>
  <c r="E128" i="3" l="1"/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7" i="3"/>
  <c r="G118" i="3"/>
  <c r="G119" i="3"/>
  <c r="G120" i="3"/>
  <c r="G121" i="3"/>
  <c r="G122" i="3"/>
  <c r="G123" i="3"/>
  <c r="G124" i="3"/>
  <c r="G125" i="3"/>
  <c r="G126" i="3"/>
  <c r="G127" i="3"/>
  <c r="T114" i="1" l="1"/>
  <c r="T113" i="1"/>
  <c r="T112" i="1"/>
  <c r="T111" i="1"/>
  <c r="T110" i="1"/>
</calcChain>
</file>

<file path=xl/comments1.xml><?xml version="1.0" encoding="utf-8"?>
<comments xmlns="http://schemas.openxmlformats.org/spreadsheetml/2006/main">
  <authors>
    <author>Elena Lulko</author>
  </authors>
  <commentList>
    <comment ref="Y5" authorId="0" shapeId="0">
      <text>
        <r>
          <rPr>
            <b/>
            <sz val="9"/>
            <color indexed="81"/>
            <rFont val="Tahoma"/>
            <charset val="177"/>
          </rPr>
          <t>Elena Lulko:</t>
        </r>
        <r>
          <rPr>
            <sz val="9"/>
            <color indexed="81"/>
            <rFont val="Tahoma"/>
            <charset val="177"/>
          </rPr>
          <t xml:space="preserve">
ב- 2018 שולמה המקדמה בסך 2.8 מ' ₪. היתרה טרם שולמה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Elena Lulko:</t>
        </r>
        <r>
          <rPr>
            <sz val="9"/>
            <color indexed="81"/>
            <rFont val="Tahoma"/>
            <family val="2"/>
          </rPr>
          <t xml:space="preserve">
כולל החזר קיזוזים לשנים 2013-2014 בסך 464,528 ש"ח</t>
        </r>
      </text>
    </comment>
  </commentList>
</comments>
</file>

<file path=xl/comments2.xml><?xml version="1.0" encoding="utf-8"?>
<comments xmlns="http://schemas.openxmlformats.org/spreadsheetml/2006/main">
  <authors>
    <author>Elena Lulko</author>
  </authors>
  <commentList>
    <comment ref="I60" authorId="0" shapeId="0">
      <text>
        <r>
          <rPr>
            <b/>
            <sz val="9"/>
            <color indexed="81"/>
            <rFont val="Tahoma"/>
            <family val="2"/>
          </rPr>
          <t>Elena Lulko:</t>
        </r>
        <r>
          <rPr>
            <sz val="9"/>
            <color indexed="81"/>
            <rFont val="Tahoma"/>
            <family val="2"/>
          </rPr>
          <t xml:space="preserve">
התמיכה אושרה וטרם שולמה בשל אי ביצוע פרויקט</t>
        </r>
      </text>
    </comment>
  </commentList>
</comments>
</file>

<file path=xl/comments3.xml><?xml version="1.0" encoding="utf-8"?>
<comments xmlns="http://schemas.openxmlformats.org/spreadsheetml/2006/main">
  <authors>
    <author>Elena Lulko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Elena Lulko:</t>
        </r>
        <r>
          <rPr>
            <sz val="9"/>
            <color indexed="81"/>
            <rFont val="Tahoma"/>
            <family val="2"/>
          </rPr>
          <t xml:space="preserve">
כולל החזר קיזוז בסך 226,780 ₪
</t>
        </r>
      </text>
    </comment>
  </commentList>
</comments>
</file>

<file path=xl/comments4.xml><?xml version="1.0" encoding="utf-8"?>
<comments xmlns="http://schemas.openxmlformats.org/spreadsheetml/2006/main">
  <authors>
    <author>Anat Gini</author>
  </authors>
  <commentList>
    <comment ref="M80" authorId="0" shapeId="0">
      <text>
        <r>
          <rPr>
            <b/>
            <sz val="12"/>
            <color indexed="81"/>
            <rFont val="Arial"/>
            <family val="2"/>
          </rPr>
          <t>Anat Gini:</t>
        </r>
        <r>
          <rPr>
            <sz val="12"/>
            <color indexed="81"/>
            <rFont val="Arial"/>
            <family val="2"/>
          </rPr>
          <t xml:space="preserve">
קזוז הלוואה לחודש אוגוסט:       89,094.11  ₪</t>
        </r>
      </text>
    </comment>
  </commentList>
</comments>
</file>

<file path=xl/comments5.xml><?xml version="1.0" encoding="utf-8"?>
<comments xmlns="http://schemas.openxmlformats.org/spreadsheetml/2006/main">
  <authors>
    <author>Shiran chen tal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Shiran chen tal:</t>
        </r>
        <r>
          <rPr>
            <sz val="9"/>
            <color indexed="81"/>
            <rFont val="Tahoma"/>
            <family val="2"/>
          </rPr>
          <t xml:space="preserve">
תמיכה בהקפאה
</t>
        </r>
      </text>
    </comment>
  </commentList>
</comments>
</file>

<file path=xl/sharedStrings.xml><?xml version="1.0" encoding="utf-8"?>
<sst xmlns="http://schemas.openxmlformats.org/spreadsheetml/2006/main" count="6801" uniqueCount="3480">
  <si>
    <t>מס' עמותה/חברה/ רשות</t>
  </si>
  <si>
    <t>שם הגוף מגיש הבקשה</t>
  </si>
  <si>
    <t>תמיכה</t>
  </si>
  <si>
    <t>סה"כ תמיכה</t>
  </si>
  <si>
    <t>הערות</t>
  </si>
  <si>
    <t>יישוב</t>
  </si>
  <si>
    <t>סיווג לפי אזור</t>
  </si>
  <si>
    <t>סה"כ</t>
  </si>
  <si>
    <t>עמותות/חברות</t>
  </si>
  <si>
    <t>צפון</t>
  </si>
  <si>
    <t>המרכז הקהילתי לקדום האוכלוסיה הערבית ברמלה</t>
  </si>
  <si>
    <t>רמלה</t>
  </si>
  <si>
    <t>אחר</t>
  </si>
  <si>
    <t>נצרת</t>
  </si>
  <si>
    <t>קתרין לקידום המוסיקה, המחול ואמנויות</t>
  </si>
  <si>
    <t>תרשיחא</t>
  </si>
  <si>
    <t>עמותת אלמעהד אל מוסיקי אעבלין</t>
  </si>
  <si>
    <t>אעבלין</t>
  </si>
  <si>
    <t>בית המוסיקה שפרעם</t>
  </si>
  <si>
    <t>שפרעם</t>
  </si>
  <si>
    <t>עמותת אלערביא לתרבות ואמנות</t>
  </si>
  <si>
    <t>עמותת אלסבאר</t>
  </si>
  <si>
    <t>אום אל פחם</t>
  </si>
  <si>
    <t>מעיליא</t>
  </si>
  <si>
    <t>עמותת אלג'ואל אלבלדי</t>
  </si>
  <si>
    <t>סחנין</t>
  </si>
  <si>
    <t>תיאטרון אלסראיא הערבי - יפו</t>
  </si>
  <si>
    <t>תל-אביב-יפו</t>
  </si>
  <si>
    <t xml:space="preserve">תל אביב </t>
  </si>
  <si>
    <t>אלכרואן</t>
  </si>
  <si>
    <t>מתנ"ס- מרכז קהילתי תל-שבע</t>
  </si>
  <si>
    <t>תל-שבע</t>
  </si>
  <si>
    <t>דרום</t>
  </si>
  <si>
    <t>עכו</t>
  </si>
  <si>
    <t>אלאופק ללתקאפה ולפנון</t>
  </si>
  <si>
    <t>מתנ"ס מרכז קהילתי - מטה אשר</t>
  </si>
  <si>
    <t>מטה אשר</t>
  </si>
  <si>
    <t>עמותת נאדי אלמחבה - אעבלין</t>
  </si>
  <si>
    <t>עמותת אלפאראבי המוסיקלית כפר כנא</t>
  </si>
  <si>
    <t>כפר כנא</t>
  </si>
  <si>
    <t>אבדאע-עמותה לקידום האמנויות במגזר הערבי</t>
  </si>
  <si>
    <t>כפר יסיף</t>
  </si>
  <si>
    <t>עמותת אל כרמל למוסיקה</t>
  </si>
  <si>
    <t>חיפה</t>
  </si>
  <si>
    <t>עמותת מרכז קהילתי טובא זנגריה</t>
  </si>
  <si>
    <t>טובא זנגריה</t>
  </si>
  <si>
    <t>מתנ"ס - מרכז קהילתי קלנסואה</t>
  </si>
  <si>
    <t>קלנסואה</t>
  </si>
  <si>
    <t>עמותת אלזייתון</t>
  </si>
  <si>
    <t>אמנות למען השלום</t>
  </si>
  <si>
    <t>מתנ"ס דבורייה</t>
  </si>
  <si>
    <t>דבורייה</t>
  </si>
  <si>
    <t>מרכז למחקר כפרי- מעליא</t>
  </si>
  <si>
    <t>ירושלים</t>
  </si>
  <si>
    <t xml:space="preserve">עמותת תאטרון אלתקאפה </t>
  </si>
  <si>
    <t>האגודה הנצרתית לאמנות</t>
  </si>
  <si>
    <t>ג'ביינה, עמותה לקידום התיאטרון הערבי התרבותי העצמאי</t>
  </si>
  <si>
    <t>בית האמנות לחינוך ולתרבכות-תרשיחא</t>
  </si>
  <si>
    <t>עמותת סלמה להקה לרקוד</t>
  </si>
  <si>
    <t>המכון היהודי-ערבי שליד ההסתדרות בבית ברל</t>
  </si>
  <si>
    <t>בית ברל</t>
  </si>
  <si>
    <t>עמותת משגב הגליל</t>
  </si>
  <si>
    <t>בקעת בית הכרם- גליל התחתון</t>
  </si>
  <si>
    <t>בית הגפן המרכז הערבי יהודי לתרבות,חברה,נוער וספורט-</t>
  </si>
  <si>
    <t>מועצת העדה האורתודוקסית-נצרת</t>
  </si>
  <si>
    <t>אלחנין נצרת</t>
  </si>
  <si>
    <t>להקת ג'פרא לדבקה ופולקלור</t>
  </si>
  <si>
    <t>מתנ"ס עמותה לפעילות קהילתית מג'אר</t>
  </si>
  <si>
    <t>מג'אר</t>
  </si>
  <si>
    <t>מתנ"ס כפר מנדא</t>
  </si>
  <si>
    <t>כפר מנדא</t>
  </si>
  <si>
    <t>מתנ"ס יפיע</t>
  </si>
  <si>
    <t>יפיע</t>
  </si>
  <si>
    <t>תל אביב</t>
  </si>
  <si>
    <t>אורפיאוס - קונצרטים סימפונים בנצרת</t>
  </si>
  <si>
    <t>עמותת פסוטה לחינוך תרבות וספורט</t>
  </si>
  <si>
    <t>פסוטה</t>
  </si>
  <si>
    <t>מתנ"ס בית אל שביבה - בי"ס למוסיקה</t>
  </si>
  <si>
    <t>באקה ג'ת</t>
  </si>
  <si>
    <t>מואססת אלענאיה אלאהליה - תרבות 2008</t>
  </si>
  <si>
    <t>מתנ"ס חדש עכו העתיקה - תיאטרון</t>
  </si>
  <si>
    <t>אלמנאר - עמותה לטיפוח וקידום  - ילד קורא</t>
  </si>
  <si>
    <t>שכנות בצפון - פרוייקט אמנות קיץ</t>
  </si>
  <si>
    <t>מועדון הצופים האורתודוקסים ביפו - קרנבל החגים ביפו</t>
  </si>
  <si>
    <t>תל אביב -יפו</t>
  </si>
  <si>
    <t>בראשית לשלום - תיאטרון יהודי ערבי</t>
  </si>
  <si>
    <t>גוש חלב</t>
  </si>
  <si>
    <t>אלאנדלוס לחקר תרבות וספורט - מיומנות אמנות ויצירה</t>
  </si>
  <si>
    <t>אלמנארה - העצמה ופתוח כשרונות</t>
  </si>
  <si>
    <t>ג'מעיית עוד אלנד</t>
  </si>
  <si>
    <t>טייבה</t>
  </si>
  <si>
    <t>חכיאת זמאן</t>
  </si>
  <si>
    <t>עמותת האמנים לקידום התיאטרון</t>
  </si>
  <si>
    <t>ראש העין</t>
  </si>
  <si>
    <t>תל אביב יפו</t>
  </si>
  <si>
    <t>שקאייק אלנעמאן- בי"ס למוסיקה</t>
  </si>
  <si>
    <t xml:space="preserve">עמותת "אלסאפי" לקידום המוסיקה </t>
  </si>
  <si>
    <t xml:space="preserve">עילבון </t>
  </si>
  <si>
    <t>אלביר לטיפוח התרבות והקהילה</t>
  </si>
  <si>
    <t>ודי עארה</t>
  </si>
  <si>
    <t xml:space="preserve">עמותת אל אסדי לתרבות </t>
  </si>
  <si>
    <t>דיר אלאסד</t>
  </si>
  <si>
    <t>עמותת אלאמל למחול נצרת</t>
  </si>
  <si>
    <t>אנסמבל תיאטרון פרינג' נצרת</t>
  </si>
  <si>
    <t>סינמה דרמה</t>
  </si>
  <si>
    <t>ג'ואיש לקידום תרבות וחינוך התיאטרון</t>
  </si>
  <si>
    <t>מרכז קהילתי בנצרת עילית ע"ש גורדון</t>
  </si>
  <si>
    <t>נצרת עילית</t>
  </si>
  <si>
    <t>מרכז קהילתי- כסייפה</t>
  </si>
  <si>
    <t>כסייפה</t>
  </si>
  <si>
    <t>מראות- עמותה לקידום האומנות והתיאטרון</t>
  </si>
  <si>
    <t>מגאר</t>
  </si>
  <si>
    <t>אל-תואסל</t>
  </si>
  <si>
    <t>אכסאל</t>
  </si>
  <si>
    <t>רהט</t>
  </si>
  <si>
    <t>ביאת למוסיקה ושירה</t>
  </si>
  <si>
    <t>המרכז הקהילתי אבו - סנאן</t>
  </si>
  <si>
    <t>תיאטרון אלח'יאל (ע"ר)</t>
  </si>
  <si>
    <t>סטיפ אפ בית ספר ללימודי אמנויות המח</t>
  </si>
  <si>
    <t>מעלות -תרשיחא</t>
  </si>
  <si>
    <t>נצרת על אלעהד (ע"ר)</t>
  </si>
  <si>
    <t>רשויות</t>
  </si>
  <si>
    <t>עיריית נצרת- עבור להקת מחול, תערוכה בגלריה, ערבי תרבות ופסטיבל ילדות</t>
  </si>
  <si>
    <t xml:space="preserve">מ.מ. מזרעה </t>
  </si>
  <si>
    <t>מ.מ. כאבול</t>
  </si>
  <si>
    <t>עיריית סחנין</t>
  </si>
  <si>
    <t>מ.מ. ראמה</t>
  </si>
  <si>
    <t>מ.מ. שבלי</t>
  </si>
  <si>
    <t>עארה</t>
  </si>
  <si>
    <t>טמרה</t>
  </si>
  <si>
    <t>עיריית מעלות תרשיחא- ארוע "מנגנים שלום"</t>
  </si>
  <si>
    <t>מעלות</t>
  </si>
  <si>
    <t>מ.מ. כאוכב אבו אלהיג'א- להקת דבקה</t>
  </si>
  <si>
    <t xml:space="preserve">כואכב אבו אלהיגא </t>
  </si>
  <si>
    <t xml:space="preserve">עיריית טייבה </t>
  </si>
  <si>
    <t>עיריית תל אביב- פסטיבל תרבות ערבית</t>
  </si>
  <si>
    <t>ת"א וגוש דן</t>
  </si>
  <si>
    <t>מ.א. נווה מדבר- תיאטרון רב תחומי</t>
  </si>
  <si>
    <t>מ.מ. טורעאן</t>
  </si>
  <si>
    <t>טורעאן</t>
  </si>
  <si>
    <t>עירית תל אביב-פסטיבל תרבות ערבית</t>
  </si>
  <si>
    <t>מ.מ אבו גוש-תזמורת מוסיקה</t>
  </si>
  <si>
    <t>מ.מ אבו גוש-להקת מחול</t>
  </si>
  <si>
    <t>מ.מ. מזרעה-להקת דבקה</t>
  </si>
  <si>
    <t>עמותת נאדי אלמחבה - אעבלין - כתיבה יצירתית</t>
  </si>
  <si>
    <t>מ.א נווה מדבר- תיאטרון רב תחומי</t>
  </si>
  <si>
    <t>"בית אל שביבה" מרכז קהילתי באקה-להקת דבקה</t>
  </si>
  <si>
    <t>קאן יא מא קאן-שוטף</t>
  </si>
  <si>
    <t>נצרת על אלעהד-שוטף</t>
  </si>
  <si>
    <t>תיאטרון אלח'יאל-תמיכה שוטפת</t>
  </si>
  <si>
    <t>סטיפ אפ בית ספר לאמניות הריקוד</t>
  </si>
  <si>
    <t xml:space="preserve">תקנת תרבות ערבית 42-02-33 </t>
  </si>
  <si>
    <t>אל תואסל - להקת דבקה</t>
  </si>
  <si>
    <t>ביאת' למוסיקה ושירה - מקהלת ביאת</t>
  </si>
  <si>
    <t>אנסמבל תיאטרון פרינג' נצרת - תיאטרון פרינג'</t>
  </si>
  <si>
    <t>עמותת אלאמל למחול נצרת - מחול שוטף</t>
  </si>
  <si>
    <t>סינמה דרמה - הפקות תיאטרון</t>
  </si>
  <si>
    <t>עמותת אל אסדי לתרבות - להקת 'אלאסאיל' דיר אל אסד0</t>
  </si>
  <si>
    <t>מראות, עמותה לקדום האמנות - תיאטרון מראות</t>
  </si>
  <si>
    <t>ב-14: סך 187,800 ₪ יוקפא עד לקבלת החלטה סופית בעניין החשש להעברות כספים אסורה.</t>
  </si>
  <si>
    <t>עמותת האמנים לקידום התיאטרון -  תיאטרון שוטף</t>
  </si>
  <si>
    <t>ג'ואיש לקדום תרבות וחינוך - פעילות שוטפת</t>
  </si>
  <si>
    <t>עמותת "אלסאפי" לקידום המוסיקה  מרכז המוסיקה</t>
  </si>
  <si>
    <t>אלמנארה - מועדון מנאראת-תיאטרון</t>
  </si>
  <si>
    <t>אלמנארה - מועדון מנאראת-מוסיקה</t>
  </si>
  <si>
    <t>אלאנדלוס לחקר תרבות וספורט - בי"ס לאמנות, ציור ויצירה</t>
  </si>
  <si>
    <r>
      <rPr>
        <b/>
        <sz val="10"/>
        <rFont val="Arial"/>
        <family val="2"/>
      </rPr>
      <t xml:space="preserve">ב-14: תמיכה מוקפאת עד לאישור ועדת חריגים     </t>
    </r>
    <r>
      <rPr>
        <b/>
        <sz val="10"/>
        <color rgb="FFFF0000"/>
        <rFont val="Arial"/>
        <family val="2"/>
      </rPr>
      <t xml:space="preserve">  </t>
    </r>
    <r>
      <rPr>
        <b/>
        <sz val="10"/>
        <rFont val="Arial"/>
        <family val="2"/>
      </rPr>
      <t xml:space="preserve">                                              </t>
    </r>
  </si>
  <si>
    <t>אורפיאוס - תמיכה בפעילות שוטפת של תז' קאמרית</t>
  </si>
  <si>
    <t>חכאיאת זמאן - הרכב מוסיקלי וותר</t>
  </si>
  <si>
    <t>שקאייק אלנעמאן - בי"ס למוסיקה</t>
  </si>
  <si>
    <t>שכנות בצפון - מרכז מורשת סכנין</t>
  </si>
  <si>
    <t>אלמנאר - עמותה לטיפוח וקידום  - שימור המורשת הערבית - ציורי קיר</t>
  </si>
  <si>
    <t>אלחנין נצרת - פעילות שוטפת</t>
  </si>
  <si>
    <t>מתנ"ס יפיע - גלריה</t>
  </si>
  <si>
    <t>מתנ"ס יפיע - ביה"ס למוסיקה</t>
  </si>
  <si>
    <t>מתנ"ס יפיע - להקת זמר</t>
  </si>
  <si>
    <t>מתנ"ס יפיע - תיאטרון קהילתי צעירות</t>
  </si>
  <si>
    <t>מתנ"ס יפיע - להקת דבקה ייצוגית</t>
  </si>
  <si>
    <t>מתנ"ס כפר מנדא - תיאטרון קהילתי מג'ד אלכרום</t>
  </si>
  <si>
    <t>מתנ"ס כפר מנדא - מחול - רקודי עם ומחול</t>
  </si>
  <si>
    <t>מתנ"ס כפר מנדא - כתיבה יצירתית</t>
  </si>
  <si>
    <t>מתנ"ס כפר מנדא - לימודי מוסיקה</t>
  </si>
  <si>
    <t>אלאג'יאל טמרה - פעילות שוטפת</t>
  </si>
  <si>
    <t>מתנ"ס לקדום האוכלוסיה הערבית ברמלה - תיאטרון ערבי ברמלה</t>
  </si>
  <si>
    <t>תיאטרון א.א. פחם - תיאטרון אום אל-פחם</t>
  </si>
  <si>
    <t>"קתרין" לקידום המוסיקה, המחול ואמנויות - בי"ס למוסיקה</t>
  </si>
  <si>
    <t>ב-14: הפעילות לא התקיימה בשנת 2014.</t>
  </si>
  <si>
    <t>עמותת נצרת לתרבות ותיירות - פסטיבל מוסיקה סקרה</t>
  </si>
  <si>
    <t>אלמעהד אלמוסיקי אעבלין - חוגי מוסיקה</t>
  </si>
  <si>
    <t>בית אלמוסיקה שפרעם - ביית אלמוסיקה שוטף</t>
  </si>
  <si>
    <t xml:space="preserve">אלערביא לתרבות ואמנות - פעילות שוטפת </t>
  </si>
  <si>
    <t>מתנ"ס כסייפה - תיאטרון סיפור</t>
  </si>
  <si>
    <t>עמותת אלסבאר - תמיכה שוטפת</t>
  </si>
  <si>
    <t>מתנ"ס חדש עכו העתיקה - להקת מחול</t>
  </si>
  <si>
    <t>מתנ"ס חדש עכו העתיקה - מוסיקה</t>
  </si>
  <si>
    <t>עמותת אלג'ואל אלבלדי - תיאטרון שוטף</t>
  </si>
  <si>
    <t xml:space="preserve">ב-14: מוקפא סכום של 51,540 ₪         </t>
  </si>
  <si>
    <t>תיאטרון אלסראיא הערבי - יפו - תיאטרון שוטף</t>
  </si>
  <si>
    <t>אלכרואן - מקהלת אלכרואן</t>
  </si>
  <si>
    <t>מתנ"ס תל-שבע - מרכז אמנויות</t>
  </si>
  <si>
    <t>מתנ"ס תל-שבע - להקת דבקה</t>
  </si>
  <si>
    <t>מתנ"ס תל-שבע - תיאטרון קהילתי</t>
  </si>
  <si>
    <t>מתנ"ס תל-שבע - מרכז מוסיקה</t>
  </si>
  <si>
    <r>
      <rPr>
        <b/>
        <sz val="10"/>
        <rFont val="Arial"/>
        <family val="2"/>
      </rPr>
      <t xml:space="preserve">ב-14: מוקפא סכום של 10,000 ש"ח בגין קיזוז.                                                 </t>
    </r>
    <r>
      <rPr>
        <sz val="10"/>
        <color rgb="FFFF0000"/>
        <rFont val="Arial"/>
        <family val="2"/>
      </rPr>
      <t/>
    </r>
  </si>
  <si>
    <t>מתנ"ס-מרכז קהילתי מטה אשר - מרכז המוסיקה</t>
  </si>
  <si>
    <t>מתנ"ס-מרכז קהילתי מטה אשר - להקת דבקה 'שיח דנון'</t>
  </si>
  <si>
    <t>ג'מעיית עוד אלנד - פעילות שוטפת</t>
  </si>
  <si>
    <t>עמותת נאדי אלמחבה - אעבלין - גלריה אמנותית</t>
  </si>
  <si>
    <t>עמותת אלפאראבי המוסיקלית כפר כנא - פעילות שוטפת של המקהלה</t>
  </si>
  <si>
    <t>אבדאע - עמותה לקידום האמנויות במגזר הערבי - גלריה שוטף</t>
  </si>
  <si>
    <t>עמותת אלכרמל למוסיקה - בי"ס למוסיקה</t>
  </si>
  <si>
    <t>מתנ"ס טובא זנגרייה - מחול</t>
  </si>
  <si>
    <t>מתנ"ס טובא זנגרייה - מוסיקה</t>
  </si>
  <si>
    <t>מתנ"ס קלנסואה -תיאטרון קהילתי</t>
  </si>
  <si>
    <t>מתנ"ס קלנסואה -אומנות פלסטית</t>
  </si>
  <si>
    <t>מתנ"ס קלנסואה - להקת ראפ</t>
  </si>
  <si>
    <t>מתנ"ס קלנסואה - תז' נגינה ערבית</t>
  </si>
  <si>
    <t>מתנ"ס קלנסואה - להקת דבקה</t>
  </si>
  <si>
    <t>מתנ"ס קלנסואה - כתיבה יצירתית</t>
  </si>
  <si>
    <t>עמותת אלזיתון - תמיכה שוטפת (כולל ביה"ס)</t>
  </si>
  <si>
    <t>אמנות למען השלום - שוטף</t>
  </si>
  <si>
    <t>מתנ"ס דבורייה - בי"ס לאמנות הציור</t>
  </si>
  <si>
    <t>מתנ"ס דבורייה - מועדון תרבות לנכים ובעלי צרכים</t>
  </si>
  <si>
    <t>מתנ"ס דבורייה - להקת מחול ודבקה</t>
  </si>
  <si>
    <t xml:space="preserve">מתנ"ס דבורייה - בי"ס למוסיקה </t>
  </si>
  <si>
    <t>מתנ"ס מג'אר - בי"ס מנגן</t>
  </si>
  <si>
    <t xml:space="preserve">מרכז למחקר כפרי - פעילות שוטפת </t>
  </si>
  <si>
    <t>מואססת אלענאיה אלאהליה - דרמה ותיאטרון</t>
  </si>
  <si>
    <t>מואססת אלענאיה אלאהליה - מחול ודבקה</t>
  </si>
  <si>
    <t xml:space="preserve">ב-14: מוקפא  סכום של 28,155 ₪             </t>
  </si>
  <si>
    <t>עמותת תיאטרון אלת'קאפה - תיאטרון</t>
  </si>
  <si>
    <t>האגודה הנצרתית לאמנות - פעילות שוטפת במרכז "מואל"</t>
  </si>
  <si>
    <t>ג'בינה - עמותה לקידום אמנות התיאטרון</t>
  </si>
  <si>
    <t>בית האמנות לחינוך ותרבות תרשיחא -תזמורת תרשיחא</t>
  </si>
  <si>
    <t xml:space="preserve">עמותת סלמה להקה לריקוד </t>
  </si>
  <si>
    <t>המכון היהודי ערבי שליד ההסתדרות בבית ברל - תחרות השיר הערבי</t>
  </si>
  <si>
    <t>משגב הגליל - בי"ס למוסיקה</t>
  </si>
  <si>
    <t>משגב הגליל - בי"ס לאמנויות במגזר הבדואי</t>
  </si>
  <si>
    <t>בית הגפן- המרכז הערבי יהודי לתרבות חברה נוער וספורט (ספרית קלור)</t>
  </si>
  <si>
    <t>מועצת העדה האורטודוקסית נצרת - גלריה לאמנות פלסטית</t>
  </si>
  <si>
    <t>מועצת העדה האורטודוקסית נצרת - "בית העוד" בי"ס למוסיקה</t>
  </si>
  <si>
    <t>מתנ"ס תמרה ע"ש שיך זכי דיאב - פסטיבל כשרונות צעירים</t>
  </si>
  <si>
    <t>מתנ"ס תמרה ע"ש שיך זכי דיאב - להקת שירה אנדלוסית 'רבאב'</t>
  </si>
  <si>
    <t>מתנ"ס תמרה ע"ש שיך זכי דיאב - להקת דבקה ומחול</t>
  </si>
  <si>
    <t>מתנ"ס תמרה ע"ש שיך זכי דיאב - כתיבה יצירתית</t>
  </si>
  <si>
    <t>מתנ"ס תמרה ע"ש שיך זכי דיאב - בית ספר למוסיקה</t>
  </si>
  <si>
    <t>מתנ"ס נצרת עילית - קבוצת בלט</t>
  </si>
  <si>
    <t>מתנ"ס נצרת עילית -הרכב אוניסון כנרים</t>
  </si>
  <si>
    <t>עירית טמרה - פסטיבל קולנוע ארצי</t>
  </si>
  <si>
    <t>עירית טמרה - פסטיבל מספרי סיפורים</t>
  </si>
  <si>
    <t>עירית סחנין - בי"ס למוסיקה</t>
  </si>
  <si>
    <t>עירית סחנין - להקת מחול ודבקה</t>
  </si>
  <si>
    <t>עירית נצרת - פסטיבל הבינ"ל לתיאטרון ילדים</t>
  </si>
  <si>
    <t>עירית נצרת - תיאטרון קהילתי לנוער</t>
  </si>
  <si>
    <t>עירית נצרת - להקת אלמג'ד לרקוד עממי</t>
  </si>
  <si>
    <t>עירית נצרת - גלריה עירונית לאמנות פלסטית</t>
  </si>
  <si>
    <t>עירית נצרת - תזמורת ע"ש מישיל דרמלקיין</t>
  </si>
  <si>
    <t>מ.א. אל בטוף - להקת דבקה</t>
  </si>
  <si>
    <t>עירית מעלות תרשיחא - אירועי החגים</t>
  </si>
  <si>
    <t>עירית מעלות תרשיחא - כנס "מנגנים שלום"</t>
  </si>
  <si>
    <t>מ.מ. שבלי -אום אלג'נם - פעולות מוסיקה</t>
  </si>
  <si>
    <t>מ.מ. עילבון - להקת דבקה</t>
  </si>
  <si>
    <t>מ.מ. כאוכב אבו אלהיג'א - תזמורת ומקהלה</t>
  </si>
  <si>
    <t>מ.מ. כאבול - להקת דבקה 'אלנור'</t>
  </si>
  <si>
    <t>מ.מ. טורעאן - בתערוכות ציור בית ספר למוסיקה</t>
  </si>
  <si>
    <t>מ.מ. טורעאן - בתערוכות ציור ואומנות</t>
  </si>
  <si>
    <t>מ.מ. טורעאן - להקת הדבקה</t>
  </si>
  <si>
    <t>יתרה לתשלום</t>
  </si>
  <si>
    <t>סכום ששולם</t>
  </si>
  <si>
    <t>סכום תמיכת 2014</t>
  </si>
  <si>
    <t>מס' מוטב</t>
  </si>
  <si>
    <t>מס' בקשה 2014</t>
  </si>
  <si>
    <t>מס' עמותה</t>
  </si>
  <si>
    <t>המוסד</t>
  </si>
  <si>
    <t>קאן יא מא קאן</t>
  </si>
  <si>
    <t>מוקפא  סכום של 28,155 ₪</t>
  </si>
  <si>
    <t xml:space="preserve">מוקפא סכום של 20,000 ש"ח בגין קיזוז.                </t>
  </si>
  <si>
    <t xml:space="preserve">מוקפא סכום של 51,540 ₪  </t>
  </si>
  <si>
    <t xml:space="preserve">תמיכה מוקפאת עד לאישור ועדת חריגים        </t>
  </si>
  <si>
    <t>סך 187,800 ₪ יוקפא עד לקבלת החלטה סופית בעניין החשש להעברות כספים אסורה.</t>
  </si>
  <si>
    <t>ת"א</t>
  </si>
  <si>
    <t>זמרשת - חברה לתועלת הציבור - ארכיון הזמר האינטרנטי</t>
  </si>
  <si>
    <t>יוש</t>
  </si>
  <si>
    <t>בית אל</t>
  </si>
  <si>
    <t>מקיצי נרדמים-ההדרה כתבי יד</t>
  </si>
  <si>
    <t>מכון שלום הרטמן</t>
  </si>
  <si>
    <t>בת"י-אגוד במאי התיאטרון בישראל</t>
  </si>
  <si>
    <t>א.ל.ע.ד.-אל עיר דוד</t>
  </si>
  <si>
    <t>האיגוד המקצועי של האמנים הפלסטיים ב</t>
  </si>
  <si>
    <t>כפר בלום</t>
  </si>
  <si>
    <t>פרס התיאטרון הישראלי - פעילות פורום מוסדות התרבות</t>
  </si>
  <si>
    <t>תיאטרון אורנה פורת לילדים ונוער - ארכיון מחזות לילדים</t>
  </si>
  <si>
    <t>ראשל"צ</t>
  </si>
  <si>
    <t>קדומים</t>
  </si>
  <si>
    <t>צפת</t>
  </si>
  <si>
    <t>בית המאירי מוזיאון מכון עמותה לחקר תולדות הישוב היהודי בצפת - ארכיון</t>
  </si>
  <si>
    <t>שח"ם - איגוד שחקני המסך</t>
  </si>
  <si>
    <t>קרית אונו</t>
  </si>
  <si>
    <t>מכון מש"ה לחקר משנת הרמב"ם</t>
  </si>
  <si>
    <t>580096865</t>
  </si>
  <si>
    <t>אלון שבות</t>
  </si>
  <si>
    <t>צומת- צוותי מדע ותורה</t>
  </si>
  <si>
    <t>580035236</t>
  </si>
  <si>
    <t>כפר הרואה</t>
  </si>
  <si>
    <t>מכון שואה ואמונה</t>
  </si>
  <si>
    <t>580331833</t>
  </si>
  <si>
    <t>זכרון יעקב</t>
  </si>
  <si>
    <t>איגוד מנהלי מחלקות תרבות ברשויות המקומיות</t>
  </si>
  <si>
    <t>580346898</t>
  </si>
  <si>
    <t>גבעת חיים איחוד</t>
  </si>
  <si>
    <t>קרן להנצחת זכר חללי גטו טרזין</t>
  </si>
  <si>
    <t>קיבוץ לוחמי הגיטאות</t>
  </si>
  <si>
    <t>א.מ.י.- אגודת אמני ישראל</t>
  </si>
  <si>
    <t>580118420</t>
  </si>
  <si>
    <t>איגוד הארכיונאים בישראל</t>
  </si>
  <si>
    <t>ברית נאמני תורה ועבודה בישראל</t>
  </si>
  <si>
    <t>מרכז יעקב הרצוג ללימודי יהדות</t>
  </si>
  <si>
    <t>הארכיון והמוזיאון לתיאטרון ע"ש ישראל גור</t>
  </si>
  <si>
    <t>החברה ההיסטורית הישראלית</t>
  </si>
  <si>
    <t>הספרייה ע"ש הלל בן חיים</t>
  </si>
  <si>
    <t>האיגוד העולמי למדעי היהדות</t>
  </si>
  <si>
    <t>רמת אפעל</t>
  </si>
  <si>
    <t>יד טבנקין</t>
  </si>
  <si>
    <t>בית מורשת אורי צבי גרינברג</t>
  </si>
  <si>
    <t>תאטרון תנועה "תמונע"</t>
  </si>
  <si>
    <t>גבעת חביבה</t>
  </si>
  <si>
    <t>חבצלת מוסדות תרבות וחנוך של השומר הצעיר -ארכיון יד יערי- גבעת חביבה</t>
  </si>
  <si>
    <t>רחובות</t>
  </si>
  <si>
    <t>יד חיים ויצמן</t>
  </si>
  <si>
    <t>בני ברק</t>
  </si>
  <si>
    <t>גנזך קידוש השם מכון לתיעוד,מחקר והנצחה</t>
  </si>
  <si>
    <t>מכון ז'בוטינסקי בישראל</t>
  </si>
  <si>
    <t>קיבוץ תל-יצחק (נתניה)</t>
  </si>
  <si>
    <t>משואה-יד לחברי תנועות נוער ציוניות בשואה ובמרי</t>
  </si>
  <si>
    <t>מוסד ביאליק מיסודה של ההסתדרות הציונית העולמית</t>
  </si>
  <si>
    <t>511034688</t>
  </si>
  <si>
    <t xml:space="preserve">בשל תמיכה ביתר שולם בפועל סך של  413,750 ש"ח.                                 </t>
  </si>
  <si>
    <t>אגודת הסופרים העבריים במדינת ישראל</t>
  </si>
  <si>
    <t>580013860</t>
  </si>
  <si>
    <t>הארכיון המרכזי לתולדות העם היהודי</t>
  </si>
  <si>
    <t>עיר הבית</t>
  </si>
  <si>
    <t xml:space="preserve">סה"כ תמיכות המשרד </t>
  </si>
  <si>
    <t>תוספת עבור שיפוצים</t>
  </si>
  <si>
    <t>ידידי יוסף ורבקה באו - ת"א - פעילות בבית יוסף באו</t>
  </si>
  <si>
    <t>בני גוש עציון - ארכיון לתולדות גוש עציון</t>
  </si>
  <si>
    <t>עמותת לעילא (לעולם ילמד אדם) - בתי מדרש וארועי חג</t>
  </si>
  <si>
    <t>מכון שואה ואמונה - שם עולם - ארכיון ומחקר</t>
  </si>
  <si>
    <t>האיגוד העולמי למדעי היהדות - הוצ"ל של כתבי הגות</t>
  </si>
  <si>
    <t>משכנות שאננים בירושלים בע"מ - סדנאות כתיבה</t>
  </si>
  <si>
    <t>משכנות שאננים בירושלים בע"מ - שיח מוסיקלי</t>
  </si>
  <si>
    <t>בית לוחמי הגיטאות ע"ש יצחק כצנלסון למורשת השואה והמרד  - מחשוב הארכיון</t>
  </si>
  <si>
    <t>קרן להנצחת חללי גיטו טרזין - רסטורציה ושימור בארכיון</t>
  </si>
  <si>
    <t xml:space="preserve">א.מ.י.-אגודת אמני ישראל </t>
  </si>
  <si>
    <t xml:space="preserve">משואה - יד לחברי תנועות הנוער הציוניות בשואה ובמרי </t>
  </si>
  <si>
    <t>האיגוד המקצועי של האמנים הפלסטיים - קידום אמנים פלסטיים</t>
  </si>
  <si>
    <t xml:space="preserve">משכנות שאננים בירושלים בע"מ - תרבויות הים התיכון </t>
  </si>
  <si>
    <t>מרכז יעקב הרצוג ללמודי יהדות - ארועים תרבותיים</t>
  </si>
  <si>
    <t>בת"י-איגוד במאי התיאטרון -שוטף</t>
  </si>
  <si>
    <t xml:space="preserve">איגוד מנהלי מחלקות תרבות ברשויות המקומיות </t>
  </si>
  <si>
    <t>חבצלת מוסדות תרבות וחינוך - ארכיוני השומר הצעיר</t>
  </si>
  <si>
    <t>א.ל.ע.ד. אל עיר דוד - כנס ארכיאולוגי והוצאת 2 כותרים</t>
  </si>
  <si>
    <t>הספרייה ע"ש הלל בן חיים - קרן הלל</t>
  </si>
  <si>
    <t>האיגוד העולמי למדעי היהדות - תמיכה שוטפת</t>
  </si>
  <si>
    <t>שח"ם - איגוד שחקני מסך - אמנות ותרבות בפריפריה</t>
  </si>
  <si>
    <t>עמותת תואר - מורשת השואה</t>
  </si>
  <si>
    <t>צומת - צוותי מדע ותורה - 'תחומין' מחקר והוצ"ל</t>
  </si>
  <si>
    <t>יד לעד בית העדות למורשת הציונות הדתית והשואה - מסע משואה לתקומה</t>
  </si>
  <si>
    <t xml:space="preserve">יד טבנקין </t>
  </si>
  <si>
    <t>הארכיון והמוזיאון לתיאטרון ע"ש ישראל גור - שוטף</t>
  </si>
  <si>
    <t>החברה ההסטורית הישראלית</t>
  </si>
  <si>
    <t>מכון מש"ה לחקר משנת הרמב"ם - הוצאת מחקרים</t>
  </si>
  <si>
    <t>גנזך קידוש השם - מכון לתיעוד מחקר והנצחה מיסודו של משה פראגר</t>
  </si>
  <si>
    <r>
      <rPr>
        <b/>
        <sz val="10"/>
        <rFont val="Arial"/>
        <family val="2"/>
      </rPr>
      <t xml:space="preserve">לפי הדוחות הסופיים שהועברו ניתן להעביר תשלום עד לסכום של 413,750 ש"ח. בגלל תמיכה ביתר שנוצרת מעבר לסכום זה.                                     </t>
    </r>
    <r>
      <rPr>
        <sz val="10"/>
        <rFont val="Arial"/>
        <family val="2"/>
        <charset val="177"/>
      </rPr>
      <t xml:space="preserve">
</t>
    </r>
    <r>
      <rPr>
        <b/>
        <sz val="10"/>
        <color indexed="10"/>
        <rFont val="Arial"/>
        <family val="2"/>
      </rPr>
      <t/>
    </r>
  </si>
  <si>
    <t>אגודת הסופרים העיבריים במדינת ישראל - תפעול גנזים</t>
  </si>
  <si>
    <r>
      <t xml:space="preserve">ב-14: תמיכה מוקפאת עד לאישור ועדת חריגים     </t>
    </r>
    <r>
      <rPr>
        <b/>
        <sz val="10"/>
        <color rgb="FFFF0000"/>
        <rFont val="Arial"/>
        <family val="2"/>
      </rPr>
      <t xml:space="preserve">  </t>
    </r>
    <r>
      <rPr>
        <b/>
        <sz val="10"/>
        <rFont val="Arial"/>
        <family val="2"/>
      </rPr>
      <t xml:space="preserve">                                              </t>
    </r>
  </si>
  <si>
    <t>יד למורשת חיים הזז - תמיכה שוטפת</t>
  </si>
  <si>
    <t>תקנת מחקר 42-02-14</t>
  </si>
  <si>
    <t>תמיכת 2013</t>
  </si>
  <si>
    <t>תמיכת 2012</t>
  </si>
  <si>
    <t>תמיכת 2011</t>
  </si>
  <si>
    <t>תמיכת 2010</t>
  </si>
  <si>
    <t>תמיכת 2009</t>
  </si>
  <si>
    <t xml:space="preserve">מועדון בית ליסין </t>
  </si>
  <si>
    <t>מס' סידורי</t>
  </si>
  <si>
    <t>על"ה-עמותה לקדום סטודנטים עוורים ודיסלקטים בישראל (ב- 2007-2009 שולם מתקנת ספרות)</t>
  </si>
  <si>
    <t xml:space="preserve">מסיל"ה-מכון ספרי יהדות לאדם המוגבל  </t>
  </si>
  <si>
    <t>ארצי</t>
  </si>
  <si>
    <t>תקנת ספריות 42-02-23</t>
  </si>
  <si>
    <t>אלמנארה-ספריית אלמנארה הערבית</t>
  </si>
  <si>
    <t>על"ה-עמותה לקדום סטודנטים עוורים ודיסלקטים בישראל</t>
  </si>
  <si>
    <t xml:space="preserve">מסיל"ה-מכון ספרי יהדות לאדם המוגבל </t>
  </si>
  <si>
    <t>הספרייה המרכזית לעוורים</t>
  </si>
  <si>
    <t>תקנת ירושלים</t>
  </si>
  <si>
    <t>מוסדות בפריפריה</t>
  </si>
  <si>
    <t>שימור רצף פעילות</t>
  </si>
  <si>
    <t>התיאטרון הלאומי הבימה בע"מ(חל"צ)</t>
  </si>
  <si>
    <t>נאמנות התאטרון הקאמרי של ת"א</t>
  </si>
  <si>
    <t>תיאטרון בית ליסין</t>
  </si>
  <si>
    <t>עבור שימור רצף פעילות בפועל שולם 1,088 אש"ח</t>
  </si>
  <si>
    <t>התיאטרון העירוני באר-שבע</t>
  </si>
  <si>
    <t>באר שבע</t>
  </si>
  <si>
    <t>תיאטרון עירוני חיפה בע"מ</t>
  </si>
  <si>
    <t>עמותת תיאטרון גשר</t>
  </si>
  <si>
    <t>מרכז החאן</t>
  </si>
  <si>
    <t>יידישפיל-תיאטרון היידיש בישראל</t>
  </si>
  <si>
    <t>הזירה הבין-תחומית</t>
  </si>
  <si>
    <t>המרכז לתיאטרון של עכו - ע"ר</t>
  </si>
  <si>
    <t>תיאטרון הספרייה מיסודו של בית צבי</t>
  </si>
  <si>
    <t>רמת גן</t>
  </si>
  <si>
    <t>תאטרון אורנה פורת לילדים ולנוער</t>
  </si>
  <si>
    <t>תיאטרון הקיבוץ</t>
  </si>
  <si>
    <t>העמותה לקידום תיאטרון בין-תחומי בירושלים- הקרון</t>
  </si>
  <si>
    <t>בית הגפן המרכז הערבי יהודי לתרבות,חברה,נוער וספורט</t>
  </si>
  <si>
    <t>תאטרון הנפש</t>
  </si>
  <si>
    <t>תיאטרון מקומי</t>
  </si>
  <si>
    <t>העמותה לקידום תיאטרון השעה הישראלי לילדים ולנוער</t>
  </si>
  <si>
    <t>הרצליה</t>
  </si>
  <si>
    <t xml:space="preserve">חני- העמותה לקידום תיאטרון מובחר </t>
  </si>
  <si>
    <t>בפועל שולם 253 אש"ח. היתרה מוקפאת</t>
  </si>
  <si>
    <t>רמת השרון</t>
  </si>
  <si>
    <t>תיאטרון ארצי לנוער</t>
  </si>
  <si>
    <t>580423168</t>
  </si>
  <si>
    <t>תיאטרון אספקלריא</t>
  </si>
  <si>
    <t>שיא - עמותה לפיתוח התרבות והאומנות</t>
  </si>
  <si>
    <t xml:space="preserve">תיאטרון האינקובטור </t>
  </si>
  <si>
    <t>החברה לפיתוח תיאטרון מוסיקה ומחול חולון בע"מ- מדיטק</t>
  </si>
  <si>
    <t>חולון</t>
  </si>
  <si>
    <t>עמותות</t>
  </si>
  <si>
    <t>קבוצת התאטרון הירושלמי ע"ש בצלאל</t>
  </si>
  <si>
    <t>תיאטרון מחול קליפה</t>
  </si>
  <si>
    <t>אנסמבל עיתים</t>
  </si>
  <si>
    <t>עמותת תיאטרון נוצר</t>
  </si>
  <si>
    <t>כפר אז"ר</t>
  </si>
  <si>
    <t>יתרת- יצירה תיאטרונית רב תחומית- מרכז שלומי לתיאטרון אלטרנטיבי</t>
  </si>
  <si>
    <t>שלומי</t>
  </si>
  <si>
    <t>מקלט 209 ע"ש דן זקהיים</t>
  </si>
  <si>
    <t>מ.ר.א.ה - מרכז אמנויות הבמה- יוזמה להפעלת תיאטרון בפריפריה</t>
  </si>
  <si>
    <t>קרית שמונה</t>
  </si>
  <si>
    <t>צוותא לתרבות מתקדמת בע"מ</t>
  </si>
  <si>
    <t>תיאטרון פסיק - ירושלים</t>
  </si>
  <si>
    <t>תיאטרון קרוב מיסודו של ניקו ניתאי</t>
  </si>
  <si>
    <t>דרום ת"א</t>
  </si>
  <si>
    <t>עמותה "תיאטרון מלנקי"</t>
  </si>
  <si>
    <t>יפו</t>
  </si>
  <si>
    <t>פרס התיאטרון הישראלי</t>
  </si>
  <si>
    <t>הק"ם- מיסודה של הקונפדרציה העולמית של הציונות המאוחדת- קב' התיאטרון האתיופי</t>
  </si>
  <si>
    <t xml:space="preserve">תיאטרון מיקרו </t>
  </si>
  <si>
    <t>אדם נוף-בית בגליל - הפקת "חפצים"</t>
  </si>
  <si>
    <t>תפן</t>
  </si>
  <si>
    <t>תיאטרון אורתו-דה</t>
  </si>
  <si>
    <t>אסיטג'- המרכז הישראלי לתיאט' ילדים ונוער</t>
  </si>
  <si>
    <t>המכון למחזאות ישראלית ע"ש חנוך לוין</t>
  </si>
  <si>
    <t>אמני הפרפורמנס- פרויקט הפקתי</t>
  </si>
  <si>
    <t>עמותה לקידום ופיתוח תיאטרון בובות</t>
  </si>
  <si>
    <t>עמותת הלא"ה- סדנאות לאמני הבמה</t>
  </si>
  <si>
    <t>טרנטס</t>
  </si>
  <si>
    <t>דימונה</t>
  </si>
  <si>
    <t>מעבדת תרבות בדימונה - יוזמת לחממת תיאטרון בדימונה</t>
  </si>
  <si>
    <t>פורום הורים עולים, ידידות ועבודה</t>
  </si>
  <si>
    <t>תיאטרון נא לגעת - יוזמה בתיאטרון לצעירים מוגבלים</t>
  </si>
  <si>
    <t>באופן תרבותי</t>
  </si>
  <si>
    <t>אשדוד</t>
  </si>
  <si>
    <t>התיאטרון הפתוח מרכז ופעילות פרינג' 2012</t>
  </si>
  <si>
    <t>קיפוד הזהב - פרס תיאטרון הפריינג (ע</t>
  </si>
  <si>
    <t>אנסמבל אספמיה (ע"ר)</t>
  </si>
  <si>
    <t>המרכז הרב תרבותי למחקר והפקות באומנ</t>
  </si>
  <si>
    <t>הידית - מרכז ליצירה תיאטרונית אלטרנ</t>
  </si>
  <si>
    <t>פרדס חנה</t>
  </si>
  <si>
    <t>עמותת ורטיגו למחול - ירושלים (ע"ר)</t>
  </si>
  <si>
    <t>580346161</t>
  </si>
  <si>
    <t>"קבוצת עבודה" - עמותה ליצירה וקידום</t>
  </si>
  <si>
    <t>צופית</t>
  </si>
  <si>
    <t>בית 9 - בית ספר ובית יוצר לתיאטרון</t>
  </si>
  <si>
    <t>אנסמבל כאן בע"מ (חל"צ)</t>
  </si>
  <si>
    <t>תיאטרון הנגב (ע"ר)</t>
  </si>
  <si>
    <t>רשויות:</t>
  </si>
  <si>
    <t>עיריית תל-אביב יפו- תאטרון הסמטה</t>
  </si>
  <si>
    <t>טבריה</t>
  </si>
  <si>
    <t xml:space="preserve">תקנת קבוצות תיאטרון 42-02-07 </t>
  </si>
  <si>
    <t>אסיטג' - המרכז הישראלי לתיאט' ילדים ונוער -קידום פעילות ותוכנית</t>
  </si>
  <si>
    <t>3 בקשות</t>
  </si>
  <si>
    <t>ב-14:   סך של 6,875 ש"ח לא מועבר בשל חשש לעודף תמיכה.             אושר ע"י החשכ"ל המשך פעילות בשנת 2015 בעיקבות מצבע צוק איתן לאחר השלמת הפעילות תועבר יתרת התמיכת 2014.</t>
  </si>
  <si>
    <t>אנסמבל עיתים - הפקת 'איב' יוזמה אמב"י (איגוד המעצבים)</t>
  </si>
  <si>
    <t xml:space="preserve">ב-14: דוח הביצוע אינו איפשר העברת כספיים </t>
  </si>
  <si>
    <t xml:space="preserve">מנוע חיפוש - פרויקט הפקתי </t>
  </si>
  <si>
    <t>לא הוגשו דוחות ביצוע לשנת 2014</t>
  </si>
  <si>
    <t>הק"ם - מיסודה של הקונפדרציה העולמית של הציונות המאוחדת  - קב' התיאטרון האתיופי</t>
  </si>
  <si>
    <t>תיאטרון הנגב</t>
  </si>
  <si>
    <t>אנסמבל אספמיה - פרויקט הפקתי</t>
  </si>
  <si>
    <t>עמותת "תיאטרון מלנקי" - בצוע הפקות</t>
  </si>
  <si>
    <t>אדם נוף-בית בגליל - קבוצת תיאטרון</t>
  </si>
  <si>
    <t>תיאטרון תנועה "תמו-נע" - אנסמבל תמונע</t>
  </si>
  <si>
    <t xml:space="preserve">מקלט 209 </t>
  </si>
  <si>
    <t>אמני הפרפורמנס -the end</t>
  </si>
  <si>
    <t>תיאטרון מחול קליפה - תמיכה שוטפת בתיאט'</t>
  </si>
  <si>
    <t>פורום הורים עולים, ידידות ועבודה - תיאטרון עכשווי, פרוייקט הפקתי</t>
  </si>
  <si>
    <t>העמותה לקידום התיאטרון ביפו - תיאטרון נוצר</t>
  </si>
  <si>
    <t>קבוצת התיאטרון הירושלמי ע"ש בצלאל</t>
  </si>
  <si>
    <t>תיאטרון "פסיק" - קבוצת תיאטרון</t>
  </si>
  <si>
    <t>להקת מחול בת שבע - בית אמנותי לרות קנר</t>
  </si>
  <si>
    <t>תיאטרון אורתו-דה - פעילות שוטפת</t>
  </si>
  <si>
    <t>עירית ת"א - תיאטרון הסימטה פרינג'</t>
  </si>
  <si>
    <t>תיאטרון מיקרו - תמיכה שוטפת</t>
  </si>
  <si>
    <t>יתרת - יצירה תיאטרונית רב תחומית - מרכז שלומי לתיאטרון אלטרנטיבי</t>
  </si>
  <si>
    <t>תיאטרון  קרוב מיסודו של ניקו ניתאי -תמיכה שוטפת</t>
  </si>
  <si>
    <t>תיאטרון תנועה "תמו-נע" - תיאטרון הפרינג'</t>
  </si>
  <si>
    <t>תאטרון כאן</t>
  </si>
  <si>
    <t>מ.ר.א.ה - מרכז אמנויות הבמה - תיאטרון</t>
  </si>
  <si>
    <t>צוותא - תיאטרון פרינג' בצוותא</t>
  </si>
  <si>
    <t>המכון למחזאות ישראלית ע"ש חנוך לוין - שוטף</t>
  </si>
  <si>
    <t xml:space="preserve">אנסמבל עיתים </t>
  </si>
  <si>
    <t>תיאטרון תנועה "תמו-נע" -השחף- הפקה פרינג' מיוחדת</t>
  </si>
  <si>
    <t>עמותת ורטיגו למחול - מעבדות תרבות ורטיגו בכפר</t>
  </si>
  <si>
    <t>"קבוצת עבודה"-עמותה ליצירה</t>
  </si>
  <si>
    <t>אנסמבל עיתים - פרוייקט הפקתי  ירדן בר כוכבא ודידי שחר</t>
  </si>
  <si>
    <t>בית 9- שוטף</t>
  </si>
  <si>
    <t>בית 9- פרוייקט הפקתי אנשים קטנים</t>
  </si>
  <si>
    <t>טרנטס - פרויקטי הפקתי</t>
  </si>
  <si>
    <t>באופן תרבותי - פרויקט הפקתי</t>
  </si>
  <si>
    <t>עמותה לקידום ופיתוח תיאטרון בובות - תיאטרון בובות</t>
  </si>
  <si>
    <t>אמנות המשחק לתיאטרון וקולנוע</t>
  </si>
  <si>
    <t>קיפוד הזהב - פרס הפרינג' קיפוד הזהב</t>
  </si>
  <si>
    <t>קיפוד הזהב - לילה פרינג'</t>
  </si>
  <si>
    <t>הידית, מרכז ליצירה תיאטרונית - יוזמה</t>
  </si>
  <si>
    <t>קבוצת התיאטרון הירושלמי ע"ש בצלאל - פרוייקט הפקתי</t>
  </si>
  <si>
    <t>גלרית תיאטרון החנות-יוזמה תאטרונית</t>
  </si>
  <si>
    <t>עירית ת"א - תיאטרון הסימטה - צאק ובאק</t>
  </si>
  <si>
    <t>בת"י-איגוד במאי התיאטרון -כנס הבימוי הבינ"ל</t>
  </si>
  <si>
    <t>פרס התיאטרון הישראלי - טקס חלוקת פרסי התיאטרון</t>
  </si>
  <si>
    <t>פרס התיאטרון הישראלי - חג התיאטרון</t>
  </si>
  <si>
    <t>אנסמבל עיתים - פרוייקט הפקתי  נורמן עיסא</t>
  </si>
  <si>
    <t>עמותת הלא"ה - סדנאות לאמני הבמה</t>
  </si>
  <si>
    <t>צוותא - הפקת תיאטרון חדשה</t>
  </si>
  <si>
    <t>התיאטרון הפתוח-במה ראשונה ליוצרים</t>
  </si>
  <si>
    <t>אנסמבל עיתים - הפקת 'איב' אנדרי אורבך</t>
  </si>
  <si>
    <t>אנסמבל עיתים -יוזמה לארוח יוצרים עצמיים</t>
  </si>
  <si>
    <t>אנסמבל עיתים - הפקת 'איב' יוזמה (פעילות שוטפת)</t>
  </si>
  <si>
    <t>אנסמבל עיתים - הפקת 'איב' חללים ליוצרים</t>
  </si>
  <si>
    <t>אנסמבל עיתים - פרוייקט הפקתי אריאל ברונז ומרינה בלטוב</t>
  </si>
  <si>
    <t>אנסמבל עיתים - הפקת 'איב' 'אדיפלית' - ג'ייסון דנינו הולט</t>
  </si>
  <si>
    <t>אנסמבל עיתים - פרוייקט הפקתי אלינור אגם</t>
  </si>
  <si>
    <t>אנסמבל עיתים - פרוייקט הפקתי דורון תבורי</t>
  </si>
  <si>
    <t>אנסמבל עיתים - פרוייקט הפקתי  מלכה מרין</t>
  </si>
  <si>
    <t>אנסמבל עיתים - פרוייקט הפקתי  יואב ברתל</t>
  </si>
  <si>
    <t>אנסמבל עיתים - פרוייקט הפקתי בלהה אשרוב</t>
  </si>
  <si>
    <t>אנסמבל עיתים - הפקת 'איב'   נדב פרישמן</t>
  </si>
  <si>
    <t>אנסמבל עיתים - הפקת 'איב' אפרת שטינלוף</t>
  </si>
  <si>
    <t>אנסמבל עיתים - פרוייקט הפקתי  דורי אנגל</t>
  </si>
  <si>
    <t>אנסמבל עיתים - פרוייקט הפקתי  "פלאשבק" להקת סקפינו</t>
  </si>
  <si>
    <t>אנסמבל עיתים - פרוייקט הפקתי  נועם רובינשטיין</t>
  </si>
  <si>
    <t>יידישפיל תאטרון היידיש בישראל</t>
  </si>
  <si>
    <t>תיאטרון באר-שבע</t>
  </si>
  <si>
    <t xml:space="preserve">נאמנות התיאטרון הקאמרי של תל אביב </t>
  </si>
  <si>
    <t>התיאטרון העירוני חיפה בע"מ</t>
  </si>
  <si>
    <t>חני - העמותה לקידום תיאטרון מובחר - תיאטרון ילדים</t>
  </si>
  <si>
    <t>תיאטרון גשר</t>
  </si>
  <si>
    <t xml:space="preserve"> התיאטרון הלאומי הבימה (חל"צ)</t>
  </si>
  <si>
    <t xml:space="preserve">בית הגפן-המרכז ערבי יהודי לתרבות חברה נוער וספורט </t>
  </si>
  <si>
    <t>החברה לפיתוח תיאטרון מוסיקה ומחול חולון בע"מ - מדיטק</t>
  </si>
  <si>
    <t>העמותה לקידום תיאטרון בין תחומי ירושלים - תיאטרון הקרון</t>
  </si>
  <si>
    <t>העמותה לקדום תיאטרון השעה הישראלי לילדים ונוער</t>
  </si>
  <si>
    <t xml:space="preserve">הזירה הבין תחומית </t>
  </si>
  <si>
    <t>המרכז לתיאטרון  של עכו</t>
  </si>
  <si>
    <t>תיאטרון הנפש  - הפקת הצגות ושוטף</t>
  </si>
  <si>
    <t xml:space="preserve">עדי - עמותה לתיאטרון ילדים ונוער </t>
  </si>
  <si>
    <t>תיאטרון  אלמידאן - התיאטרון הערבי בישראל</t>
  </si>
  <si>
    <t>תיאטרון האינקובטור - יוזמה לקדום תיאטרון</t>
  </si>
  <si>
    <t xml:space="preserve">תיאטרון אספקלריא - </t>
  </si>
  <si>
    <t>תיאטרון אורנה פורת לילדים ונוער</t>
  </si>
  <si>
    <t>תיאטרון שיא - תיאטרון לגיל הרך</t>
  </si>
  <si>
    <r>
      <t xml:space="preserve">תקנת פסטיבלים 42-02-26 </t>
    </r>
    <r>
      <rPr>
        <b/>
        <sz val="10"/>
        <rFont val="Guttman Yad-Brush"/>
        <charset val="177"/>
      </rPr>
      <t xml:space="preserve"> </t>
    </r>
  </si>
  <si>
    <t>עמותת פסטיבל מחולות כרמיאל - פסטיבל כרמיאל</t>
  </si>
  <si>
    <t xml:space="preserve">ב-14: מוקפא סכום של 200,000 ₪ עד להחלטת ביקורת עומק.                      </t>
  </si>
  <si>
    <t>פסטיבל ישראל ירושלים - פסטיבל שוטף</t>
  </si>
  <si>
    <t>התיאטרון העירוני חיפה  בע"מ - פסטיבל הצגות ילדים</t>
  </si>
  <si>
    <t xml:space="preserve">מ.א. עמק הירדן - פסטיבל עין גב </t>
  </si>
  <si>
    <t>העמותה שליד  בית הספר  ללימודי צילום, מוסררה - פסטיבל מוסררה מיקס</t>
  </si>
  <si>
    <t>תיאטרון מקומי - פסטיבל תיאטרונטו</t>
  </si>
  <si>
    <t>העמותה ע"ש עדי אגמון לקידום מחול ותרבות ספרד בישראל - פסטיבל הפלמנקו</t>
  </si>
  <si>
    <t>מרכז סוזן דלל למחול ולתיאטרון - פסטיבל תל אביב דאנס</t>
  </si>
  <si>
    <t>עירית מעלות תרשיחא - פסטיבל 'אבן בגליל'</t>
  </si>
  <si>
    <t xml:space="preserve">מ.א. הגליל העליון - פסטיבל קול המוסיקה בגליל העליון </t>
  </si>
  <si>
    <t>תיאטרון קרוב מיסודו של ניקו ניתאי - פסטיבל תיאטרון מקורי</t>
  </si>
  <si>
    <t>הק"ם - מיסודה של הקונפדרציה העולמית של הציונות המאוחדת - פסטיבל שירה במטולה</t>
  </si>
  <si>
    <t>עירית ראשון לציון - פסטיבל האביב הבינ"ל</t>
  </si>
  <si>
    <t>מ.א. מגידו - פסטיבל יערות מנשה</t>
  </si>
  <si>
    <t>מ.א. עמק יזרעאל - פסטיבל "ימי חלב ודבש" בשבועות</t>
  </si>
  <si>
    <t xml:space="preserve">המרכז לתיאטרון  של עכו - פסטיבל 'מסרחיד' </t>
  </si>
  <si>
    <t>צוותא - פסטיבל תיאטרון קריאה</t>
  </si>
  <si>
    <t>תיאטרון מחול קליפה - פסטיבל קליפה אדומה</t>
  </si>
  <si>
    <t>תיאטרון תנועה "תמו-נע" - פסטיבל תמונע</t>
  </si>
  <si>
    <t>עירית כפר סבא - פסטיבל נושפים</t>
  </si>
  <si>
    <t>מקום לשירה-פסטיבל מטר על מטר</t>
  </si>
  <si>
    <r>
      <t xml:space="preserve">הק"ם - מיסודה של הקונפדרציה העולמית של הציונות המאוחדת - </t>
    </r>
    <r>
      <rPr>
        <b/>
        <sz val="10"/>
        <rFont val="Arial"/>
        <family val="2"/>
      </rPr>
      <t>פסטיבל העוד הבינ"ל בירושלים</t>
    </r>
  </si>
  <si>
    <r>
      <t xml:space="preserve">תיאטרון מקומי - </t>
    </r>
    <r>
      <rPr>
        <b/>
        <sz val="10"/>
        <rFont val="Arial"/>
        <family val="2"/>
      </rPr>
      <t>פסטיבל יפו הבינ"ל לילדים</t>
    </r>
  </si>
  <si>
    <t>אחותי - למען נשים בישראל - פסטיבל 'ליבי במזרח'</t>
  </si>
  <si>
    <t>עירית עכו - פסטיבל עכו לתיאטרון ישראלי אחר</t>
  </si>
  <si>
    <t>משיב הרוח  - פסטיבל ימי אהבה לשירה</t>
  </si>
  <si>
    <t>עמותת "מקשב" - פסטיבל מרתון בתיבה</t>
  </si>
  <si>
    <t>עמותת הידידים לקידום תרבות מוסיקה ותיירות באבו-גוש  - פסטיבל אבו-גוש</t>
  </si>
  <si>
    <t>משכנות שאננים בירושלים - פסטיבל הסופרים הבינ"ל</t>
  </si>
  <si>
    <t>עירית מודיעין מכבים רעות - פסטיבל הקרקס</t>
  </si>
  <si>
    <t>מ.א. מטה אשר - פסטיבל רנסאנס</t>
  </si>
  <si>
    <t>המרכז למוסיקה ע"ש פליציה בלומנטל - שבוע הגיטרה</t>
  </si>
  <si>
    <t>עמותת פסטיבל בשקל - פסטיבל בשקל</t>
  </si>
  <si>
    <r>
      <t xml:space="preserve">עירית אילת - </t>
    </r>
    <r>
      <rPr>
        <b/>
        <sz val="10"/>
        <rFont val="Arial"/>
        <family val="2"/>
      </rPr>
      <t>פסטיבל קלאסי בים האדום</t>
    </r>
  </si>
  <si>
    <t>עירית אילת - פסטיבל חורף קאמרי</t>
  </si>
  <si>
    <t>מרכז תרבות נוער וספורט רמת נגב - ימי שירה במדבר</t>
  </si>
  <si>
    <t>תיאטרון תנועה "תמו-נע" - פסטיבל אינטימדנס</t>
  </si>
  <si>
    <t>מ.ע.ט.ף - המרכז הישראלי לחילופי תרבות עממית ופולקלור-  פסטיבל בינ"ל לפולקלור</t>
  </si>
  <si>
    <t xml:space="preserve">ליאת וניר בן גל-פסטיבל מחול באדמה </t>
  </si>
  <si>
    <t>המרכז למוסיקה ע"ש פליציה בלומנטל - פסטיבל 'צליל מעודכן' (מרתון התיבה)</t>
  </si>
  <si>
    <t>צוותא - פסטיבל העוד</t>
  </si>
  <si>
    <t>מ.א. הגליל העליון - פסטיבל יהדות "לא בשמים"</t>
  </si>
  <si>
    <t>עירית ערד - פסטיבל ערד</t>
  </si>
  <si>
    <t>עירית צפת - פסטיבל כליזמרים</t>
  </si>
  <si>
    <t>עירית רחובות - פסטיבל פסלים חיים</t>
  </si>
  <si>
    <t>צוותא - תיאטרון קצר</t>
  </si>
  <si>
    <t>עמותת אלזיתון - פסטיבל 'מאוסם אל חסאד אל פנני'</t>
  </si>
  <si>
    <t>עמותת היכל התרבות נתניה - פסטיבל פניני גינטרה</t>
  </si>
  <si>
    <t>עירית ראש העין - פסטיבל תימנה</t>
  </si>
  <si>
    <t>תיאטרון ירושלים - פסטיבל קיץ</t>
  </si>
  <si>
    <t>עירית חולון - פסטיבל בינ"ל לתיאטרון בובות וסרטים</t>
  </si>
  <si>
    <t>נאמנות התיאטרון הקאמרי של תל אביב - הפסטיבל הבינ"ל</t>
  </si>
  <si>
    <r>
      <t xml:space="preserve">הק"ם - מיסודה של הקונפדרציה העולמית של הציונות המאוחדת - </t>
    </r>
    <r>
      <rPr>
        <b/>
        <sz val="10"/>
        <rFont val="Arial"/>
        <family val="2"/>
      </rPr>
      <t>פסטיבל הולאגב ליצירה אתיופית</t>
    </r>
  </si>
  <si>
    <t>עירית קרית ביאליק - פסטיבל ביאליק</t>
  </si>
  <si>
    <t xml:space="preserve">עמותת הכוריאוגרפים - פסטיבל צוללן </t>
  </si>
  <si>
    <t>עמותת הכוריאוגרפים - פסטיבל בין שמים וארץ</t>
  </si>
  <si>
    <t>עמותת הכוריאוגרפים - פסטיבל רקודי חדר - עמוס חץ</t>
  </si>
  <si>
    <t xml:space="preserve">עמותת הכוריאוגרפים - רובי אדלמן ועפרה אידל (פסטיבל מחול שלם) </t>
  </si>
  <si>
    <t>הזירה הבין תחומית - פסטיבל 'קולה של מילה'</t>
  </si>
  <si>
    <t>בית הגפן - פסטיבל "חודש התרבות הערבית"</t>
  </si>
  <si>
    <r>
      <t xml:space="preserve">בית הגפן - </t>
    </r>
    <r>
      <rPr>
        <b/>
        <sz val="10"/>
        <rFont val="Arial"/>
        <family val="2"/>
      </rPr>
      <t>פסטיבל  'חג החגים'</t>
    </r>
  </si>
  <si>
    <t>הפסטיבל הבינ"ל למוסיקה קאמרית בירושלים - פסטיבל מוסיקה קאמרית</t>
  </si>
  <si>
    <t>טרנטס-פסטיבל תיאטרון בינ"ל "ורטיקל"</t>
  </si>
  <si>
    <t>מקלט 209 - פסטיבל זז</t>
  </si>
  <si>
    <t>סדנאות האמנים בירושלים  - פסטיבל מנופים</t>
  </si>
  <si>
    <t>מתנ"ס ירוחם ע"ש סמואל -פעמי במדבר</t>
  </si>
  <si>
    <r>
      <t xml:space="preserve">החברה לפיתוח תיאטרון אמנות מוסיקה ומחול חולון בע"מ - </t>
    </r>
    <r>
      <rPr>
        <b/>
        <sz val="10"/>
        <rFont val="Arial"/>
        <family val="2"/>
      </rPr>
      <t xml:space="preserve">פסטיבל האשה </t>
    </r>
  </si>
  <si>
    <r>
      <t xml:space="preserve">החברה לפיתוח תיאטרון אמנות מוסיקה ומחול חולון בע"מ - </t>
    </r>
    <r>
      <rPr>
        <b/>
        <sz val="10"/>
        <rFont val="Arial"/>
        <family val="2"/>
      </rPr>
      <t>פסטיבל "צלילי ילדות"</t>
    </r>
  </si>
  <si>
    <r>
      <t xml:space="preserve">החברה לפיתוח תיאטרון אמנות מוסיקה ומחול חולון בע"מ - </t>
    </r>
    <r>
      <rPr>
        <b/>
        <sz val="10"/>
        <rFont val="Arial"/>
        <family val="2"/>
      </rPr>
      <t>פסטיבל ימי זמר יהודי</t>
    </r>
  </si>
  <si>
    <t>העמותה לקידום תיאטרון בין תחומי ירושלים - תיאט' הקרון - פסטיבל בינ"ל לתיאטרוני בובות</t>
  </si>
  <si>
    <r>
      <t xml:space="preserve">עירית אילת - </t>
    </r>
    <r>
      <rPr>
        <b/>
        <sz val="10"/>
        <color theme="1"/>
        <rFont val="Arial"/>
        <family val="2"/>
      </rPr>
      <t>פסטיבל הג'אז בים האדום</t>
    </r>
  </si>
  <si>
    <t>עירית יבנה - פסטיבל יבנה בציר חדש</t>
  </si>
  <si>
    <t>מרכז תרבות נוער וספורט רמת נגב - פסטיבל צלילים במדבר</t>
  </si>
  <si>
    <t>תיאטרון הפרינג' בב"ש-תמיכה בפסטיבל</t>
  </si>
  <si>
    <t>עמותת אלג'ואל אלבלדי - פסטיבל הצגות ילדים</t>
  </si>
  <si>
    <t>עירית ת"א יפו - סמטה-אביב ישראלי</t>
  </si>
  <si>
    <t xml:space="preserve">בית אבי חי - פסטיבל הפיוט </t>
  </si>
  <si>
    <t>עמותות / חברות</t>
  </si>
  <si>
    <t xml:space="preserve"> פסטיבל ישראל</t>
  </si>
  <si>
    <t>עמותת פסטיבל מחולות כרמיאל (ע"ר)</t>
  </si>
  <si>
    <t>כרמיאל</t>
  </si>
  <si>
    <t xml:space="preserve">הקם-מיסודה של הקונפדרציה העולמית של הציונות המאוחדת.- פסטיבל "שירה "מטולה </t>
  </si>
  <si>
    <t>מטולה</t>
  </si>
  <si>
    <t>תל-אביב</t>
  </si>
  <si>
    <t>עמותת הידידים לקידום תרבות מוסיקה ותיירות באבו-גוש ומטה יהודה</t>
  </si>
  <si>
    <t>אבו גוש</t>
  </si>
  <si>
    <t>בית שאן</t>
  </si>
  <si>
    <t>משיב הרוח- פסטיבל שירה "ימי אהבה לשירה"</t>
  </si>
  <si>
    <t>משכנות שאננים בירושלים בע"מ- פסטיבל המשוררים</t>
  </si>
  <si>
    <t xml:space="preserve">ירושלים </t>
  </si>
  <si>
    <t>הליקון - העמותה לקידום השירה בישראל- פסטיבל בינ"ל לשירה</t>
  </si>
  <si>
    <t>תיאטרון הקרון ע"ש מריו קוטליאר- פסטיבל לתיאטרון בובות</t>
  </si>
  <si>
    <t xml:space="preserve">ירושלים
</t>
  </si>
  <si>
    <t>העמותה שליד בית הספר ללימודי צילום מוסררה- פסטיבל צילום ואמנות בינ"ל מוסררה מיקס</t>
  </si>
  <si>
    <t>מקום לשירה (ע"ר)- פסטיבל שירה מטר על מטר</t>
  </si>
  <si>
    <t>העמותה ע"ש עדי אגמון לקידום מחול ותרבות ספרד בישראל- פסטיבל ימי הפלמנקו</t>
  </si>
  <si>
    <t>התיאטרון העירוני חיפה - פסטיבל הצגות ילדים</t>
  </si>
  <si>
    <t>הפסטיבל הבינ"ל למוסיקה קאמרית בירושלים</t>
  </si>
  <si>
    <t>נתניה</t>
  </si>
  <si>
    <t>המרכז למוסיקה ע"ש פליציה בלומנטל - שוברטיאדה</t>
  </si>
  <si>
    <t>אילת</t>
  </si>
  <si>
    <t>עין הוד</t>
  </si>
  <si>
    <t>בית אבי חי- פסטיבל הפיוט</t>
  </si>
  <si>
    <t>המרכז לתיאטרון של עכו- פסטיבל מסרחיד</t>
  </si>
  <si>
    <t xml:space="preserve">אלג'ואל אלבלדי - פסטיבל הצגות ילדים </t>
  </si>
  <si>
    <t>סדנאות האמנים- פסטיבל מנופים</t>
  </si>
  <si>
    <t>אחותי-למען נשים בישראל- פסטיבל ליבי במזרח</t>
  </si>
  <si>
    <t>מצפה רמון</t>
  </si>
  <si>
    <t>שער הנגב</t>
  </si>
  <si>
    <t>תיאטרון קרוב מיסודו של ניקו ניתאי- פסטיבל תיאטרון מקורי</t>
  </si>
  <si>
    <t>עיריית עכו- פסטיבל עכו</t>
  </si>
  <si>
    <t>עיריית צפת- פסטיבל כלייזמרים</t>
  </si>
  <si>
    <t>עיריית ערד  - פסטיבל ערד</t>
  </si>
  <si>
    <t>ערד</t>
  </si>
  <si>
    <t>עירית אילת - פסטיבל הג'אז בים האדום</t>
  </si>
  <si>
    <t>עירית אילת - פסטיבל קאמרי בינ"ל באילת</t>
  </si>
  <si>
    <t>מ.א. הגליל העליון- פסטיבל קול המוסיקה בגליל</t>
  </si>
  <si>
    <t xml:space="preserve">מ.א. גליל עליון- פסטיבל יהדות  "לא בשמיים" </t>
  </si>
  <si>
    <t xml:space="preserve">עיריית בת ים- פסטיבל תיאטרון רחוב הבינ"ל </t>
  </si>
  <si>
    <t>בת-ים</t>
  </si>
  <si>
    <t>עיריית חולון- פסטיבל בינ"ל לאמנות תיאטרון הבובות</t>
  </si>
  <si>
    <t>מ.א. עמק הירדן- מפגש חבורות זמר- פסטיבל עין גב</t>
  </si>
  <si>
    <t>קיבוץ עין גב</t>
  </si>
  <si>
    <t>מ.א. עמק יזרעאל- פסטיבל ימי חלב ודבש</t>
  </si>
  <si>
    <t>עמק יזרעאל</t>
  </si>
  <si>
    <t xml:space="preserve">מ.מ. שהם - פסטיבל "מוזות בסוכות" </t>
  </si>
  <si>
    <t>שהם</t>
  </si>
  <si>
    <t>באר-שבע</t>
  </si>
  <si>
    <t xml:space="preserve"> מודיעין-מכבים -רעות</t>
  </si>
  <si>
    <t>ירוחם</t>
  </si>
  <si>
    <t>מ.א. מגידו- פסטיבל יערות מנשה</t>
  </si>
  <si>
    <t>מגידו</t>
  </si>
  <si>
    <t>יבנה</t>
  </si>
  <si>
    <t>קרית ביאליק</t>
  </si>
  <si>
    <t>כפר סבא</t>
  </si>
  <si>
    <t>עיריית מעלות תרשיחא- פסטיבל 'אבן בגליל'</t>
  </si>
  <si>
    <t>מעלות תרחישא</t>
  </si>
  <si>
    <t>האופרה הישראלית החדשה-תל-אביב</t>
  </si>
  <si>
    <t xml:space="preserve">תקנת אופרה 42-02-21 </t>
  </si>
  <si>
    <t>האופרה הישראלית ת"א</t>
  </si>
  <si>
    <t>חברת התזמורת הפילהרמונית הישראלית</t>
  </si>
  <si>
    <t>עמותת הסינפוניטה הישראלית באר-שבע</t>
  </si>
  <si>
    <t>התזמורת הקאמרית הישראלית</t>
  </si>
  <si>
    <t>תל אביב - יפו</t>
  </si>
  <si>
    <t>כל הארץ</t>
  </si>
  <si>
    <t>מוסדות ארציים</t>
  </si>
  <si>
    <t>התזמורת הסימפונית ירושלים רשות השידור</t>
  </si>
  <si>
    <t>עמותת התזמורת הסימפונית ראשל"צ</t>
  </si>
  <si>
    <t xml:space="preserve">ראשון לציון </t>
  </si>
  <si>
    <t>הקאמרטה הישראלית - ירושלים</t>
  </si>
  <si>
    <t>עמותת תזמורת סימפונט רעננה</t>
  </si>
  <si>
    <t>רעננה</t>
  </si>
  <si>
    <t>עמותת תזמורת יד חריף</t>
  </si>
  <si>
    <t>מודיעין</t>
  </si>
  <si>
    <t>מרכז המוסיקה הקלאסית באשדוד (התזמורת הקאמרית אשדוד)</t>
  </si>
  <si>
    <t>עמותה לקידום וטיפוח המוסיקה הערבית בארץ</t>
  </si>
  <si>
    <t xml:space="preserve">נצרת  </t>
  </si>
  <si>
    <t>תזמורת הבארוק ירושלים</t>
  </si>
  <si>
    <t>מקשב</t>
  </si>
  <si>
    <t xml:space="preserve">קרן אהבת קדומים, גבעת אולגה </t>
  </si>
  <si>
    <t>אשקלון</t>
  </si>
  <si>
    <t>החברה העירונית לתרבות, ספורט ומרכזי- אשדוד (התזמורת האנדלוסית הישראלית)</t>
  </si>
  <si>
    <t>בארוקדה- קולקטיב הבארוק הישראלי</t>
  </si>
  <si>
    <t>עירית מעלות תרשיחא (תזמורת אנדלוסית)</t>
  </si>
  <si>
    <t>מעלות תרשיחא</t>
  </si>
  <si>
    <t xml:space="preserve">צפון </t>
  </si>
  <si>
    <t>אנסמבל סולני ת"א</t>
  </si>
  <si>
    <t>מקהלות, ארגונים, תחרויות, כתות אמן ופרוייקטים</t>
  </si>
  <si>
    <t>מקהלות, ארגונים, תחרויות, כתות אמן ופרוייקטים- עמותות</t>
  </si>
  <si>
    <t>קבוצת מוסיקה נובה</t>
  </si>
  <si>
    <t>המכון למוסיקה ישראלית</t>
  </si>
  <si>
    <t>נוער מוסיקלי בישראל</t>
  </si>
  <si>
    <t>עמותת אגודת ארתור רובינשטיין הבינלאומית למוסיקה מיסודו של יעקב(יאשה)ביסטריצקי</t>
  </si>
  <si>
    <t>עמותת איגוד הקומפוזיטורים בישראל</t>
  </si>
  <si>
    <t>האקדמיה למוסיקה ולמחול בירושלים ע"ש רובין- מקהלת אנקור</t>
  </si>
  <si>
    <t>האקדמיה למוסיקה ולמחול בירושלים ע"ש רובין- מקהלה קאמרית</t>
  </si>
  <si>
    <t>האקדמיה למוסיקה ולמחול בירושלים ע"ש רובין- קורס קיץ למוסיקה</t>
  </si>
  <si>
    <t>ירשלים</t>
  </si>
  <si>
    <t>כיתות אמן קשת אילון</t>
  </si>
  <si>
    <t xml:space="preserve">קיבוץ אילון </t>
  </si>
  <si>
    <t>המקהלה הפילהרמונית תל-אביב</t>
  </si>
  <si>
    <t>תאטרון תנועה "תמונע"- עבור פרוייקט מוסיקה אקוסטית+ פר' ג'אז</t>
  </si>
  <si>
    <t>בית יצחק, עמק חפר</t>
  </si>
  <si>
    <t>האנסמבל הקולי החדש</t>
  </si>
  <si>
    <t>ידידי מקהלת העפרוני</t>
  </si>
  <si>
    <t>עמק חפר</t>
  </si>
  <si>
    <t>הקונסרבטוריון הישראלי למוסיקה תל-אביב- כתות אמן+ פרוייקטים</t>
  </si>
  <si>
    <t>הקונסרבטוריון הישראלי למוסיקה ת"א- מקהלה "בת קול"</t>
  </si>
  <si>
    <t>מרכז למוסיקה וספרות ע"ש בלומנטל</t>
  </si>
  <si>
    <t>המקהלה הקאמרית ת"א</t>
  </si>
  <si>
    <t>מקשב-  פרויקט</t>
  </si>
  <si>
    <t>מקהלת לי-רון</t>
  </si>
  <si>
    <t>קשת אמנויות</t>
  </si>
  <si>
    <t>מרכז עדן תמיר למוסיקה, עין כרם (המרכז למוסיקה ע"ש פאני ומקס טארג)</t>
  </si>
  <si>
    <t xml:space="preserve"> הצוללת הצהובה</t>
  </si>
  <si>
    <t>גבעת חיים, עמק חפר</t>
  </si>
  <si>
    <t>מקהלת אורטוריו ירושלים</t>
  </si>
  <si>
    <t>תל חי- כיתת אמן לפסנתר</t>
  </si>
  <si>
    <t>שדה בוקר</t>
  </si>
  <si>
    <t>הק"ם - מיסודה של הקונפדרציה העולמית של הציונות המאוחדת</t>
  </si>
  <si>
    <t>אגודת הנבל והזמיר</t>
  </si>
  <si>
    <t>תמוז 98- תזמורת מזרחית ישראלית</t>
  </si>
  <si>
    <t>פתח תקוה</t>
  </si>
  <si>
    <t>מיל"ה- מרכז ישראלי למקהלות וחבורות זמר - תחרות בינ"ל למקהלות בראשל"צ</t>
  </si>
  <si>
    <t>עמותה ישראלית לאמנויות האופרה - סדנת האופרה הבינ"ל</t>
  </si>
  <si>
    <t xml:space="preserve">ת"א וגוש דן </t>
  </si>
  <si>
    <t>תזמורת המהפכה (ע"ר)</t>
  </si>
  <si>
    <t>זמרי קולגיום (ע"ר)</t>
  </si>
  <si>
    <t>המקהלה הישראלית ע"ש גארי ברתיני (ע"</t>
  </si>
  <si>
    <t>החברה לאמנות תרבות וספורט חיפה (עבור תזמורת חיפה)- אתו"ס- פרויקט</t>
  </si>
  <si>
    <t>ארגון המקהלות בישראל</t>
  </si>
  <si>
    <t>פרוייקטים- רשויות:</t>
  </si>
  <si>
    <t>עיריית כפר-סבא- עבור מקהלה קאמרית+ תחרות ופרס ע"ש זלצמן</t>
  </si>
  <si>
    <t>עיריית ת"א יפו- מקהלת מעיין</t>
  </si>
  <si>
    <t>עירית ת"א יפו - מרכז מנדל - אופרות פרינג'</t>
  </si>
  <si>
    <t>עירית ת"א יפו - תיאטרון הסמטה- מוסיקת ג'אז</t>
  </si>
  <si>
    <t>עיריית צפת- כתות אמן לקלרינט</t>
  </si>
  <si>
    <t>עיריית רחובות - מקהלת שחר רחובות</t>
  </si>
  <si>
    <r>
      <t>מוסיקה 42-02-16</t>
    </r>
    <r>
      <rPr>
        <sz val="11"/>
        <rFont val="Guttman Yad-Brush"/>
        <charset val="177"/>
      </rPr>
      <t xml:space="preserve"> </t>
    </r>
  </si>
  <si>
    <t>המרכז למוסיקה חיפה - תחרות החליל הבינ"ל</t>
  </si>
  <si>
    <t xml:space="preserve">בשלב זה הסכום משוריין בלבד, עד לחתימת מבחן התמיכה בתחריות.         </t>
  </si>
  <si>
    <t>הקאמרטה הישראלית ירושלים</t>
  </si>
  <si>
    <t xml:space="preserve">תזמורת יד חריף </t>
  </si>
  <si>
    <t xml:space="preserve">עמותה לקידום וטיפוח המוסיקה הערבית בארץ </t>
  </si>
  <si>
    <t xml:space="preserve">עמותת תזמורת סימפונט רעננה </t>
  </si>
  <si>
    <t xml:space="preserve">עמותת "מקשב" </t>
  </si>
  <si>
    <t xml:space="preserve">תזמורת סימפונית ירושלים רשות השידור </t>
  </si>
  <si>
    <t>תזמורת קאמרית ישראלית</t>
  </si>
  <si>
    <t>החברה לאמנות תרבות וספורט חיפה (אתו"ס) - הפעלת תזמורת סימפונית חיפה</t>
  </si>
  <si>
    <t xml:space="preserve"> תזמורת נתניה הקאמרית הקיבוצית </t>
  </si>
  <si>
    <t xml:space="preserve">עמותת  הסינפונייטה הישראלית באר-שבע </t>
  </si>
  <si>
    <t>עירית מעלות תרשיחא - תזמורת אנדלוסית מעלות</t>
  </si>
  <si>
    <t xml:space="preserve">עמותת התזמורת הסימפונית ראשל"צ </t>
  </si>
  <si>
    <t>החב' העירונית לתרבות, ספורט ומרכזים קהילתיים  באשדוד בע"מ  -  תזמורת אנדלוסית</t>
  </si>
  <si>
    <t>המרכז למוסיקה קלאסית באשדוד</t>
  </si>
  <si>
    <t>בארוקדה - קולקטיב הבארוק הישראלי</t>
  </si>
  <si>
    <t>אנסמבל סולני ת"א - שוטף</t>
  </si>
  <si>
    <t xml:space="preserve">המקהלה הקאמרית תל-אביב - שוטף </t>
  </si>
  <si>
    <t>עירית ת"א יפו - מקהלת מעיין</t>
  </si>
  <si>
    <t>המקהלה הפילהרמונית ת"א</t>
  </si>
  <si>
    <t xml:space="preserve"> קבוצת מוסיקה נובה</t>
  </si>
  <si>
    <t>החברה לאמנות תרבות וספורט חיפה (אתו"ס) - תזמורת הביג-בנד</t>
  </si>
  <si>
    <t>אגודת ארתור רובינשטיין הבי"ל למוסיקה (תחרות רובינשטיין)</t>
  </si>
  <si>
    <t xml:space="preserve">איגוד הקומפוזיטורים בישראל </t>
  </si>
  <si>
    <t>עמותת מקהלות מורן והבית לשירה - העשרה מוסיקלית</t>
  </si>
  <si>
    <t>הצוללת הצהובה</t>
  </si>
  <si>
    <t>עמותת הנבל והזמיר - שוטף</t>
  </si>
  <si>
    <t>עמותת ידידי מקהלת העפרוני</t>
  </si>
  <si>
    <t>עירית כפר סבא - מקהלה קאמרית</t>
  </si>
  <si>
    <t>מקהלת לי-רון הרצליה</t>
  </si>
  <si>
    <t>עמותת "מקשב"  - אולפן אלקטרוני</t>
  </si>
  <si>
    <t>המקהלה הישראלית ע"ש גארי ברתיני - מקהלת ברתיני</t>
  </si>
  <si>
    <t>נוער מוסיקלי בישראל - תז' נוער יהודי-ערבי</t>
  </si>
  <si>
    <t>הקונסרבטוריון הישראלי למוסיקה תל-אביב - מקהלת "בת קול"</t>
  </si>
  <si>
    <t xml:space="preserve">קשת אמנויות - מקהלת מוסיקה אטרנה </t>
  </si>
  <si>
    <t xml:space="preserve">ארגון המקהלות בישראל </t>
  </si>
  <si>
    <t>מרכז עדן תמיר למוסיקה, עין כרם (טארג) - פעולות מוסיקליות</t>
  </si>
  <si>
    <t>האקדמיה למוסיקה ולמחול ע"ש רובין -מקהלת אנקור</t>
  </si>
  <si>
    <t>האקדמיה למוסיקה ולמחול ע"ש רובין -מקהלה קאמרית</t>
  </si>
  <si>
    <t>עירית ת"א יפו-תאטרון הסמטה - מוסיקת ג'אז</t>
  </si>
  <si>
    <t>עמותת מקהלות מורן והבית לשירה - אנסמבל זמרי מורן</t>
  </si>
  <si>
    <t xml:space="preserve">תזמורת המהפכה </t>
  </si>
  <si>
    <t>החברה לאמנות תרבות וספורט חיפה (אתו"ס) -  מקהלת "בת שיר"</t>
  </si>
  <si>
    <t>זמרי קולגיום</t>
  </si>
  <si>
    <t>האנסמבל הקולי החדש - מקהלת עדי</t>
  </si>
  <si>
    <t xml:space="preserve">המרכז למוסיקה ע"ש פליציה בלומנטל - האורקסטרה - אבי ליבוביץ </t>
  </si>
  <si>
    <t>איגוד הקומפוזיטורים בישראל  - אנסמבל מיתר</t>
  </si>
  <si>
    <t>עירית רחובות - מקהלת שחר</t>
  </si>
  <si>
    <t>הק"ם - מיסודה של הקונפדרציה העולמית של הציונות המאוחדת  - אנסמבל בית שלישי</t>
  </si>
  <si>
    <t>הק"ם - מיסודה של הקונפדרציה העולמית של הציונות המאוחדת  - פרוייקט "שיר לשירה"</t>
  </si>
  <si>
    <t>תיאטרון תנועה "תמו-נע"  - פסטיבל אולטראסאונד</t>
  </si>
  <si>
    <t>תיאטרון תנועה "תמו-נע" - מוסיקת ג'אז</t>
  </si>
  <si>
    <t xml:space="preserve">נוער מוסיקלי בישראל - מחנות מוסיקה לנוער </t>
  </si>
  <si>
    <t>נוער מוסיקלי בישראל - תחרות ע"ש פאול בן חיים</t>
  </si>
  <si>
    <t>מוסיקה מזרח-מערב - אנסמבל מזרח מערב</t>
  </si>
  <si>
    <t>המרכז למוסיקה ע"ש פליציה בלומנטל - צלילים ומילים</t>
  </si>
  <si>
    <t>המרכז למוסיקה ע"ש פליציה בלומנטל - דגה פדר</t>
  </si>
  <si>
    <t>המרכז למוסיקה ע"ש פליציה בלומנטל -עמית פרידמן</t>
  </si>
  <si>
    <t>המרכז למוסיקה ע"ש פליציה בלומנטל - חשיפה חופשית</t>
  </si>
  <si>
    <t>המרכז למוסיקה ע"ש פליציה בלומנטל - פרויקט קאמרי ישראלי</t>
  </si>
  <si>
    <t>המרכז למוסיקה ע"ש פליציה בלומנטל - אנסמבל ניקל</t>
  </si>
  <si>
    <t>המרכז למוסיקה ע"ש פליציה בלומנטל - יניב דאור / אסמבל ניה</t>
  </si>
  <si>
    <t>המרכז למוסיקה ע"ש פליציה בלומנטל - פורום המלחינות</t>
  </si>
  <si>
    <t>המרכז למוסיקה ע"ש פליציה בלומנטל -שורולה</t>
  </si>
  <si>
    <t>המרכז למוסיקה ע"ש פליציה בלומנטל - מורין נהדר</t>
  </si>
  <si>
    <t>המרכז למוסיקה ע"ש פליציה בלומנטל -יובל כהן - השביעייה</t>
  </si>
  <si>
    <t>המרכז למוסיקה ע"ש פליציה בלומנטל - אנסמבל גלוריאנה</t>
  </si>
  <si>
    <t>המרכז למוסיקה ע"ש פליציה בלומנטל -מארש דונדרומה</t>
  </si>
  <si>
    <t>המרכז למוסיקה ע"ש פליציה בלומנטל -אסף לוי גרופ</t>
  </si>
  <si>
    <t>המרכז למוסיקה ע"ש פליציה בלומנטל -מרינה טושיץ</t>
  </si>
  <si>
    <t>קרן להנצחת חללי גיטו טרזין - כיתות אמן בינ"ל ליצירות שהולחנו</t>
  </si>
  <si>
    <t>המקהלה הקאמרית של טבעון-שוטף</t>
  </si>
  <si>
    <t>הקונסרבטוריון הישראלי למוסיקה תל-אביב -סדנאות למוסיקה עתיקה</t>
  </si>
  <si>
    <t xml:space="preserve">תל חי - כיתות אמן בינ"ל לפסנתר </t>
  </si>
  <si>
    <t>תמוז 98 -  "אופרה זעירה"</t>
  </si>
  <si>
    <t xml:space="preserve">תמוז 98 - תזמורת מזרחית ישראלית </t>
  </si>
  <si>
    <t>קשת אילון - פעילות קורס קיץ וכיתות אמן בינ"ל</t>
  </si>
  <si>
    <t>הזירה הבין תחומית - פעילות שוטפת של מוסיקה</t>
  </si>
  <si>
    <t>המרכז למוסיקה ע"ש פליציה בלומנטל - קידום אמנים</t>
  </si>
  <si>
    <t>המרכז למוסיקה ע"ש פליציה בלומנטל - אנסמבל הפניקס</t>
  </si>
  <si>
    <t>המרכז למוסיקה ע"ש פליציה בלומנטל - אליהו פרץ</t>
  </si>
  <si>
    <t>המרכז למוסיקה ע"ש פליציה בלומנטל -אנסמבל הבארוק</t>
  </si>
  <si>
    <t>האקדמיה למוסיקה ולמחול ע"ש רובין - קורס קיץ  'צלילים בעמק'</t>
  </si>
  <si>
    <t>המרכז למוסיקה ע"ש פליציה בלומנטל - אופרה קאמרה</t>
  </si>
  <si>
    <t>המרכז למוסיקה ע"ש פליציה בלומנטל - אנסמבל סירנות</t>
  </si>
  <si>
    <t>המרכז למוסיקה ע"ש פליציה בלומנטל - אילנה אליה</t>
  </si>
  <si>
    <t>תמיד-תרבות מוסיקלית יהודית- מקהלת ילדים מלאכים</t>
  </si>
  <si>
    <t>עירית צפת - כתות אמן לקלרינט</t>
  </si>
  <si>
    <t>עמותת הנבל והזמיר -הזימריה הליטורגית</t>
  </si>
  <si>
    <t>עמותת הנבל והזמיר -פסטיבל ותחרות הנבל הישראלי</t>
  </si>
  <si>
    <t>עמותות:</t>
  </si>
  <si>
    <t>מוזיאון ישראל</t>
  </si>
  <si>
    <t>מוזיאון חיפה</t>
  </si>
  <si>
    <t>בית לוחמי הגיטאות למורשת השואה והמרד ע"ש יצחק כצנלסון</t>
  </si>
  <si>
    <t>מוזיאון תל-אביב לאמנות</t>
  </si>
  <si>
    <t>מוזיאון ארץ-ישראל,תל-אביב</t>
  </si>
  <si>
    <t>מוזאון ארצות המקרא ירושלים</t>
  </si>
  <si>
    <t>מגדל דוד מוזיאון לתולדות ירושלים</t>
  </si>
  <si>
    <t>משכן לאמנות ע"ש חיים אתר, עין חרוד</t>
  </si>
  <si>
    <t>קיבוץ עין חרוד</t>
  </si>
  <si>
    <t>מוזיאון ינקו-דאדא</t>
  </si>
  <si>
    <t>אגודת שוחרי מוזיאון האדם והחי</t>
  </si>
  <si>
    <t>חברת יהודי איטליה לפעולה רוחנית</t>
  </si>
  <si>
    <t>העמותה למען מוזיאון ה"חאן" - חדרה</t>
  </si>
  <si>
    <t>חדרה</t>
  </si>
  <si>
    <t>בית המאירי- מוזיאון למכון, עמותה לחקר תולדות היישוב היהודי בצפת</t>
  </si>
  <si>
    <t>וילפריד ישראל- חברה לאמנות וידיעת המזרח בע"מ - קיבוץ הזורע</t>
  </si>
  <si>
    <t>קיבוץ הזורע</t>
  </si>
  <si>
    <t>המוזיאון הארכיאולוגי בקיבוץ עין -דור (ע"ר)</t>
  </si>
  <si>
    <t>קיבוץ עין דור</t>
  </si>
  <si>
    <t>החברה להגנת הטבע- מוזיאון בית אוסישקין</t>
  </si>
  <si>
    <t>קיבוץ דן</t>
  </si>
  <si>
    <t>מוזאון חצר היישוב הישן ע"ש יצחק קפלן ז"ל</t>
  </si>
  <si>
    <t>בית אהרונסון זכרון יעקב</t>
  </si>
  <si>
    <t>קרן מוזיאון רובין</t>
  </si>
  <si>
    <t>מוזיאון יד מרדכי</t>
  </si>
  <si>
    <t>קיבוץ יד מרדכי</t>
  </si>
  <si>
    <t>מכון בר-דוד לאמנות יהודית</t>
  </si>
  <si>
    <t>קיבוץ ברעם</t>
  </si>
  <si>
    <t>בית יגאל אלון-מרכז הנצחה</t>
  </si>
  <si>
    <t>קיבוץ גינוסר</t>
  </si>
  <si>
    <t>מוזיאון - "המזגגה" נחשולים</t>
  </si>
  <si>
    <t>קיבוץ נחשולים</t>
  </si>
  <si>
    <t>קיבוץ יפעת</t>
  </si>
  <si>
    <t>חצר ראשונים עין שמר</t>
  </si>
  <si>
    <t>קיבוץ עין שמר</t>
  </si>
  <si>
    <t>יד ל.א. מאיר מוזיאון לאמנות האסלאם</t>
  </si>
  <si>
    <t>מרכז תרבות והנצחה-שער הגולן</t>
  </si>
  <si>
    <t>קיבוץ שער הגולן</t>
  </si>
  <si>
    <t>מדעטק-המוזאון הלאומי למדע תכנון וטכנולוגיה-מרכז דניאל ומטילדה רקאנטי</t>
  </si>
  <si>
    <t>אוניברסיטת חיפה- עבור מוזיאון הכט</t>
  </si>
  <si>
    <t>מוזיאון עתיקות הגולן</t>
  </si>
  <si>
    <t>קצרין</t>
  </si>
  <si>
    <t>מוזיאון בית מרים קיבוץ פלמחים</t>
  </si>
  <si>
    <t>קיבוץ פלמחים</t>
  </si>
  <si>
    <t>מוזיאון המדע ע"ש בלומפילד ירושלים</t>
  </si>
  <si>
    <t>עמותה ע"ש הצייר והסופר נחום גוטמן ז"ל</t>
  </si>
  <si>
    <t>מכון דוידסון לחינוך מדעי - גן המדע (מכון ויצמן)</t>
  </si>
  <si>
    <t>בית חיים שטורמן- מכון לידיעת האזור</t>
  </si>
  <si>
    <t>מרכז קהילתי בכפר-סבא ע"ש שושנה ופנחס ספיר</t>
  </si>
  <si>
    <t>היכל שלמה - מוזיאון וולפסון</t>
  </si>
  <si>
    <t>מוזיאון לאמנות ישראלית רמת גן</t>
  </si>
  <si>
    <t>החב' העירונית לתרבות ספורט ומרכזים קהילתיים באשדוד בע"מ- מוזיאון אשדוד ע"ש קורין ממן</t>
  </si>
  <si>
    <t>מוזיאון האדם הקדמון (ע"ר)</t>
  </si>
  <si>
    <t>מעיין ברוך</t>
  </si>
  <si>
    <t>קרן להנצחת זכר חללי גיטו טרזין (טרז</t>
  </si>
  <si>
    <t>קיבוץ להב</t>
  </si>
  <si>
    <t>מ.א. עמק המעיינות- מוזיאון ארכיולוגיה אזורית וים-תיכונית</t>
  </si>
  <si>
    <t>בקעת בית שאן</t>
  </si>
  <si>
    <t>מוזיאון המושבה ע"ש ערן שמיר,מ.מ. מזכרת-בתיה</t>
  </si>
  <si>
    <t>מזכרת בתיה</t>
  </si>
  <si>
    <t>עיריית פתח תקוה - מוזיאון האדם והסביבה</t>
  </si>
  <si>
    <t>פתח תקווה</t>
  </si>
  <si>
    <t>עיריית פתח תקוה - מוזיאון לאמנות</t>
  </si>
  <si>
    <t>יואב</t>
  </si>
  <si>
    <t>מ.א. גליל עליון- חצר תל-חי</t>
  </si>
  <si>
    <t>גליל עליון</t>
  </si>
  <si>
    <t>עיריית ראשון לציון- עבור מוזיאון</t>
  </si>
  <si>
    <t>ראשון לציון</t>
  </si>
  <si>
    <t>עירית באר שבע - מוזיאון הנגב</t>
  </si>
  <si>
    <r>
      <t>תקנת מוזיאונים 42-02-18</t>
    </r>
    <r>
      <rPr>
        <sz val="11"/>
        <rFont val="Guttman Yad-Brush"/>
        <charset val="177"/>
      </rPr>
      <t xml:space="preserve"> </t>
    </r>
  </si>
  <si>
    <t>קרן מוזיאון רובין - מוזיאון בית ראובן</t>
  </si>
  <si>
    <t>קרן מוזיאון רובין -  דיגיטציה</t>
  </si>
  <si>
    <t>החב' העירונית באשדוד -  מוזיאון אשדוד,-מחשוב</t>
  </si>
  <si>
    <t>ב-14:  אושר ע"י החשכ"ל המשך פעילות בשנת 2015 בעיקבות מצבע צוק איתן לאחל השלמת הפעילות תועבר יתרת התמיכת 2014.</t>
  </si>
  <si>
    <t>מוזיאון בית מרים - מחשוב</t>
  </si>
  <si>
    <t>קרן להנצחת חללי גיטו טרזין -מוזיאון שוטף</t>
  </si>
  <si>
    <t xml:space="preserve">מגדל דוד מוזיאון לתולדות ירושלים </t>
  </si>
  <si>
    <t>מ.א. גליל עליון -  חצר תל-חי - שוטף</t>
  </si>
  <si>
    <t>עירית הרצליה עבור מוזיאון הרצליה לאמנות</t>
  </si>
  <si>
    <t>עירית פ"ת - קרית המוזיאונים - מוזיאון פ"ת לאמנות</t>
  </si>
  <si>
    <t>עירית פ"ת - מוזיאון האדם והסביבה</t>
  </si>
  <si>
    <t>עירית ראשון לציון - מוזיאון ראשל"צ</t>
  </si>
  <si>
    <t xml:space="preserve">וילפריד ישראל-חברה לאמנות וידיעת המזרח </t>
  </si>
  <si>
    <t>משכן לאמנות עין חרוד, ע"ש חיים אתר</t>
  </si>
  <si>
    <t>מוזיאוני חיפה</t>
  </si>
  <si>
    <t>מוזיאון ת"א לאמנות</t>
  </si>
  <si>
    <t xml:space="preserve">בית יגאל אלון - אתר הנצחה - מוזיאון אדם בגליל </t>
  </si>
  <si>
    <t xml:space="preserve">חברת יהודי אטליה לפעולה רוחנית </t>
  </si>
  <si>
    <t>מוזיאון חצר הישוב הישן</t>
  </si>
  <si>
    <t>מוזיאון "החאן" חדרה</t>
  </si>
  <si>
    <t>קבוץ יד מרדכי - מוזיאון משואה לתקומה</t>
  </si>
  <si>
    <t xml:space="preserve">בית לוחמי הגיטאות ע"ש יצחק כצנלסון למורשת השואה והמרד </t>
  </si>
  <si>
    <t>חצר ראשונים - קבוץ עין-שמר</t>
  </si>
  <si>
    <t xml:space="preserve">מוזיאון ארצות המקרא </t>
  </si>
  <si>
    <t xml:space="preserve">מוזיאון המדע ע"ש בלומפילד </t>
  </si>
  <si>
    <t>יד ל.א. מאיר - מוזיאון לאמנות האסלאם</t>
  </si>
  <si>
    <t xml:space="preserve">המוזיאון הארכיאולוגי בקיבוץ עין דור </t>
  </si>
  <si>
    <t>העמותה למען המרכז לתולדות ההתיישבות בעמק  - קבוץ יפעת</t>
  </si>
  <si>
    <t>אוניברסיטת חיפה - עבור מוזיאון הכט</t>
  </si>
  <si>
    <t>החברה לפיתוח תיאטרון מוסיקה ומחול חולון בע"מ - מוזיאון הקריקטורה והקומיקס</t>
  </si>
  <si>
    <t>החברה לפיתוח תיאטרון מוסיקה ומחול חולון בע"מ - תמיכה שוטפת במוזיאון העיצוב</t>
  </si>
  <si>
    <t>מוזיאון ארץ ישראל ת"א</t>
  </si>
  <si>
    <t>מכון בר-דוד לאמנות יהודית - קבוץ ברעם -</t>
  </si>
  <si>
    <t>מדעטק - המוזיאון הלאומי למדע טכנולוגיה וחלל ע"ש רקאנטי - טכנודע חיפה</t>
  </si>
  <si>
    <t>החברה להגנת הטבע -  מוזיאון בית אוסישקין</t>
  </si>
  <si>
    <t>מרכז תרבות והנצחה-שער הגולן - מוזיאון לתרבות הירמוכית</t>
  </si>
  <si>
    <t>מוזיאון ינקו דאדא</t>
  </si>
  <si>
    <t>מוזיאון נחום גוטמן לאמנות</t>
  </si>
  <si>
    <t>מוזיאון לאמנות ישראלית רמת-גן</t>
  </si>
  <si>
    <t>"המזגגה" - מרכז לארכיאולוגיה ימית</t>
  </si>
  <si>
    <t>בית חיים שטורמן - מכון לידיעת האזור</t>
  </si>
  <si>
    <t xml:space="preserve">בית המאירי מוזיאון מכון עמותה לחקר תולדות הישוב היהודי בצפת </t>
  </si>
  <si>
    <t xml:space="preserve">מוזיאון האדם הקדמון </t>
  </si>
  <si>
    <t>מוזיאון בית מרים - הים ומלואו</t>
  </si>
  <si>
    <t xml:space="preserve">מ.א.עמק המעיינות - מוזיאון עקבות בעמק </t>
  </si>
  <si>
    <t>החב' העירונית לתרבות, ספורט ומרכזים קהילתיים  באשדוד בע"מ  -  מוזיאון אשדוד</t>
  </si>
  <si>
    <t xml:space="preserve">מ.מ. מזכרת בתיה - מוזיאון המושבה ע"ש ערן שמיר </t>
  </si>
  <si>
    <t>מתנ"ס כפר סבא  ע"ש ספיר - מוזיאון ארכיאולוגי לתולדות כ"ס</t>
  </si>
  <si>
    <t xml:space="preserve">מרכז לימודי אזורי ע"ש אל"מ (ג'ו אלון) </t>
  </si>
  <si>
    <t xml:space="preserve">מוזיאון ישראל </t>
  </si>
  <si>
    <t>מוזיאון "החאן" חדרה - שימור אוספים</t>
  </si>
  <si>
    <t>קרן להנצחת חללי גיטו טרזין-שימור</t>
  </si>
  <si>
    <t>"המזגגה" - מרכז לארכיאולוגיה ימית - שידרוג</t>
  </si>
  <si>
    <t>קרן להנצחת חללי גיטו טרזין - (מחשוב) סריקת ארכיון והנגשתו</t>
  </si>
  <si>
    <t xml:space="preserve">בית המאירי מוזיאון מכון עמותה לחקר תולדות הישוב היהודי בצפת-שימור אוספים </t>
  </si>
  <si>
    <t>מוזיאון ינקו דאדא - תשתית למחשוב האוסף</t>
  </si>
  <si>
    <t>היכל שלמה - מוזיאון וולפסון - שימור אוספים</t>
  </si>
  <si>
    <t>היכל שלמה - מוזיאון וולפסון - פרויקט מחשוב</t>
  </si>
  <si>
    <t>משכן לאמנות עין חרוד, ע"ש חיים אתר - מחשוב</t>
  </si>
  <si>
    <t>משכן לאמנות עין חרוד, ע"ש חיים אתר - שימור אוספים</t>
  </si>
  <si>
    <t>מוזיאון ישראל - מחשוב</t>
  </si>
  <si>
    <t xml:space="preserve">מכון דוידסון לחינוך מדעי - גן המדע (מכון ויצמן) - מחשוב </t>
  </si>
  <si>
    <t>מכון בר-דוד לאמנות יהודית - קבוץ ברעם - שימור</t>
  </si>
  <si>
    <t>מוזיאוני חיפה - שימור אוספים</t>
  </si>
  <si>
    <t>מוזיאוני חיפה - תשתיות מחשוב</t>
  </si>
  <si>
    <t>בית המאירי מוזיאון מכון עמותה לחקר תולדות הישוב היהודי בצפת - מחשוב</t>
  </si>
  <si>
    <t>המוזיאון הארכיאולוגי בקיבוץ עין דור -שדרוג</t>
  </si>
  <si>
    <t>המוזיאון הארכיאולוגי בקיבוץ עין דור - שימור</t>
  </si>
  <si>
    <t>המוזיאון הארכיאולוגי בקיבוץ עין דור - פרויקט מחשוב</t>
  </si>
  <si>
    <t>מכון בר-דוד לאמנות יהודית - קבוץ ברעם - פרויקט מחשוב</t>
  </si>
  <si>
    <t>"המזגגה" - מרכז לארכיאולוגיה ימית - מחשוב</t>
  </si>
  <si>
    <t>בית לוחמי הגיטאות - שימור אוספים</t>
  </si>
  <si>
    <t>בית לוחמי הגיטאות - פרויקט מחשוב</t>
  </si>
  <si>
    <t>משכן לאמנות עין חרוד, ע"ש חיים אתר - שדרוג תצוגה</t>
  </si>
  <si>
    <t>החברה לפיתוח תיאטרון מוסיקה ומחול חולון בע"מ - שימור אוספים מוזיאון הקריקטורה</t>
  </si>
  <si>
    <t>החברה לפיתוח תיאטרון מוסיקה ומחול חולון בע"מ - מחשוב ודיגיטציה מוזיאון הקריקטורה</t>
  </si>
  <si>
    <t>החברה לפיתוח תיאטרון מוסיקה ומחול חולון בע"מ - מחשוב ודיגיטציה מוזיאון העיצוב</t>
  </si>
  <si>
    <t>יד ל.א. מאיר - מוזיאון לאמנות האסלאם - רפאות (שימור)</t>
  </si>
  <si>
    <t>מוזיאון ארץ ישראל ת"א -תיעוד ושימור רצפות פסיפס</t>
  </si>
  <si>
    <t>מוזיאון ארץ ישראל ת"א - פרויקט מחשוב</t>
  </si>
  <si>
    <t>מ.א. גליל עליון -  חצר תל-חי - מחשוב</t>
  </si>
  <si>
    <t>מוזיאון המדע ע"ש בלומפילד - תשתיות מחשוב</t>
  </si>
  <si>
    <t>מגדל דוד מוזיאון לתולדות ירושלים - מחשוב</t>
  </si>
  <si>
    <t>עירית ראשון לציון - מוזיאון ראשל"צ - שימור אוספים</t>
  </si>
  <si>
    <t>עירית ראשון לציון - מוזיאון ראשל"צ - מחשוב</t>
  </si>
  <si>
    <t>מוזיאון חצר הישוב הישן - שימור אוספים</t>
  </si>
  <si>
    <t>מוזיאון חצר הישוב הישן - פרויקט מחשוב</t>
  </si>
  <si>
    <t>חברת יהודי אטליה לפעולה רוחנית - פרויקט מחשוב</t>
  </si>
  <si>
    <t xml:space="preserve">חברת יהודי אטליה לפעולה רוחנית - שימור </t>
  </si>
  <si>
    <t>עירית פ"ת - מוזיאון האדם והסביבה - מחשוב</t>
  </si>
  <si>
    <t>עירית פ"ת - קרית המוזיאונים - מוזיאון פ"ת לאמנות - שימור ורסטורציה לאוספים</t>
  </si>
  <si>
    <t>עירית הרצליה עבור מוזיאון הרצליה לאמנות - מחשוב</t>
  </si>
  <si>
    <t>מדעטק - המוזיאון הלאומי למדע טכנולוגיה וחלל ע"ש רקאנטי - תשתיות מחשוב</t>
  </si>
  <si>
    <t>מוזיאון עתיקות הגולן - שידרוג תצוגה</t>
  </si>
  <si>
    <t>מרכז תרבות והנצחה-שער הגולן - שימור</t>
  </si>
  <si>
    <t>מרכז תרבות והנצחה-שער הגולן - מחשוב</t>
  </si>
  <si>
    <t>בית חיים שטורמן - מכון לידיעת האזור - מחשוב</t>
  </si>
  <si>
    <t>יד ל.א. מאיר - מוזיאון לאמנות האסלאם - שדרוג</t>
  </si>
  <si>
    <t>מוזיאון "החאן" חדרה - מחשוב</t>
  </si>
  <si>
    <t>מוזיאון האדם הקדמון -פרוייקט הנפשה</t>
  </si>
  <si>
    <t>העמותה למען המרכז לתולדות ההתיישבות בעמק  - קבוץ יפעת - מחשוב האוסף</t>
  </si>
  <si>
    <t xml:space="preserve">מ.א. עמק המעיינות- מוזיאון עקבות בעמק - מחשוב </t>
  </si>
  <si>
    <t>החב' העירונית באשדוד -  מוזיאון אשדוד-שימור</t>
  </si>
  <si>
    <t>עירית באר שבע - מוזיאון הנגב - שימור</t>
  </si>
  <si>
    <t xml:space="preserve"> מרכז לימודי אזורי ע"ש אל"מ (ג'ו אלון) - שידרוג</t>
  </si>
  <si>
    <t xml:space="preserve"> מרכז לימודי אזורי ע"ש אל"מ (ג'ו אלון) - מחשוב</t>
  </si>
  <si>
    <t>געתון</t>
  </si>
  <si>
    <t>משגב</t>
  </si>
  <si>
    <t>החברה העירונית למרכזים קהילתיים אשדוד - " (בלט פאנוב)</t>
  </si>
  <si>
    <t>להקת המחול הקיבוצית</t>
  </si>
  <si>
    <t>להקת קולבן דאנס (קומבינע)</t>
  </si>
  <si>
    <t>אגודת ידידי הבלט הקלאסי בישראל</t>
  </si>
  <si>
    <t>בת-דור באר-שבע מרכז עירוני לאמנות המחול</t>
  </si>
  <si>
    <t>תיאטרון תנועה תמונע</t>
  </si>
  <si>
    <t>להקת המחול בת-שבע</t>
  </si>
  <si>
    <t>מרכז סוזן דלל למחול ולתאטרון,נווה צדק,תל-אביב - עידוד ופיתוח המחול בישראל+ פרוייקט</t>
  </si>
  <si>
    <t>פרוייקטים במחול שליד תאטרון מחול רנה שיינפלד</t>
  </si>
  <si>
    <t>עמותת הכוריאוגרפים</t>
  </si>
  <si>
    <t>העמותה ע"ש עדי אגמון לקידום מחול ותרבות ספרד בישראל</t>
  </si>
  <si>
    <t>עמותת ורטיגו למחול- ירושלים</t>
  </si>
  <si>
    <t>העמותה לקידום תרבות הפלמנקו- להקת קומפס</t>
  </si>
  <si>
    <t>המרכז לתיאטרון של עכו- חממת מחול</t>
  </si>
  <si>
    <t>עמותת הלא"ה - סדנאות הבמה לאמני מחול</t>
  </si>
  <si>
    <t>ראש פינה</t>
  </si>
  <si>
    <t>להקת הפלמנקו רמנגאר בע"מ חברה לתועל</t>
  </si>
  <si>
    <t>תאטרון "פסיק" ירושלים (ע"ר)</t>
  </si>
  <si>
    <r>
      <t>תקנת מחול 42-02-20</t>
    </r>
    <r>
      <rPr>
        <sz val="11"/>
        <rFont val="Guttman Yad-Brush"/>
        <charset val="177"/>
      </rPr>
      <t xml:space="preserve"> </t>
    </r>
  </si>
  <si>
    <t>העמותה לקידום תרבות הפלמנקו - להקת קומפס - מיכל נתן</t>
  </si>
  <si>
    <t>עמותת ורטיגו למחול - שוטף</t>
  </si>
  <si>
    <t>בת דור ב"ש - מרכז עירוני לאמנות המחול - קב' מחול "קמע" + סדנאות</t>
  </si>
  <si>
    <t>להקת מחול בת שבע - פעילות שוטפת</t>
  </si>
  <si>
    <t>להקת מחול ענבל פינטו</t>
  </si>
  <si>
    <t xml:space="preserve">מרכז סוזן דלל למחול ולתיאטרון - פעילות שוטפת </t>
  </si>
  <si>
    <t>פרוייקטים במחול שליד תיאט' מחול רינה שיינפלד</t>
  </si>
  <si>
    <t>תיאטרון תנועה תמו-נע -  בימת מחול</t>
  </si>
  <si>
    <t>להקת הפלמנקו רמנגאר-שוטף</t>
  </si>
  <si>
    <t>עמותת ורטיגו למחול - מרכז מחול ורטיגו בכפר</t>
  </si>
  <si>
    <t>ליאת דרור וניר בן גל "הלהקה"</t>
  </si>
  <si>
    <t xml:space="preserve"> להקת המחול הקיבוצית</t>
  </si>
  <si>
    <t>תמרה מיאלניק - התיאטרון הירושלמי  למחול - הפקה שוטף</t>
  </si>
  <si>
    <t>עירית ת"א יפו -בית אריאלה - הספרייה למחול</t>
  </si>
  <si>
    <t>עמותת הכוריאוגרפים - קב' מחול נעה דר</t>
  </si>
  <si>
    <t>עמותת הכוריאוגרפים - נדין בומר</t>
  </si>
  <si>
    <t>עמותת הכוריאוגרפים - אביגיל רובין</t>
  </si>
  <si>
    <t>עמותת הכוריאוגרפים - אודליה קופרברג</t>
  </si>
  <si>
    <t>עמותת הכוריאוגרפים - אורלי פורטל</t>
  </si>
  <si>
    <t>עמותת הכוריאוגרפים - אילנית תדמור</t>
  </si>
  <si>
    <t>עמותת הכוריאוגרפים - איריס ארז</t>
  </si>
  <si>
    <t>עמותת הכוריאוגרפים - אלה בן אהרון</t>
  </si>
  <si>
    <t>עמותת הכוריאוגרפים - אליס דור-כהן</t>
  </si>
  <si>
    <t>עמותת הכוריאוגרפים - אפרת רובין</t>
  </si>
  <si>
    <t>עמותת הכוריאוגרפים - תמר בורר</t>
  </si>
  <si>
    <t>עמותת הכוריאוגרפים - מאיה ברינר</t>
  </si>
  <si>
    <t>עמותת הכוריאוגרפים - מיכאל גטמן</t>
  </si>
  <si>
    <t>עמותת הכוריאוגרפים - ענת גריגוריו</t>
  </si>
  <si>
    <t xml:space="preserve">עמותת הכוריאוגרפים -גלית ליס </t>
  </si>
  <si>
    <t>עמותת הכוריאוגרפים - דנה רוטנברג</t>
  </si>
  <si>
    <t>עמותת הכוריאוגרפים - ענת דניאלי</t>
  </si>
  <si>
    <t>עמותת הכוריאוגרפים - ענת דניאלי-כלים</t>
  </si>
  <si>
    <t xml:space="preserve">עמותת הכוריאוגרפים - דפי אלטבב </t>
  </si>
  <si>
    <t>עמותת הכוריאוגרפים - הלל קוגן</t>
  </si>
  <si>
    <t>עמותת הכוריאוגרפים - מאיה לוי</t>
  </si>
  <si>
    <t>עמותת הכוריאוגרפים - נימה יעקובי</t>
  </si>
  <si>
    <t>עמותת הכוריאוגרפים - ניב שיינפלד</t>
  </si>
  <si>
    <t>עמותת הכוריאוגרפים - סהר עזימי</t>
  </si>
  <si>
    <t>עמותת הכוריאוגרפים -סיגל זיו</t>
  </si>
  <si>
    <t>עמותת הכוריאוגרפים - סילביה דוראן</t>
  </si>
  <si>
    <t>עמותת הכוריאוגרפים - עידו תדמור</t>
  </si>
  <si>
    <t>עמותת הכוריאוגרפים - עידן כהן</t>
  </si>
  <si>
    <t>עמותת הכוריאוגרפים - שלומי פריג'</t>
  </si>
  <si>
    <t>עמותת הכוריאוגרפים - להקת תמי נמרוד פריד</t>
  </si>
  <si>
    <t>עמותת הכוריאוגרפים - רותם תשח</t>
  </si>
  <si>
    <t>עמותת הכוריאוגרפים - רננה רז</t>
  </si>
  <si>
    <t>עמותת הכוריאוגרפים - רייצ'ל ארדוס</t>
  </si>
  <si>
    <t>עמותת הכוריאוגרפים - אנסמבל "תומר ומאיה"</t>
  </si>
  <si>
    <t>עמותת הכוריאוגרפים - שלומית פונדמינסקי</t>
  </si>
  <si>
    <t>עמותת הכוריאוגרפים - ענת שמגר</t>
  </si>
  <si>
    <t>עמותת הכוריאוגרפים - שרון שגיא - הפקה והרצה</t>
  </si>
  <si>
    <t>עמותת הכוריאוגרפים - קב' דנה יהלומי 'תנועה צבורית'</t>
  </si>
  <si>
    <t>עמותת הכוריאוגרפים - רובי אדלמן ועפרה אידל</t>
  </si>
  <si>
    <t>עמותת הכוריאוגרפים - מחול שלם - בית למחול</t>
  </si>
  <si>
    <t>עמותת הכוריאוגרפים -רונן יצחק- אנסמבל כעת</t>
  </si>
  <si>
    <t>עמותת הכוריאוגרפים - יוסי ברג</t>
  </si>
  <si>
    <t>עמותת הכוריאוגרפים - סאלי אן פרידלנד</t>
  </si>
  <si>
    <t>עמותת הכוריאוגרפים - אלעד שכטר</t>
  </si>
  <si>
    <t>עמותת הכוריאוגרפים - מחסן 2</t>
  </si>
  <si>
    <t>עמותת הכוריאוגרפים -שרונה פלורסהיים</t>
  </si>
  <si>
    <t>עמותת הכוריאוגרפים - יסמין גודר-להקת מחול</t>
  </si>
  <si>
    <t>עמותת הכוריאוגרפים - נעה שדור</t>
  </si>
  <si>
    <t>עמותת הכוריאוגרפים - אור מרין ואורן נחום</t>
  </si>
  <si>
    <t>עמותת הכוריאוגרפים - להקת פרסקו / יורם כרמי</t>
  </si>
  <si>
    <t>עמותת הכוריאוגרפים - רונן יצחקי ותמר קליינמן</t>
  </si>
  <si>
    <t>עמותת הכוריאוגרפים -רועי אסף</t>
  </si>
  <si>
    <t>עמותת הכוריאוגרפים -שרון אייל וגיא בכר</t>
  </si>
  <si>
    <t>עמותת הכוריאוגרפים - רונית זיו</t>
  </si>
  <si>
    <t>החב' העירונית לתרבות, ספורט ומרכזים קהילתיים  באשדוד בע"מ -  להקת בלט פאנוב אשדוד</t>
  </si>
  <si>
    <t>עמותת הכוריאוגרפים - מיכל הרמן</t>
  </si>
  <si>
    <t>עמותת הכוריאוגרפים - תמיכה כללית -תקורה חדש.</t>
  </si>
  <si>
    <t>הזירה הבין תחומית - מחול</t>
  </si>
  <si>
    <t>קידום המחול הקלאסי בירושלים - הפקת יצירה ישראלית החדשה</t>
  </si>
  <si>
    <t>עמותת הכוריאוגרפים - ארקדי זיידס</t>
  </si>
  <si>
    <t>המרכז לתיאטרון  של עכו - קבוצת מחול</t>
  </si>
  <si>
    <t>העמותה ע"ש עדי אגמון לקידום מחול ותרבות ספרד בישראל - סדנאות פלמנקו</t>
  </si>
  <si>
    <t>תיאטרון תנועה תמו-נע -  א-ז'אנר</t>
  </si>
  <si>
    <t>מרכז סוזן דלל למחול ולתיאטרון - חשיפה בינ"ל</t>
  </si>
  <si>
    <t>עמותת הכוריאוגרפים -רובי אדלמן ועפרה אידל-פרוייקט חשיפה</t>
  </si>
  <si>
    <t>עמותת הכוריאוגרפים - טליה פז</t>
  </si>
  <si>
    <t>עמותת הכוריאוגרפים - תרצה ספיר - הפקה והרצה</t>
  </si>
  <si>
    <t>תיאטרון "פסיק" - מרכז אירוח מחול</t>
  </si>
  <si>
    <t>אגודת הציירים והפסלים - אמני ירושלים</t>
  </si>
  <si>
    <t>אגודת הציירים והפסלים סניף תל-אביב</t>
  </si>
  <si>
    <t>סדנת ההדפס ירושלים</t>
  </si>
  <si>
    <t>אמנים יוצרים בישראל</t>
  </si>
  <si>
    <t>מוסדות חינוך ותרבות של ברית התנועה הקיבוצית- עבור גלריית הקיבוץ</t>
  </si>
  <si>
    <t>מרכז לאמנות חזותית בתל-אביב</t>
  </si>
  <si>
    <t>סדנאות האמנים בת"א</t>
  </si>
  <si>
    <t>המרכז לאמנות עכשווית</t>
  </si>
  <si>
    <t>ספרייה ומרכז ההנצחה בקרית טבעון בע"מ</t>
  </si>
  <si>
    <t>קרית טבעון</t>
  </si>
  <si>
    <t>ארנים-מכללה האקדמית לחינוך של התנועה הקבוצית</t>
  </si>
  <si>
    <t>העמותה שליד בית הספר לצילום מוסררה</t>
  </si>
  <si>
    <t>מכללת בית ברל- גלריה המדרשה בת"א</t>
  </si>
  <si>
    <t>עמותת מרכז - אמנויות ע"ש ברר מעלות</t>
  </si>
  <si>
    <t>תאטרון תנועה "תמונע"- תערוכות</t>
  </si>
  <si>
    <t>חבצלת מוסדות תרבות וחנוך של השומר הצעיר- עבור גלריה, כתב עת, פרוייקטים</t>
  </si>
  <si>
    <t>הזירה הבין תחומית</t>
  </si>
  <si>
    <t>עמותת זיק לאמנות חזותית</t>
  </si>
  <si>
    <t>בית נקופה</t>
  </si>
  <si>
    <t>עמותת היכל התרבות העירוני נתניה</t>
  </si>
  <si>
    <t>מוזיאון פרטי בית אורי ורמי נחושתן</t>
  </si>
  <si>
    <t>קיבוץ אשדות יעקב</t>
  </si>
  <si>
    <t>עמותת תואר- גלריה לאמנים חרידים</t>
  </si>
  <si>
    <t>תיאטרון מקומי - תערוכות של אמנים פלסטיים יהודים וערבים</t>
  </si>
  <si>
    <t>מכללה אקדמית ספיר- גלריה</t>
  </si>
  <si>
    <t>כנפיים (כי באמנות אין מוגבלות) - פרוייקט אמנות פלסטית</t>
  </si>
  <si>
    <t>מבשרת ציון</t>
  </si>
  <si>
    <t>גלריה "דנה" לאמנות</t>
  </si>
  <si>
    <t>רשת תחנות לאמנות עכשווית</t>
  </si>
  <si>
    <t>החברה לפיתוח תיאטרון , מוסיקה, אמנות חולון</t>
  </si>
  <si>
    <t>סדנאות האמנים</t>
  </si>
  <si>
    <t>המרכז לתיאטרון של עכו (אמנות מחוללת שינוי)</t>
  </si>
  <si>
    <t>עמותת אלפרד לקידום אמנות ותרבות</t>
  </si>
  <si>
    <t>עמותת הקצה</t>
  </si>
  <si>
    <t>נהריה</t>
  </si>
  <si>
    <t>אחותי-למען נשים בישראל</t>
  </si>
  <si>
    <t>קבוצת אגריפס 12 - גלריה לאמנים (ע"ר</t>
  </si>
  <si>
    <t>הערת שוליים (ע"ר)</t>
  </si>
  <si>
    <t>עיריית ת"א - בית ביאליק</t>
  </si>
  <si>
    <t>עיריית ת"א - גלריה קו 16</t>
  </si>
  <si>
    <t>אופקים</t>
  </si>
  <si>
    <t>מ.א. אשכול- גלריה לאמנות עכשווית</t>
  </si>
  <si>
    <t>קיבוץ בארי</t>
  </si>
  <si>
    <t>מ. א. מטה אשר (גלריית אטליה שמי, גלריית כברי, גלריית לוחמי הגטאות, )</t>
  </si>
  <si>
    <t>עפולה</t>
  </si>
  <si>
    <t>עיריית ראשל"צ- גלריה</t>
  </si>
  <si>
    <t>עירית סח'נין</t>
  </si>
  <si>
    <t>עירית רחובות- גלריה</t>
  </si>
  <si>
    <t>עיריית כפר סבא- גלריה העירונית</t>
  </si>
  <si>
    <t>בת ים</t>
  </si>
  <si>
    <r>
      <t>תקנת אמנות פלסטית 42-02-24</t>
    </r>
    <r>
      <rPr>
        <sz val="10"/>
        <rFont val="Guttman Yad-Brush"/>
        <charset val="177"/>
      </rPr>
      <t xml:space="preserve"> </t>
    </r>
  </si>
  <si>
    <t>רשת תחנות לאמנות עכשווית - גלריה 'עירוני רמלה'</t>
  </si>
  <si>
    <t>1000539957</t>
  </si>
  <si>
    <r>
      <t>ב-14: תמיכה מוקפאת עד לסיום הדיון במשרד המשפטים</t>
    </r>
    <r>
      <rPr>
        <b/>
        <sz val="10"/>
        <color rgb="FFFF0000"/>
        <rFont val="Arial"/>
        <family val="2"/>
      </rPr>
      <t xml:space="preserve">  </t>
    </r>
    <r>
      <rPr>
        <b/>
        <sz val="10"/>
        <rFont val="Arial"/>
        <family val="2"/>
      </rPr>
      <t xml:space="preserve">                                              </t>
    </r>
  </si>
  <si>
    <t>רשת תחנות לאמנות עכשווית - פרויקט מחנה אמנות</t>
  </si>
  <si>
    <t>מכללת בית ברל - גלרית המדרשה בת"א</t>
  </si>
  <si>
    <t>מכללה אקדמית ספיר - גלריה לימודית</t>
  </si>
  <si>
    <t>עמותת הציירים והפסלים סניף תל אביב</t>
  </si>
  <si>
    <t>סדנאות האמנים בתל-אביב</t>
  </si>
  <si>
    <t>עמותת היכל התרבות נתניה - תערוכות</t>
  </si>
  <si>
    <t>אורנים - המכללה האקדמית לחינוך התנועה הקיבוצית - בגלריה לאמנות</t>
  </si>
  <si>
    <t>העמותה שליד  ביה"ס ללימודי צילום מוסררה - פעילות הגלריה בביה"ס</t>
  </si>
  <si>
    <t>מוזיאון פרטי בית אורי ורמי נחושתן - תערוכות</t>
  </si>
  <si>
    <t>עירית כפר סבא - גלריה עירונית</t>
  </si>
  <si>
    <t>מ.א. אשכול עבור גלריה בארי</t>
  </si>
  <si>
    <t>עירית ראשון לציון - גלריה ראשל"צ</t>
  </si>
  <si>
    <t>עמותת אלפרד לקידום אמנות ותרבות - גלריה אלפרד</t>
  </si>
  <si>
    <t>מ.א. מטה אשר - גלריית   לוחמי הגטאות</t>
  </si>
  <si>
    <t>מ.א. מטה אשר - גלריית אטליה - יחיאל שמי</t>
  </si>
  <si>
    <t>אגודת הציירים והפסלים, אמני ירושלים</t>
  </si>
  <si>
    <t>עירית ת"א יפו - מתנ"ס נוה אליעזר - גלריה קו 16</t>
  </si>
  <si>
    <t>עיריית רחובות - הגלריה העירונית</t>
  </si>
  <si>
    <t>מ.א. מטה אשר - גלריית כברי</t>
  </si>
  <si>
    <t>עירית בת ים - מוזיאון  בן-ארי</t>
  </si>
  <si>
    <t>מינהל קהילתי-לב העיר ירושלים</t>
  </si>
  <si>
    <t>ספרייה ומרכז הנצחה בקרית טבעון - גלריה שוטף</t>
  </si>
  <si>
    <t>מרכז לאמנות חזותית בת"א  - גלרית "משרד בת"א"</t>
  </si>
  <si>
    <t>אמנים יוצרים בישראל - תערוכות בגלריה</t>
  </si>
  <si>
    <t>החברה לפיתוח תיאטרון מוסיקה ומחול חולון בע"מ - המרכז הישראלי לאמנות דיגיטלית</t>
  </si>
  <si>
    <t>קבוצת אגריפס 12 - גלריה</t>
  </si>
  <si>
    <t>סדנאות האמנים בירושלים  - תמיכה שוטפת</t>
  </si>
  <si>
    <r>
      <t>עמותת מרכז אמנויות ע"ש ברר במעלות - גלריה מקומית</t>
    </r>
    <r>
      <rPr>
        <b/>
        <sz val="10"/>
        <rFont val="Arial"/>
        <family val="2"/>
        <charset val="177"/>
      </rPr>
      <t xml:space="preserve"> </t>
    </r>
  </si>
  <si>
    <t>עמותת הקצה - גלריה הקצה</t>
  </si>
  <si>
    <t>גלריה דנה לאמנות</t>
  </si>
  <si>
    <t>עמותת תואר - תערוכות בגלריה</t>
  </si>
  <si>
    <t>מוסדות חינוך ותרבות של ברית התנועה הקבוצית - גלריית הקבוץ</t>
  </si>
  <si>
    <t>עמותת אדריכלים מאוחדים - גלריה בבית האדריכל</t>
  </si>
  <si>
    <t>עירית פתח תקוה - פרויקט קו מרחב</t>
  </si>
  <si>
    <t>המרכז לתיאטרון  של עכו - פרויקט 'אמן תושב' בפסטיבל עכו</t>
  </si>
  <si>
    <t>תיאטרון תמו-נע - מרתון אומנות</t>
  </si>
  <si>
    <t>מודיעין מכבים רעות- פרוייקט אורות הכרך</t>
  </si>
  <si>
    <t>סדנת ההדפס ירושלים- פרוייקט מאה שנות הדפס</t>
  </si>
  <si>
    <t>מרכז קהילתי ביבנה-תערוכות אומנות עכשיוית</t>
  </si>
  <si>
    <t>אקס טריטוריה-פרויקט אקסטריטוריה</t>
  </si>
  <si>
    <t>עירית בת ים -שימור בית שלום אש</t>
  </si>
  <si>
    <t>אחותי - למען נשים בישראל - קטלוג אחותי למען אמנות פמינסטית</t>
  </si>
  <si>
    <t>עירית ת"א - בית ביאליק - תערוכות</t>
  </si>
  <si>
    <t>מ.א. אשכול - פרוייקט במדבר דברים</t>
  </si>
  <si>
    <t>הזירה הבין תחומית  - פרויקט אמנות פלסטי</t>
  </si>
  <si>
    <t>עונת התרבות הירושלמית-מתחת להר</t>
  </si>
  <si>
    <t>עירית ירושלים - פרויקטים של אמנות פלסטית</t>
  </si>
  <si>
    <t>הערת שוליים-10 שנים לתחרות צ(תערוכה)</t>
  </si>
  <si>
    <t xml:space="preserve">זיק לאמנות חזותית - פרוייקט </t>
  </si>
  <si>
    <t>מרכז הספר והספריות בישראל</t>
  </si>
  <si>
    <t xml:space="preserve">המכון לתרגום ספרות עברית- </t>
  </si>
  <si>
    <t>הקם-מיסודה של הקונפדרציה העולמית של הציונות המאוחדת.</t>
  </si>
  <si>
    <t>הליקון-העמותה לקידום השירה בישראל- פעילות שוטפת בית הליקון</t>
  </si>
  <si>
    <t>מונטן- עבור כתבי עת</t>
  </si>
  <si>
    <t>פסיפס-עתון למידע על שירה וספרי שירה ואמנות</t>
  </si>
  <si>
    <t>בית עגנון בירושלים</t>
  </si>
  <si>
    <t>תאטרון תנועה "תמונע"- פעולות בתחום תרבות</t>
  </si>
  <si>
    <t>משכנות שאננים בירושלים - ארועי ספרות</t>
  </si>
  <si>
    <t>אגודת הסופרים העבריים במדינה ישראל- פעילות שוטפת</t>
  </si>
  <si>
    <t>אגודת הסופרים העבריים במדינה ישראל- עבור כתב עת  מאזניים</t>
  </si>
  <si>
    <t>איגוד כללי של הסופרים בישראל- לשכת הסופר+ כתב עת תיאטרון+ כתב עת "גג"</t>
  </si>
  <si>
    <t>המרכז לאמנות יהודית רוסית- כתב עת "זרקלו"+ פרוייקט</t>
  </si>
  <si>
    <t>מרכז לאמנות חזותית בתל-אביב- כתב עת טרמינל</t>
  </si>
  <si>
    <t>אמנים יוצרים בישראל- כתב עת לאמנות הקרמיקה</t>
  </si>
  <si>
    <t xml:space="preserve">אלול אלו ואלו </t>
  </si>
  <si>
    <t>תיאטרון קרוב מיסודו של ניקו ניתאי- ערבי משוררים</t>
  </si>
  <si>
    <t>משיב הרוח- כתב עת וערבי ספרות</t>
  </si>
  <si>
    <t>עמותת מצרף- כתב העת "קטרסיס"</t>
  </si>
  <si>
    <t>חוג העמקים - ערבי ספרות</t>
  </si>
  <si>
    <t>מ.א. גליל עליון</t>
  </si>
  <si>
    <t>החברה לפיתוח תיאטרון  אמנות מוסיקה ומחול חולון בע"מ - סדרת מופעים ספרותיים</t>
  </si>
  <si>
    <t>אתו"ס- החברה לאמנות תרבות וספורט חיפה בע"מ  -מגזין חי לספרות "ספרים בדברים"</t>
  </si>
  <si>
    <t>בית לייוויק - אגודת סופרי ועתונאים -  מפגשי ספרות</t>
  </si>
  <si>
    <t>קבוצת התיאטרון הירושלמי ע"ש בצלאל- ערבי ספרות</t>
  </si>
  <si>
    <t>מקום לשירה (ע"ר)</t>
  </si>
  <si>
    <t>תיאטרון פסיק- מופעים ספרותיים וכתבי עת</t>
  </si>
  <si>
    <t>בית הסופר מודיעין והסביבה</t>
  </si>
  <si>
    <t>מרכז קהילתי מתנ"ס בנימינה- גבעת עדה</t>
  </si>
  <si>
    <t>בנימינה</t>
  </si>
  <si>
    <t>אורתו-דה</t>
  </si>
  <si>
    <t>עמותת פסטיבל בשקל</t>
  </si>
  <si>
    <t>המרכז לתיאטרון של עכו- מפגשי ספרות</t>
  </si>
  <si>
    <t>בית אבי חי (ע"ר)- גיבורי הרוח- סדרת מופעי ספרות</t>
  </si>
  <si>
    <t>התיאטרון הקאמרי ת"א- אירועי ספרות</t>
  </si>
  <si>
    <t>עיריית תל-אביב יפו- עבור בית ביאליק</t>
  </si>
  <si>
    <t>עיריית תל-אביב יפו- עבור בית אריאלה</t>
  </si>
  <si>
    <t>מ.א. עמק הירדן - קברט ספרותי</t>
  </si>
  <si>
    <t>מ.א. עמק הירדן</t>
  </si>
  <si>
    <t>מ.א. אשכול - ערבי ספרות</t>
  </si>
  <si>
    <t>מ.א.אשכול</t>
  </si>
  <si>
    <t>יו"ש</t>
  </si>
  <si>
    <t>עיריית חדרה- מפגשים ספרותיים</t>
  </si>
  <si>
    <t xml:space="preserve">עיריית רחובות- בית מיכל רחובות </t>
  </si>
  <si>
    <t>500291000</t>
  </si>
  <si>
    <t>עיריית נהריה- מפגשי ספרות</t>
  </si>
  <si>
    <t>מ.א. גליל עליון- ספר תרבות בקהילה</t>
  </si>
  <si>
    <r>
      <t>תקנת ספרות 42-02-22</t>
    </r>
    <r>
      <rPr>
        <sz val="11"/>
        <rFont val="Guttman Yad-Brush"/>
        <charset val="177"/>
      </rPr>
      <t xml:space="preserve"> </t>
    </r>
  </si>
  <si>
    <t>אנתולוגיה ירושלמית - כתב עת</t>
  </si>
  <si>
    <t>אנתולוגיה ירושלמית - ערבים ספרותיים</t>
  </si>
  <si>
    <t>מרכז הספר והספריות בישראל (מרכז ההדרכה) - אספקת מוצרים ושרותים ספרניים</t>
  </si>
  <si>
    <t xml:space="preserve">ב-14: התמיכה שולמה פחות סך של 201,850 ש"ח בגין קיזוזים.                                             </t>
  </si>
  <si>
    <t>מקום לשירה-כתב העת "ננופואטיקה"</t>
  </si>
  <si>
    <t>עמותת מצרף - כתב העת 'קתרסיס'</t>
  </si>
  <si>
    <t>אגודת סופרים ואמנים לקידום הספרות והאמנות בישראל - "עתון 77"</t>
  </si>
  <si>
    <t>תיאטרון תמו-נע -מגזין מחול עכשיו</t>
  </si>
  <si>
    <t>ברית נאמני תורה ועבודה - כתב העת 'דעות'</t>
  </si>
  <si>
    <t>כח יוזם - קווה מובדירה - כתב העת מטען</t>
  </si>
  <si>
    <t>מעיין - כתב עת לשירה, תרבות - כתב העת מעיין</t>
  </si>
  <si>
    <t>משיב הרוח - כתב העת "משיב הרוח"</t>
  </si>
  <si>
    <t>פסיפס - עתון למידע של שירה ואמנות - כתב העת 'פסיפס'</t>
  </si>
  <si>
    <t>אגודת הסופרים העיבריים במדינת ישראל - כתב העת 'מאזניים'</t>
  </si>
  <si>
    <t xml:space="preserve"> הליקון-כתב עת</t>
  </si>
  <si>
    <t>מונטן - כתב העת "עמדה"</t>
  </si>
  <si>
    <t>איגוד כללי של סופרים בישראל - כתב העת "גג"</t>
  </si>
  <si>
    <t>איגוד כללי של סופרים בישראל - כתב עת תיאטרון</t>
  </si>
  <si>
    <t>המרכז לאמנות יהודית רוסית - כתב העת "זרקלו"</t>
  </si>
  <si>
    <t>מרכז לאמנות חזותית בת"א -  כתב העת טרמינל</t>
  </si>
  <si>
    <t>אמנים יוצרים בישראל  - כתב עת לאמנות הקרמיקה</t>
  </si>
  <si>
    <t>מרכז הספר והספריות בישראל (מרכז ההדרכה) - מפעלי ספרות, שוטף</t>
  </si>
  <si>
    <t>הליקון - בית הליקון</t>
  </si>
  <si>
    <t>אגודת הסופרים העיבריים במדינת ישראל - פעילות 'בית הסופר'</t>
  </si>
  <si>
    <t xml:space="preserve">המכון לתרגום ספרות עברית </t>
  </si>
  <si>
    <t>איגוד כללי של סופרים בישראל - תמיכה שוטפת לשכת הסופר</t>
  </si>
  <si>
    <t>אורתו-דה - ערבי ספרות וקריאה</t>
  </si>
  <si>
    <t>חוג העמקים - מפגשי ספרות</t>
  </si>
  <si>
    <t>הק"ם - מיסודה של הקונפדרציה העולמית של הציונות המאוחדת- ארועי שעת החסד</t>
  </si>
  <si>
    <t>מ.א עמק יזרעאל-ערבי ספרות</t>
  </si>
  <si>
    <t>מכון שוקן -ספר,ספרות, ספריה</t>
  </si>
  <si>
    <t>תיאטרון קרוב מיסודו של ניקו ניתאי - ערבי תרבות וספרות</t>
  </si>
  <si>
    <t>מ.א. גליל עליון - ערבי ספרות</t>
  </si>
  <si>
    <t>מקום לשירה-מופעי שירה</t>
  </si>
  <si>
    <t>תיאטרון מקומי - ערבי ספרות ושירה ערבית עברית</t>
  </si>
  <si>
    <t>בית לייוויק - אגודת סופרי ועתונאים - ארועי ספרות</t>
  </si>
  <si>
    <t>צוותא - בימת ספרות</t>
  </si>
  <si>
    <t>צוותא - צוותרבות</t>
  </si>
  <si>
    <t>עירית חדרה - מפגשים ספרותיים (בית פייברג)</t>
  </si>
  <si>
    <t>אגודת סופרים ואמנים לקידום הספרות והאמנות בישראל - מפגשי ספרות</t>
  </si>
  <si>
    <t>תיאטרון תמו-נע - "שירה על במה"</t>
  </si>
  <si>
    <t>תיאטרון תמו-נע - פואזיקה</t>
  </si>
  <si>
    <t>מבטאים - בית היוצר למגמה המגשימה -שירי נשים יוצרות</t>
  </si>
  <si>
    <t>מבטאים - בית היוצר למגמה המגשימה - מופע ספרותי 'קול קורא'</t>
  </si>
  <si>
    <t>המרכז לתיאטרון  של עכו- מפגשים ספרותיים</t>
  </si>
  <si>
    <t>תיאטרון האינקובטור-פואטרי סלאם</t>
  </si>
  <si>
    <t>המרכז לפיוט ושירה אשדוד - שירתו של המשורר</t>
  </si>
  <si>
    <t>מ.א. עמק הירדן - מפגשי ספרות</t>
  </si>
  <si>
    <t>החברה לפיתוח תיאטרון  אמנות מוסיקה ומחול חולון בע"מ - מדיטק -  ארועים ספרותיים</t>
  </si>
  <si>
    <t>תיאטרון "פסיק" -מוטל בין פסי החזן</t>
  </si>
  <si>
    <t xml:space="preserve">תיאטרון "פסיק" -המשורר כנביא </t>
  </si>
  <si>
    <t>עירית ת"א - בית ביאליק - מפגשים ספרותיים</t>
  </si>
  <si>
    <t>עירית רחובות - פעילות בית מיכל - ערבי ספרות</t>
  </si>
  <si>
    <t>הליקון - שירה על המפה (פרויקט פריפריה)</t>
  </si>
  <si>
    <t>איגוד כללי של סופרים בישראל - סדרת הרצאות מצולמות</t>
  </si>
  <si>
    <t>עירית ת"א - בית אריאלה- מפגשים על הומור</t>
  </si>
  <si>
    <t>עירית ת"א - בית אריאלה - מועדון הספר</t>
  </si>
  <si>
    <t>עירית ת"א - בית אריאלה - סופרים בעקבות ספרים</t>
  </si>
  <si>
    <t>עירית ת"א - בית אריאלה - הגיבור התנכ"י שלי</t>
  </si>
  <si>
    <t>המרכז לאמנות יהודית רוסית -  מפגשי ספרות</t>
  </si>
  <si>
    <t>החברה לאמנות תרבות וספורט חיפה בע"מ (אתו"ס) - מפגשים ספרותיים</t>
  </si>
  <si>
    <t>עירית ראשון לציון - ארועים ספרותיים</t>
  </si>
  <si>
    <t>מ.מ ג'לג'וליה-ספרות וכתבי עת</t>
  </si>
  <si>
    <t>נאמנות התיאטרון הקאמרי של תל אביב - ארועים ספרותיים תיאטרוניים</t>
  </si>
  <si>
    <t>הזירה-אירועי ספרות</t>
  </si>
  <si>
    <t>עמותת פסטיבל בשקל -הצגת יצירות בכורים בירושלים</t>
  </si>
  <si>
    <t>עמותת פסטיבל בשקל -הצגת יצירות בכורים במעלות</t>
  </si>
  <si>
    <t>עמותת פסטיבל בשקל -הצגת יצירות בכורים בקרית גת</t>
  </si>
  <si>
    <t>עלמא מכללה עיברית- מוסדות ספרות</t>
  </si>
  <si>
    <t>קבוצת התיאטרון הירושלמי ע"ש בצלאל - ערבי ספרות</t>
  </si>
  <si>
    <r>
      <t>האגודה למפעלי תרבות ונוער בתל-אביב-יפו סינמטק תל-אביב -</t>
    </r>
    <r>
      <rPr>
        <b/>
        <sz val="10"/>
        <rFont val="Arial"/>
        <family val="2"/>
      </rPr>
      <t xml:space="preserve"> מפגשים רב-תחומיים (פנטסטיים)</t>
    </r>
  </si>
  <si>
    <t>משיב הרוח - 4 אירועי ספרות רב תחומיים</t>
  </si>
  <si>
    <t>משיב הרוח - סדנאות 'קהילות כותבות'</t>
  </si>
  <si>
    <t>החב' העירונית לתרבות, ספורט ומרכזים קהילתיים  באשדוד בע"מ  - פרוייקט פואטיכאן</t>
  </si>
  <si>
    <t>בית אבי חי - מעבדת ספרות</t>
  </si>
  <si>
    <t>בית אבי חי - גיבורי הרוח (סידרת מופעי סיפרות)</t>
  </si>
  <si>
    <t>אלול אלו ואלו -ערבי ספרות</t>
  </si>
  <si>
    <t xml:space="preserve">תמיכה </t>
  </si>
  <si>
    <t>קרן הקולנוע הישראלי לסרטים עלילתיים</t>
  </si>
  <si>
    <t>מוסד ארצי</t>
  </si>
  <si>
    <t>הקרן החדשה לקידום ולעידוד יוצרי קולנוע וטלויזיה</t>
  </si>
  <si>
    <t>הקרן לעידוד הפקות מקור בכבלים- הפקות טלויזיה וקולנוע</t>
  </si>
  <si>
    <t>קרן יהושע רבינוביץ' לאמנות ת"א - הפקת סרטים עלילתיים</t>
  </si>
  <si>
    <t>קרן גשר לקולנוע רב תרבותי (ע"ר)</t>
  </si>
  <si>
    <t>דוקאביב - עמותה לקדום הסרט הדוקומנטרי - פסטיבל דוקאביב+ פרסים</t>
  </si>
  <si>
    <t>סינמטק ירושלים - כולל פסטיבלים ,פרסים, ארכיון הסרטים</t>
  </si>
  <si>
    <t>אוניברסיטת ת"א- פסטיבל סרטי סטודנטים</t>
  </si>
  <si>
    <t>אתו"ס-החברה לאמנות תרבות וספורט חיפה בע"מ- כולל פסטיבל ופרסים ליוצרים</t>
  </si>
  <si>
    <t>איגוד המפיקים לקולנוע וטלוויזיה בישראל</t>
  </si>
  <si>
    <t>איגוד מקצועי של במאי קולנוע וטלויזיה ע"ש יעקב בן דוד</t>
  </si>
  <si>
    <t>איגוד תסריטאים בישראל</t>
  </si>
  <si>
    <t>פורום היוצרים הדוקומנטריים בישראל - כולל פרסים ליוצרים</t>
  </si>
  <si>
    <t>סינמטק ראש פינה</t>
  </si>
  <si>
    <t>שח"ם- איגוד שחקני מסך</t>
  </si>
  <si>
    <t>קופרו - קרן לשווק סרטי תעודה (הפורום הישראלי לקו-פרודקציות) - שיווק הסרט התיעודי לחו"ל</t>
  </si>
  <si>
    <t>מכללה אקדמית ספיר- פסטיבל קולנוע דרום כולל פרסים ליוצרים</t>
  </si>
  <si>
    <t>שדרות</t>
  </si>
  <si>
    <t>החברה לפיתוח תיאטרון, מוסיקה, אמנות חולון- סינמטק מדיטק</t>
  </si>
  <si>
    <t>איגוד עורכי תמונה וקול בישראל (ע"ר)</t>
  </si>
  <si>
    <t>סינמטק שדרות</t>
  </si>
  <si>
    <r>
      <t>תקנת קולנוע</t>
    </r>
    <r>
      <rPr>
        <sz val="11"/>
        <rFont val="Guttman Yad-Brush"/>
        <charset val="177"/>
      </rPr>
      <t xml:space="preserve"> </t>
    </r>
    <r>
      <rPr>
        <b/>
        <sz val="11"/>
        <color rgb="FFFF0000"/>
        <rFont val="Guttman Yad-Brush"/>
        <charset val="177"/>
      </rPr>
      <t>42-02-28</t>
    </r>
    <r>
      <rPr>
        <sz val="11"/>
        <color rgb="FFFF0000"/>
        <rFont val="Guttman Yad-Brush"/>
        <charset val="177"/>
      </rPr>
      <t xml:space="preserve"> </t>
    </r>
    <r>
      <rPr>
        <sz val="11"/>
        <rFont val="Guttman Yad-Brush"/>
        <charset val="177"/>
      </rPr>
      <t/>
    </r>
  </si>
  <si>
    <t>מ.א עמק הירדן-סנימטק בית גבריאל</t>
  </si>
  <si>
    <t>יתרת אבן דרך פתוחה לשנת 2015</t>
  </si>
  <si>
    <r>
      <t xml:space="preserve">האגודה למפעלי תרבות ונוער בתל-אביב-יפו סינמטק תל-אביב - </t>
    </r>
    <r>
      <rPr>
        <b/>
        <sz val="10"/>
        <rFont val="Arial"/>
        <family val="2"/>
      </rPr>
      <t>סינמטקים</t>
    </r>
    <r>
      <rPr>
        <sz val="10"/>
        <rFont val="Arial"/>
        <family val="2"/>
        <charset val="177"/>
      </rPr>
      <t>-מרכז הקולנוע הישראלי</t>
    </r>
  </si>
  <si>
    <r>
      <t xml:space="preserve">החברה לאמנות תרבות וספורט חיפה בע"מ (אתו"ס) - פעילות </t>
    </r>
    <r>
      <rPr>
        <b/>
        <sz val="10"/>
        <rFont val="Arial"/>
        <family val="2"/>
      </rPr>
      <t>סינמטק חיפה</t>
    </r>
  </si>
  <si>
    <t>סינמטק שדרות - פעילות שוטפת של הסינמטק</t>
  </si>
  <si>
    <t>סינמטק ראש פינה - סינמטקים - הפעלת הסינמטק בראש פינה</t>
  </si>
  <si>
    <r>
      <t xml:space="preserve">האגודה למפעלי תרבות ונוער בת"א-פו סינמטק ת"א - </t>
    </r>
    <r>
      <rPr>
        <b/>
        <sz val="10"/>
        <rFont val="Arial"/>
        <family val="2"/>
      </rPr>
      <t xml:space="preserve">פסטיבל אייקון </t>
    </r>
    <r>
      <rPr>
        <sz val="10"/>
        <rFont val="Arial"/>
        <family val="2"/>
      </rPr>
      <t>למדע בדיוני ופנטזיה</t>
    </r>
  </si>
  <si>
    <t>החברה לפיתוח תיאטרון מוסיקה ומחול חולון בע"מ - סינמטק</t>
  </si>
  <si>
    <r>
      <t xml:space="preserve">סינמטק ירושלים-ארכיון ישראלי לסרטים - </t>
    </r>
    <r>
      <rPr>
        <b/>
        <sz val="10"/>
        <rFont val="Arial"/>
        <family val="2"/>
      </rPr>
      <t>סינמטקים-</t>
    </r>
    <r>
      <rPr>
        <sz val="10"/>
        <rFont val="Arial"/>
        <family val="2"/>
        <charset val="177"/>
      </rPr>
      <t xml:space="preserve"> פעילות הסינמטק בירושלים</t>
    </r>
  </si>
  <si>
    <t>העמותה לקידום סרטי תרבות ואומנות-אפו"ס</t>
  </si>
  <si>
    <t>שח"ם - איגוד שחקני מסך - קדום יצירה ישראלית</t>
  </si>
  <si>
    <t>מכללה אקדמית ספיר - פסטיבל קולנוע דרום</t>
  </si>
  <si>
    <r>
      <t xml:space="preserve">סינמטק ירושלים-ארכיון ישראלי לסרטים - </t>
    </r>
    <r>
      <rPr>
        <b/>
        <sz val="10"/>
        <rFont val="Arial"/>
        <family val="2"/>
      </rPr>
      <t xml:space="preserve">ארכיונים ושימור </t>
    </r>
    <r>
      <rPr>
        <sz val="10"/>
        <rFont val="Arial"/>
        <family val="2"/>
        <charset val="177"/>
      </rPr>
      <t>- ארכיון ישראלי לסרטים</t>
    </r>
  </si>
  <si>
    <r>
      <t xml:space="preserve">סינמטק ירושלים-ארכיון ישראלי לסרטים - </t>
    </r>
    <r>
      <rPr>
        <b/>
        <sz val="10"/>
        <rFont val="Arial"/>
        <family val="2"/>
      </rPr>
      <t>פסטיבל הקולנוע הבינ"ל</t>
    </r>
  </si>
  <si>
    <r>
      <t xml:space="preserve">סינמטק ירושלים-ארכיון ישראלי לסרטים - </t>
    </r>
    <r>
      <rPr>
        <b/>
        <sz val="10"/>
        <rFont val="Arial"/>
        <family val="2"/>
      </rPr>
      <t xml:space="preserve">פסטיבל קולנוע יהודי </t>
    </r>
  </si>
  <si>
    <r>
      <t xml:space="preserve">האגודה לקידום הקולנוע בישראל - </t>
    </r>
    <r>
      <rPr>
        <b/>
        <sz val="10"/>
        <rFont val="Arial"/>
        <family val="2"/>
      </rPr>
      <t>שיווק</t>
    </r>
    <r>
      <rPr>
        <sz val="10"/>
        <rFont val="Arial"/>
        <family val="2"/>
        <charset val="177"/>
      </rPr>
      <t xml:space="preserve"> הקולנוע הישראלי</t>
    </r>
  </si>
  <si>
    <t>אוניברסיטת תל-אביב - פסטיבלים- פסטיבל בינ"ל לסרטי סטודנטים</t>
  </si>
  <si>
    <t>איגוד מפיקי סרטים וטלוויזיה בישראל-איגודים-השתלמויות וכנסים יזום והפקה</t>
  </si>
  <si>
    <r>
      <t xml:space="preserve">החברה לאמנות תרבות וספורט חיפה בע"מ (אתו"ס) - </t>
    </r>
    <r>
      <rPr>
        <b/>
        <sz val="10"/>
        <rFont val="Arial"/>
        <family val="2"/>
      </rPr>
      <t xml:space="preserve">פסטיבל הסרטים הבינ"ל </t>
    </r>
  </si>
  <si>
    <t>אקט איגוד עובדים בקולנוע ובטלויזיה-איגודים-ימי עיון והעשרה מקצועית</t>
  </si>
  <si>
    <t>איגוד התסריטאים בישראל - איגודים - פעילות למען היצירה המקורית</t>
  </si>
  <si>
    <r>
      <t xml:space="preserve">דוקאביב - עמותה לקדום הסרט הדוקומנטרי - </t>
    </r>
    <r>
      <rPr>
        <b/>
        <sz val="10"/>
        <rFont val="Arial"/>
        <family val="2"/>
      </rPr>
      <t>פסטיבל דוקאביב</t>
    </r>
  </si>
  <si>
    <r>
      <t xml:space="preserve">האגודה למפעלי תרבות ונוער בתל-אביב-יפו סינמטק תל-אביב - </t>
    </r>
    <r>
      <rPr>
        <b/>
        <sz val="10"/>
        <rFont val="Arial"/>
        <family val="2"/>
      </rPr>
      <t>פסטיבל בינ"ל לסרטי ילדים ונוער</t>
    </r>
  </si>
  <si>
    <r>
      <t xml:space="preserve">האגודה למפעלי תרבות ונוער בת"א-פו סינמטק ת"א - </t>
    </r>
    <r>
      <rPr>
        <b/>
        <sz val="10"/>
        <rFont val="Arial"/>
        <family val="2"/>
      </rPr>
      <t>פסטיבל בינ"ל לאנימציה וקומיקס</t>
    </r>
  </si>
  <si>
    <r>
      <t xml:space="preserve">האגודה למפעלי תרבות ונוער בתל-אביב-יפו סינמטק תל-אביב - </t>
    </r>
    <r>
      <rPr>
        <b/>
        <sz val="10"/>
        <rFont val="Arial"/>
        <family val="2"/>
      </rPr>
      <t>ארכיון הסינמטק</t>
    </r>
  </si>
  <si>
    <r>
      <t xml:space="preserve">האגודה למפעלי תרבות ונוער בתל-אביב-יפו סינמטק תל-אביב - </t>
    </r>
    <r>
      <rPr>
        <b/>
        <sz val="10"/>
        <rFont val="Arial"/>
        <family val="2"/>
      </rPr>
      <t>הפסטיבל הגאה</t>
    </r>
  </si>
  <si>
    <t>איגוד מקצועי של במאי קולנוע וטלויזיה ע"ש יעקב בן דוד - פעילות לקידום היצירה המקורית</t>
  </si>
  <si>
    <t>איגוד עורכי תמונה וקול בישראל</t>
  </si>
  <si>
    <r>
      <t xml:space="preserve">פורום היוצרים הדוקומנטריים בישראל - </t>
    </r>
    <r>
      <rPr>
        <b/>
        <sz val="10"/>
        <rFont val="Arial"/>
        <family val="2"/>
      </rPr>
      <t>קידום הז'אנר</t>
    </r>
  </si>
  <si>
    <r>
      <t xml:space="preserve">פורום היוצרים הדוקומנטריים בישראל - איגודים - </t>
    </r>
    <r>
      <rPr>
        <b/>
        <sz val="10"/>
        <rFont val="Arial"/>
        <family val="2"/>
      </rPr>
      <t>שיווק</t>
    </r>
  </si>
  <si>
    <t>אנסמבל ישראלי לכלי פריטה,שפיה</t>
  </si>
  <si>
    <t>חב' מוסדות חינוך- מתנ"ס שדרות</t>
  </si>
  <si>
    <t>להקה תימנית עמקא</t>
  </si>
  <si>
    <t>מרכז</t>
  </si>
  <si>
    <t>האופרה הישראלית החדשה ת"א- אופרה בקהילה</t>
  </si>
  <si>
    <t xml:space="preserve">תיאטרון פסיק </t>
  </si>
  <si>
    <t>מרכז ישראלי למקהלות וחבורות זמר (מיל"ה)</t>
  </si>
  <si>
    <t>מתנ"ס - מרכז קהילתי מטה אשר</t>
  </si>
  <si>
    <t>א-קפלה- אנסמבל קולי ירושלים</t>
  </si>
  <si>
    <t>סל"ה-סטודיו לאמנויות התיאטרון מיסודו של יורם לוינשטיין</t>
  </si>
  <si>
    <t>רון שולמית-לקידום מחול ומוסיקה י-ם</t>
  </si>
  <si>
    <t>מרכז קהילתי אזורי רמת הגולן</t>
  </si>
  <si>
    <t>מרכז קהילתי ראש פינה</t>
  </si>
  <si>
    <t>שקל - שירותים קהילתים למוגבלים</t>
  </si>
  <si>
    <t>מרכז קהילתי בנצרת עילית ע"ש גורדון וברקוביץ</t>
  </si>
  <si>
    <t>מרכז קהילתי בשלומי ע"ש גרין בע"מ</t>
  </si>
  <si>
    <t>מרכז קהילתי בנתיבות ע"ש וולפסון בע"מ</t>
  </si>
  <si>
    <t>נתיבות</t>
  </si>
  <si>
    <t>מרכז תרבות במצפה רמון ע"ש ס. רובין בע"מ- הפנינג אמנותי, תיאטרון נוער, להקת מחול</t>
  </si>
  <si>
    <t>מכוני השכלה תרבות ואמנות תל חי בגליל העליון- הכשרת מדריכים + סימפוזיון ישראלי  לקדרות</t>
  </si>
  <si>
    <t>העמותה  שליד בית הספר ללימודי צילום מוסררה</t>
  </si>
  <si>
    <t>מרכז קהילתי בית שאן</t>
  </si>
  <si>
    <t>מ.ר.א.ה.- מרכז אמנויות הבמה</t>
  </si>
  <si>
    <t>ארנון- עמותה לחינוך אמנות תרבות וספורט שער הנגב</t>
  </si>
  <si>
    <t>מרכז תרבות בירוחם ע"ש סמואל רובין</t>
  </si>
  <si>
    <t>מתנ"ס דימונה</t>
  </si>
  <si>
    <t>מרכז תרבות באופקים ע"ש סמואל רובין</t>
  </si>
  <si>
    <t>חברה למרכזים קהילתיים במגדל העמק</t>
  </si>
  <si>
    <t>מגדל העמק</t>
  </si>
  <si>
    <t>מרחבים חברה לחינוך ותרבות</t>
  </si>
  <si>
    <t>מתנ"ס יבנה ע"ש ליאון גרמנוב בע"מ</t>
  </si>
  <si>
    <t>מכללה אזורית עמק הירדן ע"ש אלפרין בע"מ- הכשרת מדריכים לאמנות</t>
  </si>
  <si>
    <t>עמק הירדן</t>
  </si>
  <si>
    <t>בית יגאל אלון</t>
  </si>
  <si>
    <t>גינוסר</t>
  </si>
  <si>
    <t>מועדון הספורט באוניברסיטת ת"א - קורס כוריאוגרפיה</t>
  </si>
  <si>
    <t>אקים- אגודה לקידום ילדים מפגרים</t>
  </si>
  <si>
    <t>מינהל קהילתי נוה יעקב</t>
  </si>
  <si>
    <t xml:space="preserve">עמותה לקידום ופתוח מקהלת מורן </t>
  </si>
  <si>
    <t>מתנ"ס מעלה אדומים</t>
  </si>
  <si>
    <t>מעלה אדומים</t>
  </si>
  <si>
    <t>מרכז קהילתי גשר- אגודה לתרבות וחינוך</t>
  </si>
  <si>
    <t>חוג העמקים- תיאטרון העמקים</t>
  </si>
  <si>
    <t>גלבוע</t>
  </si>
  <si>
    <t>איל"ן- איגוד ישראלי לילדים נפגעים</t>
  </si>
  <si>
    <t>המרכז לתיאטרון של עכו</t>
  </si>
  <si>
    <t>אור חיה - מכללה תורנית</t>
  </si>
  <si>
    <t>מתנ"ס ראש העין- מפעל להנצחת הגב' לאה פורת</t>
  </si>
  <si>
    <t>עמותת תואר</t>
  </si>
  <si>
    <t xml:space="preserve">שיל"ת - עמותה לקידום התיאטרון, התרבות והמצוינות בנגב </t>
  </si>
  <si>
    <t>הורה ירושלים</t>
  </si>
  <si>
    <t>מתנ"ס נוה יוסף בחיפה - בי"ס ולהקת מחול של הקהילה האתיופית</t>
  </si>
  <si>
    <t>מתנ"ס טירת כרמל ע"ש פרסט - חבורת זמר "גוונים"</t>
  </si>
  <si>
    <t>טירת כרמל</t>
  </si>
  <si>
    <t>מתנ"ס אור עקיבא - להקת 'שוקולד'</t>
  </si>
  <si>
    <t>אור עקיבא</t>
  </si>
  <si>
    <t>שלום 2000 אשדוד- פעילות שוטפת</t>
  </si>
  <si>
    <t>אגודת ישיבת קרלין סטולין בית אהרון - פסטיבל המוסיקה הבינ"ל</t>
  </si>
  <si>
    <t>היכלי ענג- ארגון נשות גור</t>
  </si>
  <si>
    <t>המכללה האקדמית ספיר</t>
  </si>
  <si>
    <t>שער נגב</t>
  </si>
  <si>
    <t>חבצלת" מוסדות תרבות וחינוך - מקהלת הקיבוץ הארצי</t>
  </si>
  <si>
    <t>מתנ"ס רוממה בירושלים</t>
  </si>
  <si>
    <t>החוג לאופרה קלה בנגב</t>
  </si>
  <si>
    <t>המקהלה הקאמרית של טבעון</t>
  </si>
  <si>
    <t>טבעון</t>
  </si>
  <si>
    <t>שומרון</t>
  </si>
  <si>
    <t>תזמורת חובבי המוסיקה ירושלים</t>
  </si>
  <si>
    <t>מרכז תרבות וספורט כרמיאל</t>
  </si>
  <si>
    <t>אנסמבל קולות נשים נעמה</t>
  </si>
  <si>
    <t>מרכז תרבות, נוער וספורט רמת נגב</t>
  </si>
  <si>
    <t>מרכז קהילתי אזורי גוש עציון</t>
  </si>
  <si>
    <t>המינהל הקהילתי פסגת זאב</t>
  </si>
  <si>
    <t>הוד השרון</t>
  </si>
  <si>
    <t>אשכולות יואב</t>
  </si>
  <si>
    <t>ראם</t>
  </si>
  <si>
    <t>העמותה לקידום התיאטרון  בבית שאן</t>
  </si>
  <si>
    <t>חברת מוסדות חנוך ותרבות באילת</t>
  </si>
  <si>
    <t>מינהל קהילתי רמות אלון</t>
  </si>
  <si>
    <t>החברה העירונית לתרבות, ספורט ומרכזי אשדוד</t>
  </si>
  <si>
    <t>שח"ם, ארגון השחקנים בישראל</t>
  </si>
  <si>
    <t>הללו- בי"ס למחול בניגון יהודי</t>
  </si>
  <si>
    <t>רשת מתנ"סים קרית טבעון- תיאטרון דרמה</t>
  </si>
  <si>
    <t xml:space="preserve">קרית טבעון </t>
  </si>
  <si>
    <t>עמותת היכל התרבות העירוני - נתניה</t>
  </si>
  <si>
    <t>חברה למרכזים קהילתיים בעכו בע"מ (חל</t>
  </si>
  <si>
    <t>מודיעין עילית</t>
  </si>
  <si>
    <t>כנפיים "כי באומנות אין מוגבלות" (ע"</t>
  </si>
  <si>
    <t>מינהל קהילתי - רמת שלמה ירושלים (ע"</t>
  </si>
  <si>
    <t>אביבים, המכון למוסיקה יהודית (ע"ר)</t>
  </si>
  <si>
    <t>ביתר עילית</t>
  </si>
  <si>
    <t>יסודות לצמיחה דרור (ע"ר)</t>
  </si>
  <si>
    <t>עיריית באר שבע (להקת מחול , להקה קולית)</t>
  </si>
  <si>
    <t>עיריית טבריה- המח' לתרבות ואמנות</t>
  </si>
  <si>
    <t>עיריית ת"א - יפו- המרכז הגאה</t>
  </si>
  <si>
    <t xml:space="preserve">עיריית אריאל- חבורת זמר </t>
  </si>
  <si>
    <t>אריאל</t>
  </si>
  <si>
    <t>עירית ביתר עילית - סדנאות אמנות לכלל המשפחה+ מקהלת נשים+ פסטיבל כליזמרים</t>
  </si>
  <si>
    <t>מ.א. עמק יזרעאל- חבורת הזמר, תיאטרון ומחול</t>
  </si>
  <si>
    <t>עמק יזעאל</t>
  </si>
  <si>
    <t>מ.א. עמק הירדן- עבור לימודים למדריכים בתחום אמנויות+ הפקות זמר עברי</t>
  </si>
  <si>
    <t>מ.א. הגליל העליון- מקהלת הגליל העליון+ מקהלה "צליל"+ להקת חובבים</t>
  </si>
  <si>
    <t>מ.א. אשכול- מקהלת אשכול+ תיאטרונים קהילתיים</t>
  </si>
  <si>
    <t>אשכול</t>
  </si>
  <si>
    <t>מ.א. מטה יהודה- מרכז ללהקות אתניות</t>
  </si>
  <si>
    <t>מטה יהודה</t>
  </si>
  <si>
    <t>עיריית בית שמש- להקות זמר, מחול ותיאטרון</t>
  </si>
  <si>
    <t>בית שמש</t>
  </si>
  <si>
    <t>עיריית מודיעין עלית- חוגי אמנות+ תיאטרון קהילתי+ פסטיבל + ערבי חזנות</t>
  </si>
  <si>
    <t>מ.א. עמק המעיינות- חבורות זמר ותיאטרון</t>
  </si>
  <si>
    <t>עמק המעיינות</t>
  </si>
  <si>
    <t>עיריית קרית ים- להקת הזמר ולהקת פולקלור קווקזי</t>
  </si>
  <si>
    <t>קרית ים</t>
  </si>
  <si>
    <t>עיריית קרית שמונה- להקות מחול יצוגיות</t>
  </si>
  <si>
    <t>מ.א. שומרון- להקת מוסיקה</t>
  </si>
  <si>
    <t>מ.א. מגידו - להקת מחול תימנית, מקהלה והרכב כלי פריטה</t>
  </si>
  <si>
    <t>מ.א. ערבות הירדן - להקת מחול, תיאטרון וחבורת זמר</t>
  </si>
  <si>
    <t>עירית נהריה - מקהלה ווקאלית, הרכב ביג באנד</t>
  </si>
  <si>
    <t>עיריית ערד- מקהלה, קבוצת תיאטרון ומחול</t>
  </si>
  <si>
    <t>מ.א. הגלבוע- להקת האירוסים+ להקת חובבים</t>
  </si>
  <si>
    <t>מ.א. זבולון- חבורת זמר "יגור"</t>
  </si>
  <si>
    <t>זבולון</t>
  </si>
  <si>
    <t>עיריית חדרה- להקות חובבים+ פרויקט קולנוע</t>
  </si>
  <si>
    <t>עיריית קרית מלאכי- להקת זמר ייצוגית+להקות חובבים, מחול, תיאטרון קהילתי</t>
  </si>
  <si>
    <t>קרית מלאכי</t>
  </si>
  <si>
    <t>עיריית מעלות תרשיחא- להקות מחול</t>
  </si>
  <si>
    <t>מ.מ. חצור הגלילית- תיאטרון קהילתי+ להקת מחול+ להקת חובבים</t>
  </si>
  <si>
    <t>חצור הגלילית</t>
  </si>
  <si>
    <t xml:space="preserve">מ.א. מרום הגליל-חב' זמר+ להקת נוער </t>
  </si>
  <si>
    <t>מרום הגליל</t>
  </si>
  <si>
    <t>עיריית ראש העין- מזמורי תימן</t>
  </si>
  <si>
    <t>מ.א. אלונה - חבורת הזמר 'מבוגרי אלונה'</t>
  </si>
  <si>
    <t>אלונה</t>
  </si>
  <si>
    <t xml:space="preserve">מ.מ. אלקנה - חבורת זמר </t>
  </si>
  <si>
    <t>אלקנה</t>
  </si>
  <si>
    <t>מ.מ. אפרתה - חבורת זמר</t>
  </si>
  <si>
    <t>אפרת</t>
  </si>
  <si>
    <t>אלפי מנשה</t>
  </si>
  <si>
    <t>מ.א. נחל שורק- תזמורת נוער+ תיאטרון נשים</t>
  </si>
  <si>
    <t>נחל שורק</t>
  </si>
  <si>
    <t>מ.א. חוף אשקלון- להקת מחול ולהקת זמר</t>
  </si>
  <si>
    <t>חוף אשקלון</t>
  </si>
  <si>
    <t>עיריית קרית ביאליק- להקת "צעירי ביאליק"</t>
  </si>
  <si>
    <t>עירית כרמיאל- מקהלת נופר</t>
  </si>
  <si>
    <t>עירית קרית גת- חבורות זמר</t>
  </si>
  <si>
    <t>קרית גת</t>
  </si>
  <si>
    <t>מ.מ. קצרין- חבורת זמר ולהקת מחול ייצוגית</t>
  </si>
  <si>
    <t>מ.מ. מטולה- תיאטרון קהילתי, מקהלה, חבורת זמר, להקת רוק</t>
  </si>
  <si>
    <t>500270004</t>
  </si>
  <si>
    <t>לוד</t>
  </si>
  <si>
    <t>מ.א. חבל אילות- תיאטרון קהילתי</t>
  </si>
  <si>
    <t>מ.א. הערבה התיכונה- מקהלה ערבה</t>
  </si>
  <si>
    <t>עיריית קרית אתא- חבורות זמר ומחול</t>
  </si>
  <si>
    <t>קרית אתא</t>
  </si>
  <si>
    <t>עירית אשקלון- להקות חובבים</t>
  </si>
  <si>
    <t>עירית קרית מוצקין- להקת מחול</t>
  </si>
  <si>
    <t>קרית מוצקין</t>
  </si>
  <si>
    <t>עירית רמלה- תיאטרון, מחול ולהקות זמר</t>
  </si>
  <si>
    <t xml:space="preserve">מ.א. משגב- להקות </t>
  </si>
  <si>
    <t>מ.מ. באר יעקב</t>
  </si>
  <si>
    <t>באר יעקב</t>
  </si>
  <si>
    <t>מ.מ. קדומים- תזמורת כלי נשיפה</t>
  </si>
  <si>
    <t>מ.מ. בית אל- מקהלה</t>
  </si>
  <si>
    <t>עיריית צפת- היכל תרבות בית יגאל אלון</t>
  </si>
  <si>
    <t>תקנת תרבות בקהילה 42-02-31</t>
  </si>
  <si>
    <t>שח"ם - איגוד שחקני מסך - סדנאות בפריפריה 'משחק חוצה ישראל'</t>
  </si>
  <si>
    <t>שיל"ת - עמותה לקידום התיאטרון, התרבות והמצוינות בנגב - הפקת הצגת תיאטרון</t>
  </si>
  <si>
    <r>
      <rPr>
        <b/>
        <sz val="10"/>
        <rFont val="Arial"/>
        <family val="2"/>
      </rPr>
      <t>ב-14: מוקפא סכום של 28,212 ₪.</t>
    </r>
    <r>
      <rPr>
        <sz val="10"/>
        <rFont val="Arial"/>
        <family val="2"/>
      </rPr>
      <t xml:space="preserve">
</t>
    </r>
  </si>
  <si>
    <t xml:space="preserve"> להקת המחול הקיבוצית-נותנים במה 2014</t>
  </si>
  <si>
    <t>ב-14: מוקפא סכום של 25,460</t>
  </si>
  <si>
    <t>עירית באר שבע - להקות המחול העירוניות הורה פרגוד</t>
  </si>
  <si>
    <t>המכללה האקדמית ספיר - הסמכת מדריכי אמנות</t>
  </si>
  <si>
    <t>מכללה לפיתוח ההשכלה בגליל (צפת) -הכשרת מדריכי אמנות</t>
  </si>
  <si>
    <t>העמותה שליד  בית הספר  ללימודי צילום, מוסררה - הכשרת מדריכים</t>
  </si>
  <si>
    <t>מרכז קהילתי בשלומי עש גרין בעמ- תיאטרון קהילתי</t>
  </si>
  <si>
    <t>כנפיים "כי באומנות אין מוגבלות" - תיאטרון</t>
  </si>
  <si>
    <t xml:space="preserve">מ.א באר יעקב -מפעל הפרס ע"ש לאה פורת גור </t>
  </si>
  <si>
    <t>עירית תל-אביב-יפו - המרכז הגאה - שבוע הגאווה</t>
  </si>
  <si>
    <t xml:space="preserve">מרכז תרבות בירוחם ע"ש סמואל רובין- תיאטרון קהילתי לנוער בוגר ומבוגרים </t>
  </si>
  <si>
    <t>חברת מוסדות חנוך ותרבות בחיפה מיסוד - פסטיבל נווה יוסף לתיאטרון קהילתי</t>
  </si>
  <si>
    <t>חברת מוסדות חנוך ותרבות בחיפה מיסוד - להקת ביתא</t>
  </si>
  <si>
    <t>(מיל"ה) מרכז ישראלי למקהלות וחבורות זמר - כנסי מקהלות ארציים</t>
  </si>
  <si>
    <t>חב' מוסדות חינוך-מתנ"ס שדרות - מרכז אתני 'צהלולים'</t>
  </si>
  <si>
    <t>חברת מוסדות חנוך תרבות בשדרות מיסוד- חבורת הזמר "מיתרים שדרות"</t>
  </si>
  <si>
    <t>מכוני השכלה תרבות ואמנות תל-חי - הכשרת מדריכים לאמנות</t>
  </si>
  <si>
    <t xml:space="preserve">מרכז קהילתי בדימונה ע"ש חטיבת הנשים - סדנאות תיאטרון </t>
  </si>
  <si>
    <t>מרחבים - חברה לחינוך ותרבות - מקהלת האיחוד</t>
  </si>
  <si>
    <t>סל"ה - סטודיו לאמנויות התיאטרון מיסודו של יורם לוינשטיין - תיאטרון בקהילה</t>
  </si>
  <si>
    <t xml:space="preserve">מקהלת אורטוריו ירושלים </t>
  </si>
  <si>
    <t>תיאטרון פסיק - תיאטרון לאוכלוסיות מיוחדות</t>
  </si>
  <si>
    <t>תיאטרון פסיק - קבוצות חובבים בתיאטרון</t>
  </si>
  <si>
    <t xml:space="preserve">מכללה אזורית כנרת ע"ש אלפרין בעמק הירדן - מסלול הכשרת מדריכי אמנות </t>
  </si>
  <si>
    <t>מתנ"ס בשלומי ע"ש גרין בע"מ - אמנות סביבתית</t>
  </si>
  <si>
    <t>מתנ"ס ירוחם ע"ש סמואל - להקות מחול ייצוגיות</t>
  </si>
  <si>
    <t>מתנ"ס ירוחם ע"ש סמואל - להקה הודית קלאסית 'צלילי ראג'</t>
  </si>
  <si>
    <t>עירית קרית שמונה - להקת מחול יצוגית</t>
  </si>
  <si>
    <t>מ.א. מרום גליל - חב' זמר 'מרום הגליל'</t>
  </si>
  <si>
    <t>עירית באר שבע - להקות הזמר "סגנון אחר" ו"קולות הנגב"</t>
  </si>
  <si>
    <t xml:space="preserve">עירית קרית גת - תמיכה בשלוש מקהלות 'שלום' </t>
  </si>
  <si>
    <t>עירית קרית גת - חבורת זמר 'שרים בגת' ולהקת 'דור המשך'</t>
  </si>
  <si>
    <t>מרכז תרבות אזורי רמת הגולן - תיאטרון קהילתי</t>
  </si>
  <si>
    <t>מרכז תרבות אזורי רמת הגולן - חבורת זמר מבוגרים 'קול ברמה'</t>
  </si>
  <si>
    <t>מרכז תרבות אזורי רמת הגולן - להקות מחול: 'בני יהודה' ו'שלוחת חיספין'</t>
  </si>
  <si>
    <t xml:space="preserve">מתנ"ס מצפה רמון ע"ש ס. רובין בע"מ -להקת מחול </t>
  </si>
  <si>
    <t>מ.א עמק יזרעאל -תמרתרון</t>
  </si>
  <si>
    <t>מתנ"ס נווה יעקב - להקת מחול אתיופית "נצנת"</t>
  </si>
  <si>
    <t>עירית קרית ביאליק - להקת 'צעירי ביאליק'</t>
  </si>
  <si>
    <t>מ.א. הגליל העליון - מקהלת "צליל"</t>
  </si>
  <si>
    <t>מתנ"ס נצרת עילית - תיאטרון נוער</t>
  </si>
  <si>
    <t xml:space="preserve"> תזמורת נתניה הקאמרית הקיבוצית -תרבות בקהילה</t>
  </si>
  <si>
    <t xml:space="preserve">בית יגאל אלון - אתר הנצחה - "מפגש אביב" </t>
  </si>
  <si>
    <t>מתנ"ס יבנה  - חבורות הזמר 'רמות' ו'האלון'</t>
  </si>
  <si>
    <t>מתנ"ס יבנה  - קבוצת תיאטרון</t>
  </si>
  <si>
    <t>מתנ"ס מצפה רמון ע"ש ס. רובין בע"מ - להקות נוער בסיכון</t>
  </si>
  <si>
    <t>מתנ"ס בשלומי ע"ש גרין בע"מ - להקות המתנ"ס "צעירי שלומי"</t>
  </si>
  <si>
    <t>מתנ"ס אור עקיבא - להקת מחול 'שוקולד' ומרכז מוסיקה</t>
  </si>
  <si>
    <t>הורה ירושלים - חידוש ושימור רפרטואר הלהקות הייצוגיות</t>
  </si>
  <si>
    <t>מינהל קהילתי רמות אלון - מקהלת עולים</t>
  </si>
  <si>
    <t>מתנ"ס מטה אשר - מקהלה וחב' זמר</t>
  </si>
  <si>
    <t>מתנ"ס מטה אשר - מרכז אמנויות - חוגי אמנות והעשרה</t>
  </si>
  <si>
    <t>רשת המרכזים הקהילתיים בנתיבות - תיאטרון קהילתי</t>
  </si>
  <si>
    <t>רשת המרכזים הקהילתיים בנתיבות - להקת "קצת אחרת"</t>
  </si>
  <si>
    <t>רשת המרכזים הקהילתיים בנתיבות - חבורת זמר נתווים</t>
  </si>
  <si>
    <t>רשת המרכזים הקהילתיים בנתיבות - להקת מחול  "כוכב עולה"</t>
  </si>
  <si>
    <t>מתנ"ס טירת כרמל ע"ש פרסט - להקת ביגבנד</t>
  </si>
  <si>
    <t xml:space="preserve">מתנ"ס טירת כרמל ע"ש פרסט - פסטיבל חבורות זמר </t>
  </si>
  <si>
    <t>מתנ"ס טירת כרמל ע"ש פרסט - להקת מחול בקהילה</t>
  </si>
  <si>
    <t>מתנ"ס נצרת עילית  - להקות מחול עירוניות "האירוס הנצרתי"</t>
  </si>
  <si>
    <t>מתנ"ס נצרת עילית - חבורת זמר 'הרוח הטובה'</t>
  </si>
  <si>
    <t>מתנ"ס נצרת עילית -חבורת זמר צליל בהר</t>
  </si>
  <si>
    <t>מתנ"ס נצרת עילית - תזמורת 'מיתרי הגליל'</t>
  </si>
  <si>
    <t>מתנ"ס נצרת עילית - מקהלת ענבל</t>
  </si>
  <si>
    <t>מתנ"ס ראש העין - להקת מחול "לה פראזה"</t>
  </si>
  <si>
    <t>מתנ"ס ראש העין - תיאטרון הספסל</t>
  </si>
  <si>
    <t>החב' העירונית לתרבות, ספורט ומרכזים קהילתיים  באשדוד - תיאט' רחוב 'ברמוזה'</t>
  </si>
  <si>
    <t>החב' העירונית לתרבות, ספורט ומרכזים קהילתיים  באשדוד - להקת מחול 'אביבים'</t>
  </si>
  <si>
    <t>החב' העירונית לתרבות, ספורט ומרכזים קהילתיים  באשדוד - חב' זמר: 'ציפורי שיר' ו'איזמוט'</t>
  </si>
  <si>
    <t>מרכז קהילתי  גשר-אגודה לתרבות וחינוך - מקהלת גשר</t>
  </si>
  <si>
    <t>שק"ל - שרותים קהילתיים לבעלי צרכים מיוחדים - להקות חובבים</t>
  </si>
  <si>
    <t>החוג לאופרה קלה בנגב - הפקת מחזמר באנגלית</t>
  </si>
  <si>
    <t>מרכז תרבות אזורי רמת הגולן - סדנאות יצירה ופיסול בחומר</t>
  </si>
  <si>
    <t>המרכז לתיאטרון  של עכו - הפקת נשים דתיות</t>
  </si>
  <si>
    <t>ארנון - עמותה לחינוך אמנות תרבות וספורט-שער הנגב - להקת מחול "הורה שמש"</t>
  </si>
  <si>
    <t>ארנון - עמותה לחינוך אמנות תרבות וספורט-שער הנגב - תיאטרון נשים</t>
  </si>
  <si>
    <t>ארנון - עמותה לחינוך אמנות תרבות וספורט-שער הנגב - להקת קולות חמים</t>
  </si>
  <si>
    <t>אנסמבל ישראלי לכלי פריטה שפיה - אנסמבל קאמרי לכלי פריטה</t>
  </si>
  <si>
    <t>עמותה לקדום ופתוח מקהלת מורן-בית יצחק - שירה ייחודית עם אוכלוסיות מיוחדות</t>
  </si>
  <si>
    <t>המינהל הקהילתי פסגת זאב- להקות מחול "מוזה"</t>
  </si>
  <si>
    <t>חוג העמקים - תיאטרון העמקים</t>
  </si>
  <si>
    <t>חוג העמקים - מקהלת העמקים-גלבוע</t>
  </si>
  <si>
    <t>תזמורת חובבי המוסיקה-תזמורת חובבים</t>
  </si>
  <si>
    <t xml:space="preserve">העמותה לקדום התיאטרון בבית שאן - קבוצות תיאטרון </t>
  </si>
  <si>
    <t>מ.מ. מטולה  - חב' זמר מטולה (אתי פטיש)</t>
  </si>
  <si>
    <t xml:space="preserve">מ.א. מטה יהודה - מרכז ללהקות מחול אתניות </t>
  </si>
  <si>
    <t>מ.א. הגליל העליון - חבורת זמר מציצים מהאצבע</t>
  </si>
  <si>
    <t>מ.א. מרום גליל - תיאטרון קהילתי</t>
  </si>
  <si>
    <t>מ.א. מרום גליל - להקת נוער אזורית</t>
  </si>
  <si>
    <t>מ.א. הגליל התחתון - חבורת זמר "גליל תחתון"</t>
  </si>
  <si>
    <t>מ.א. עמק המעיינות - חבורות זמר 'שדות שבעמק'</t>
  </si>
  <si>
    <t>מ.א.עמק המעיינות - חבורות זמר ותיאטרון בישובים</t>
  </si>
  <si>
    <t>מ.א עמק יזרעאל -להקת מחול 'אלון יזרעאל'</t>
  </si>
  <si>
    <t>מ.א עמק יזרעאל - מקהלת 'פינה בעמק'</t>
  </si>
  <si>
    <t>מ.א עמק יזרעאל - תיאטרון המלה</t>
  </si>
  <si>
    <t>מ.א. מגידו - להקת מחול תימנית</t>
  </si>
  <si>
    <t>מ.א. מגידו - הרכב כלי פריטה 'הר ועמק'</t>
  </si>
  <si>
    <t>מ.א. מגידו - פותחים במה סדרת מופעי זמר 'שיר ליל שבת'</t>
  </si>
  <si>
    <t>עירית קרית גת - תמיכה בשלוש מקהלת 'גיל נשמחה'</t>
  </si>
  <si>
    <t xml:space="preserve">עירית קרית גת - תמיכה בשלוש מקהלת 'המזרח' </t>
  </si>
  <si>
    <t>מ.א. זבולון - חבורת זמר נופית</t>
  </si>
  <si>
    <t>מ.א. זבולון - חבורת זמר 'יגור'</t>
  </si>
  <si>
    <t>מ.מ בית אל- מקהלת סולמות</t>
  </si>
  <si>
    <t>מ.מ. אפרתה - להקת מחול נשים</t>
  </si>
  <si>
    <t>עירית ת"א יפו - המרכז הגאה - תיאטרון קהילתי לקשישים</t>
  </si>
  <si>
    <t>עירית ת"א יפו - המרכז הגאה - להקת הנוער הגאה</t>
  </si>
  <si>
    <t>עירית ת"א יפו - המרכז הגאה - קונצרט המקהלה הגאה</t>
  </si>
  <si>
    <t>מ.א. חוף אשקלון - להקת זמר 'צליל החוף'</t>
  </si>
  <si>
    <t>מ.א. חוף אשקלון - להקת מחול 'החוף'</t>
  </si>
  <si>
    <t>מ.א. אשכול - להקת מחול 'הורה איה'</t>
  </si>
  <si>
    <t>מ.א. אשכול - מקהלת אשכול</t>
  </si>
  <si>
    <t>מ.א שדות נגב- חבורת הזמר</t>
  </si>
  <si>
    <t>מ.א. חבל אילות - תיאטרון קהילתי</t>
  </si>
  <si>
    <t>עירית חדרה - להקות חובבים 'צבעי מחול'</t>
  </si>
  <si>
    <t>עירית קרית אתא - להקות מחול 'רקפת' ו'גוונים'</t>
  </si>
  <si>
    <t>עירית קרית אתא - חבורת זמר 'קולות'</t>
  </si>
  <si>
    <t>עירית קרית אתא - חבורת זמר 'אתנחתא'</t>
  </si>
  <si>
    <t>מ.א. שומרון - להקות שומרון</t>
  </si>
  <si>
    <t>עירית רמלה - להקות מחול: 'כנען', 'גרוזינים' ו'אמהות'</t>
  </si>
  <si>
    <t>עירית רמלה - תיאטרון נוער</t>
  </si>
  <si>
    <t>עירית רמלה - להקת זמר 'רמנוער'</t>
  </si>
  <si>
    <t>מ.מ. קצרין - להקת מחול יצוגית</t>
  </si>
  <si>
    <t>מ.מ. קצרין - חבורת זמר</t>
  </si>
  <si>
    <t>מ.מ. קצרין - תיאטרון קהילתי למבוגרים</t>
  </si>
  <si>
    <t>מתנ"ס ירוחם ע"ש סמואל - מוסיקה ואמנות</t>
  </si>
  <si>
    <t>מתנ"ס ירוחם ע"ש סמואל - להקת נוער / רוק</t>
  </si>
  <si>
    <t>עירית קרית מלאכי - להקת מחול 'תזוזה'</t>
  </si>
  <si>
    <t>עירית קרית מלאכי - להקת זמר 'דור שני'</t>
  </si>
  <si>
    <t xml:space="preserve">עירית קרית מלאכי - להקת זמר אתנית אתיופית </t>
  </si>
  <si>
    <t>עירית קרית מלאכי - תיאטרון קהילתי לבוגרים</t>
  </si>
  <si>
    <t>עירית קרית מלאכי - להקת זמר 'קול הזמן'</t>
  </si>
  <si>
    <t>עירית מעלות תרשיחא - תזמורת עירונית</t>
  </si>
  <si>
    <t>עירית מעלות תרשיחא -תיאטרון קהילתי</t>
  </si>
  <si>
    <t>עירית מעלות תרשיחא - להקות מעלות</t>
  </si>
  <si>
    <t>אשכולות יואב - מקהלת יואב</t>
  </si>
  <si>
    <t>מ.א. עמק הירדן - תזמורת נוער "מוסיקל"</t>
  </si>
  <si>
    <t>מ.א. עמק הירדן - מקהלת עמק הירדן</t>
  </si>
  <si>
    <t>מ.א. עמק הירדן - חבורת זמר "קולות ירדן"</t>
  </si>
  <si>
    <t>מבטאים - בית היוצר למגמה המגשימה - להקת חובבים</t>
  </si>
  <si>
    <t>מ.א משגב-קולות משגב</t>
  </si>
  <si>
    <t>מ.א משגב- להקה יצוגית משגב</t>
  </si>
  <si>
    <t>מקהלת שבא</t>
  </si>
  <si>
    <t>תמרה מיאלניק - להקת מחול נשים דתיות</t>
  </si>
  <si>
    <t>מ.מ. חצור הגלילית - חב' זמר</t>
  </si>
  <si>
    <t>מ.מ. חצור הגלילית - להקות מחול</t>
  </si>
  <si>
    <t>מ.מ. חצור הגלילית - תיאטרון קהילתי</t>
  </si>
  <si>
    <t>מרכז קהילתי בית שאן  - תיאטרון ילדים</t>
  </si>
  <si>
    <t>מרכז קהילתי בית שאן  - הרכב קונצרטי בית שאן</t>
  </si>
  <si>
    <t>מרכז קהילתי בית שאן  - מחול וג'אז</t>
  </si>
  <si>
    <t>מרכז קהילתי בית שאן  - להקת זמר "צלילי בית שאן"</t>
  </si>
  <si>
    <t>אקים ישראל - אמנויות הבמה 'התיאטרון האחר'</t>
  </si>
  <si>
    <t>עירית ערד -מקהלת ערד</t>
  </si>
  <si>
    <t>עירית ערד - קבוצת תיאטרון ערד</t>
  </si>
  <si>
    <t>עירית ערד - להקת מחול</t>
  </si>
  <si>
    <t>מתנ"ס כרמיאל - להקות המחול העירוניות 'כרמי מחול'</t>
  </si>
  <si>
    <t>מתנ"ס כרמיאל - להקת המחול מודרני בלט</t>
  </si>
  <si>
    <t>עירית נהריה - מקהלה ווקאלית</t>
  </si>
  <si>
    <t>מ.א. הערבה התיכונה - מקהלת הערבה</t>
  </si>
  <si>
    <t>חב' מוסדות חינוך-מתנ"ס שדרות -  להקת מחול יצוגית</t>
  </si>
  <si>
    <t xml:space="preserve">חב' מוסדות חינוך-מתנ"ס שדרות -  תיאטרון קהילתי </t>
  </si>
  <si>
    <t>חב' מוסדות חינוך-מתנ"ס שדרות -  להקת צעירי שדרות</t>
  </si>
  <si>
    <t>עירית בית שמש - להקת "בין השמשות"</t>
  </si>
  <si>
    <t>עירית קרית ים - אומן בקהילה</t>
  </si>
  <si>
    <t>עירית קרית ים - חבורות זמר ייצוגיות</t>
  </si>
  <si>
    <t>עירית קרית ים - להקת 'שלום' פולקלור קווקזי</t>
  </si>
  <si>
    <t>מ.א. ערבות הירדן - חבורת זמר מבוגרים 'רוח מדבר'</t>
  </si>
  <si>
    <t>מ.א. ערבות הירדן - תיאטרון חובבים</t>
  </si>
  <si>
    <t>האופרה הישראלית ת"א - אופרה בקהילה</t>
  </si>
  <si>
    <t>מתנ"ס דימונה -  רקודי עם ישראליים</t>
  </si>
  <si>
    <t>מתנ"ס דימונה - אורות המחול - פסטיבל תחרויות</t>
  </si>
  <si>
    <t>מתנ"ס דימונה -  סדנאות יצירה ואמנות</t>
  </si>
  <si>
    <t>מתנ"ס דימונה -  להקת נוער מוסיקלי</t>
  </si>
  <si>
    <t>מתנ"ס דימונה -  מקהלת דימונה</t>
  </si>
  <si>
    <t>מתנ"ס רמת נגב - להקת מחול</t>
  </si>
  <si>
    <t>מתנ"ס רמת נגב - חבורת זמר</t>
  </si>
  <si>
    <t>מתנ"ס רמת נגב -תזמורת מבוגרים פתחת ניצנה</t>
  </si>
  <si>
    <t>מתנ"ס קריית טבעון-תיאטרון דרמה קהילתי</t>
  </si>
  <si>
    <t>מ.א. הגלבוע - להקת חובבים 'רם און'</t>
  </si>
  <si>
    <t>מ.א. הגלבוע - מקהלת האירוסים</t>
  </si>
  <si>
    <t>מתנ"ס מעלה אדומים - חבורת זמר "פרח במדבר"</t>
  </si>
  <si>
    <t>מתנ"ס מעלה אדומים - חב' זמר לנוער "הקול שלנו"</t>
  </si>
  <si>
    <t>מתנ"ס מעלה אדומים - להקת מחול "במדבר"</t>
  </si>
  <si>
    <t>מתנ"ס מעלה אדומים - תיאטרון קהילתי</t>
  </si>
  <si>
    <t>א-קפלה אנסמבל קולי ירושלמי - פעילות שוטפת</t>
  </si>
  <si>
    <t>החברה למרכזים קהילתיים בצפת-מקהלת חובבנים רונו</t>
  </si>
  <si>
    <t>המרכז למוסיקה ע"ש פליציה בלום-מקהלת קולות השדה</t>
  </si>
  <si>
    <t>עירית כרמיאל - הקונסרבטוריון (העירוני)  - מקהלת נופר</t>
  </si>
  <si>
    <t>מ.א. הגליל העליון - מקהלה קלאסית 'גליל עליון'</t>
  </si>
  <si>
    <t>מ.א. מגידו - מקהלת מגידו</t>
  </si>
  <si>
    <t>עירית ראש העין - מזמורי תימן</t>
  </si>
  <si>
    <t>מתנ"ס אופקים - מקהלת "אנחנו כאן" ו-"אופקים חדשים"(חבורת זמר)</t>
  </si>
  <si>
    <t xml:space="preserve">מתנ"ס אופקים - הרכבים מוסיקליים </t>
  </si>
  <si>
    <t>מתנ"ס אופקים -להקות מחול ייצוגיות</t>
  </si>
  <si>
    <t xml:space="preserve">מתנ"ס אופקים - תיאטרון קהילתי </t>
  </si>
  <si>
    <t xml:space="preserve">מועדון הספורט באוניברסיטת ת"א - הכשרת מדריכים לרקודי עם </t>
  </si>
  <si>
    <t>מ.מ. קרית עקרון- להקת הזמר</t>
  </si>
  <si>
    <t>חברה למכזים קהילתיים בעכו-תיאטרון קהילתי</t>
  </si>
  <si>
    <t>אור חיה - מכללה תורנית - חב' זמר 'אור חיה'</t>
  </si>
  <si>
    <t>היכלי ענג - ארגון נשות גור - הפקות תיאטרון</t>
  </si>
  <si>
    <t>מינהל קהילתי רמת שלמה- להקת מחול גלגלים</t>
  </si>
  <si>
    <t>מתנ"ס גוש עציון - מקהלת מבוגרים</t>
  </si>
  <si>
    <t>מחניים- מקהלת עולים</t>
  </si>
  <si>
    <t>עמותת פסטיבל בשקל -העשרה מוסיקלית ללהקות חובבים במעלות</t>
  </si>
  <si>
    <t>מ.מ. להבים - חבורת זמר 'ענבלים'</t>
  </si>
  <si>
    <t>עמותת היכל התרבות נתניה - להקות המחול "חבצלות"</t>
  </si>
  <si>
    <t>קונסרבטוריון רון שולמית לקידום מחול ומוסיקה ירושלים - תז' מיתרים 'זמורה'</t>
  </si>
  <si>
    <t>קונסרבטוריון רון שולמית לקידום מחול ומוסיקה ירושלים- תזמורת אקורדיונים</t>
  </si>
  <si>
    <t>קונסרבטוריון רון שולמית לקידום מחול ומוסיקה ירושלים - תז' כלי נשיפה</t>
  </si>
  <si>
    <t>קונסרבטוריון רון שולמית לקידום מחול ומוסיקה ירושלים - תז' כלי פריטה</t>
  </si>
  <si>
    <t>קונסרבטוריון רון שולמית לקידום מחול ומוסיקה ירושלים - תז' הקונסרבטוריון</t>
  </si>
  <si>
    <t>קונסרבטוריון רון שולמית לקידום מחול ומוסיקה ירושלים - הכשרת בלט קלאסי</t>
  </si>
  <si>
    <t>עמותת הכוריאוגרפים - 'כל עצמותי תאמרנה'</t>
  </si>
  <si>
    <t>עמותת הכוריאוגרפים - להקת מחול 'נגה' לנשים דתיות (שרונה פלורסהיים)</t>
  </si>
  <si>
    <t>חברת מוסדות חינוך ותרבות באילת - להקת 'רונדו'</t>
  </si>
  <si>
    <t>חברת מוסדות חינוך ותרבות באילת - תיאטרון קהילתי</t>
  </si>
  <si>
    <t>אביבים המכון למוסיקה יהודית-אנסמבלים ביה"ס אביבים-תזמורת</t>
  </si>
  <si>
    <t>אביבים המכון למוסיקה יהודית-אנסמבלים ביה"ס אביבים-תזמורת כליזמר</t>
  </si>
  <si>
    <t>אביבים המכון למוסיקה יהודית-אנסמבלים ביה"ס אביבים-שוטף</t>
  </si>
  <si>
    <t>אביבים המכון למוסיקה יהודית-הרכב נבלים</t>
  </si>
  <si>
    <t>אביבים המכון למוסיקה יהודית-הרכב כינורות</t>
  </si>
  <si>
    <t>מ.מ יסוד המעלה-חבורת הזמר</t>
  </si>
  <si>
    <t>מ.א.עמק המעיינות - נותנים במה- בשיתוף סימפונט רעננה</t>
  </si>
  <si>
    <t xml:space="preserve">מרכז סוזן דלל למחול ולתיאטרון - 'נותנים במה' </t>
  </si>
  <si>
    <t>עמותת תואר - ארועי תרבות בקהילה סדנאות ציור</t>
  </si>
  <si>
    <t>נהר אפרסמון-תיאטרון פסיפס</t>
  </si>
  <si>
    <t>מתנ"ס רוממה בירושלים - מרכז אמנות 55+</t>
  </si>
  <si>
    <t>מ.ר.א.ה - מרכז אמנויות הבמה - תיאטרון קהילתי</t>
  </si>
  <si>
    <t>מתנ"ס ראש פינה - חב' זמר 'רון גליל'</t>
  </si>
  <si>
    <t>מתנ"ס ראש פינה - תזמורת מבוגרים ונוער</t>
  </si>
  <si>
    <t>הללו - בי"ס למחול בניגון יהודי - פרויקט הארה להקת מחול</t>
  </si>
  <si>
    <t>עירית מודיעין עלית - תיאטרון קהילתי</t>
  </si>
  <si>
    <t>עירית מודיעין עלית - חוגי אמנות לאוכלוסיה החרדית</t>
  </si>
  <si>
    <t>עירית מודיעין עלית - פסטיבל מוסיקה יהודית</t>
  </si>
  <si>
    <t>עירית ביתר עילית - סדנאות אמנות לכל</t>
  </si>
  <si>
    <t>עירית ביתר עילית -פסטיבל כליזמרים 'זמן שמחתנו'</t>
  </si>
  <si>
    <t>עירית ביתר עילית - הידברות מוסיקלית</t>
  </si>
  <si>
    <t>עירית ביתר עילית - מקהלת נשים "צלילים"</t>
  </si>
  <si>
    <t xml:space="preserve">מס' בקשה </t>
  </si>
  <si>
    <r>
      <t>תקנת מורשת 42-02-32</t>
    </r>
    <r>
      <rPr>
        <sz val="11"/>
        <rFont val="Guttman Yad-Brush"/>
        <charset val="177"/>
      </rPr>
      <t xml:space="preserve"> </t>
    </r>
  </si>
  <si>
    <t>מרכז תרבות דתי לנוער, נווה שאנן-חיפה - מכון לחזנות</t>
  </si>
  <si>
    <t>ביחד -תנועה רעיונית של יוצאי צ' אפריקה - מורשת עדות ישראל</t>
  </si>
  <si>
    <t>1000543118</t>
  </si>
  <si>
    <t>קונגרס יהודי בוכרה - שימור מורשת יהדות בוכרה בישראל</t>
  </si>
  <si>
    <t>הק"ם - מיסודה של הקונפדרציה העולמית של הציונות המאוחדת  - מרכז אתני</t>
  </si>
  <si>
    <t xml:space="preserve">אנחנו כאן </t>
  </si>
  <si>
    <t>אעלה בתמר - פעולות תרבות</t>
  </si>
  <si>
    <t>קרן המרכז העולמי למורשת יהודי צפון אפריקה - פעילויות תרבותיות</t>
  </si>
  <si>
    <t xml:space="preserve">האגודה לטיפוח חברה ותרבות, תיעוד ומחקר </t>
  </si>
  <si>
    <t xml:space="preserve">מרכז מורשת יהדות בבל </t>
  </si>
  <si>
    <t>התאחדות עולי מצרים ישראל -ת"א - שוטף</t>
  </si>
  <si>
    <t>מוסיקה מזרח-מערב -  מרכז אתני "בית מזרח ומערב"</t>
  </si>
  <si>
    <t>מכון ת"א לחזנות</t>
  </si>
  <si>
    <t>מקהלת החזנים הירושלמית - פעילות שוטפת</t>
  </si>
  <si>
    <t>ארקאדאש - קהילת יוצאי טורקיה בישראל - המרכז למורשת יהדות טורקיה</t>
  </si>
  <si>
    <t>עמותת אור שלום - פעילות שוטפת</t>
  </si>
  <si>
    <t>המרכז לפיוט ושירה אשדוד</t>
  </si>
  <si>
    <t xml:space="preserve">מכון הברמן למחקרי ספרות - איסוף שימור והפצת מורשת  העדות </t>
  </si>
  <si>
    <t>הארגון הארצי של יוצאי כורדיסטאן בישראל - אירועי חגים (הסיירן השנתי)</t>
  </si>
  <si>
    <t xml:space="preserve">הארגון העולמי של יהודים יוצאי לוב </t>
  </si>
  <si>
    <t>הפדרציה העולמית של יהדות מרוקו - שוטף וחגיגות המימונה המרכזיות</t>
  </si>
  <si>
    <t xml:space="preserve">מרכז לתרבות ולשימור מורשת יהדות קוצ'ין בנבטים </t>
  </si>
  <si>
    <t>1000537463</t>
  </si>
  <si>
    <t>קהילות שרות פיוט וניגון</t>
  </si>
  <si>
    <t>אורות הגליל - פעילויות תרבות</t>
  </si>
  <si>
    <t>עמותת תאטרון מחול ענבל - מחול שוטף</t>
  </si>
  <si>
    <t>עמותת תאטרון מחול ענבל  - מרכז אתני</t>
  </si>
  <si>
    <t>א.ב. חדשות השומרונים - הוצ"ל עתון א.ב. והנחלת המורשת</t>
  </si>
  <si>
    <t>בית אבי חי - שוטף</t>
  </si>
  <si>
    <t>קונסרבטוריון רון שולמית לקידום מחול ומוסיקה ירושלים - החייאת המסורת המוסיקלית היהודית</t>
  </si>
  <si>
    <t>אגודת ישיבת קרלין סטולין בית אהרון - מורשת עדות ישראל</t>
  </si>
  <si>
    <t>מכון שוקן למחקר היהדות - מחקר תולדות החינוך</t>
  </si>
  <si>
    <t>העמותה לחינוך בלתי פורמלי בנתניה - ביה"ס לחזנות ספרדית</t>
  </si>
  <si>
    <t>מכון הברמן למחקרי ספרות - מוזיאון שר ומספר מורשת</t>
  </si>
  <si>
    <t>חברת יהודי איטליה לפעולה רוחנית - מפגשים בנושא יהודי אטליה</t>
  </si>
  <si>
    <t>התאחדות יוצאי אוקראינה - חגיגות ליל קופאלה</t>
  </si>
  <si>
    <t>החברה העברית לידע עם - כתב העת "ידע העם"</t>
  </si>
  <si>
    <t>בית לייוויק - אגודת סופרי ועתונאים - אירועי מורשת תרבות יידיש בישראל</t>
  </si>
  <si>
    <t xml:space="preserve">בית גורדון - בית לטבע ולחקלאות ולידע בקעת כנרות ע"ש א.ד. גורדון - </t>
  </si>
  <si>
    <t>ישיבת חידושי הרי"מ - מרכז לאמנות הסת"ם</t>
  </si>
  <si>
    <t>העמותה להקמת המוזיאון למורשת היהדות  הדוברת הונגרית - תעוד מורשת קהילות</t>
  </si>
  <si>
    <t>ארגון בינ"ל של יהודי יוצאי קזחסטן - חגיגת הנאוריז</t>
  </si>
  <si>
    <t>ארגון בינ"ל של יהודי יוצאי קזחסטן - פרויקט "דרך המשי"</t>
  </si>
  <si>
    <t>ברית יוצאי מרוקו - ארועי תרבות</t>
  </si>
  <si>
    <t>עמותת תאטרון מחול ענבל - פתוח אמנות אתיופית</t>
  </si>
  <si>
    <t xml:space="preserve">המכון ללמודי השואה ע"ש חדוה אייבשיץ ז"ל - ערבי עיון </t>
  </si>
  <si>
    <t>המכון ללמודי השואה ע"ש חדוה אייבשיץ ז"ל - תיעוד עדויות של נצולי שואה</t>
  </si>
  <si>
    <t>עמותת סנונית לקדום החינוך המתוקשב - תיעוד, שימור והעלאת מופעי פיוט</t>
  </si>
  <si>
    <t>מס'</t>
  </si>
  <si>
    <t>עמותת תאטרון מחול "ענבל"</t>
  </si>
  <si>
    <t>מרכז מורשת יהדות בבל</t>
  </si>
  <si>
    <t>אור יהודה</t>
  </si>
  <si>
    <t>רננות - המכון למוסיקה יהודית- עבור בי"ס לחזנות + חגיגות חזנות</t>
  </si>
  <si>
    <t>מכון תל-אביב לחזנות</t>
  </si>
  <si>
    <t>אנחנו כאן- אגודה לתרבות פולקלור וחברה</t>
  </si>
  <si>
    <t>תנועת ביחד</t>
  </si>
  <si>
    <t>אעלה בתמר</t>
  </si>
  <si>
    <t>ברית יוצאי מרוקו בישראל</t>
  </si>
  <si>
    <t>מרכז לתרבות ולשימור מורשת יהדות קוצ'ין בנבטים</t>
  </si>
  <si>
    <t>מושב נבטים</t>
  </si>
  <si>
    <t>מכון הברמן למחקרי ספרות</t>
  </si>
  <si>
    <t>האגודה לטיפוח חברה ותרבות, תיעוד ומחקר</t>
  </si>
  <si>
    <t>המרכז לפיוט ושירה- אשדוד</t>
  </si>
  <si>
    <t>התאחדות עולי מצריים ישראל- תל אביב</t>
  </si>
  <si>
    <t>הפדרציה העולמית של יהדות מרוקו</t>
  </si>
  <si>
    <t>מוסיקה מזרח-מערב</t>
  </si>
  <si>
    <t>א.ב. חדשות השומרונים</t>
  </si>
  <si>
    <t>ישיבת חידושי הרי"מ</t>
  </si>
  <si>
    <t xml:space="preserve">עמותת אור שלום </t>
  </si>
  <si>
    <t xml:space="preserve">מקהלת החזנים הירושלמית </t>
  </si>
  <si>
    <t>יהוד</t>
  </si>
  <si>
    <t>אורות הגליל</t>
  </si>
  <si>
    <t>הארגון הארצי של יהודי כורדיסטאן</t>
  </si>
  <si>
    <t>בית אבי חי</t>
  </si>
  <si>
    <t xml:space="preserve">טהרות בעיון </t>
  </si>
  <si>
    <t>ישיבת הר ברכה</t>
  </si>
  <si>
    <t xml:space="preserve">אוצרות שלמה להוצאת וההדרת כתבי מרן </t>
  </si>
  <si>
    <t>ישיבת בית מאיר</t>
  </si>
  <si>
    <t>מכון הכתב</t>
  </si>
  <si>
    <t>דרכי הוראה לרבנים</t>
  </si>
  <si>
    <t>התורה והארץ</t>
  </si>
  <si>
    <t>מכון "ראש פינה" בירושלים</t>
  </si>
  <si>
    <t>המכון למצוות התלויות בארץ</t>
  </si>
  <si>
    <t>המכון לרבני ישובים</t>
  </si>
  <si>
    <t>כת"ר - מכון לכלכלה ע"פ התורה</t>
  </si>
  <si>
    <t>כולל דעת תורה - מכון להוצאת ספרים בעיה"ק ירושלים ת"ו</t>
  </si>
  <si>
    <t>מכון מעליות</t>
  </si>
  <si>
    <t>דרכי שמחה</t>
  </si>
  <si>
    <t>מכון בית אהרון וישראל למחקר כת"י והוצאה לאור</t>
  </si>
  <si>
    <t>מכון שלמה אומן ז"ל</t>
  </si>
  <si>
    <t>אריאל מפעלי תורה, יהדות וחברה בישראל</t>
  </si>
  <si>
    <t>מכון הרי פישל לדרישת התלמוד ומשפט התורה</t>
  </si>
  <si>
    <t>מכון שתילי זתים</t>
  </si>
  <si>
    <t>מכון התלמוד הישראלי השלם ע"ש הרב הרצוג</t>
  </si>
  <si>
    <t>מכון הרב פראנק</t>
  </si>
  <si>
    <t>מכון הלכה ברורה וברור הלכה</t>
  </si>
  <si>
    <t>מכון ירושלים - בתי מדרש לאברכים</t>
  </si>
  <si>
    <t xml:space="preserve">הוצאת אנציקלופדיה תלמודית בע"מ </t>
  </si>
  <si>
    <t>בית מדרש גבוה להלכה בהתיישבות החקלאית</t>
  </si>
  <si>
    <t>המכון ללימוד מחקר ובנין המקדש</t>
  </si>
  <si>
    <t>מכון "יחוה דעת" לפרסומים תורניים-הלכתיים</t>
  </si>
  <si>
    <t>מורשה להנחיל</t>
  </si>
  <si>
    <t>הישיבה הגבוהה אור עציון</t>
  </si>
  <si>
    <t xml:space="preserve">אוצר הפוסקים </t>
  </si>
  <si>
    <t>צומת - צוותי מדע ותורה</t>
  </si>
  <si>
    <t>עטרת ירושלים</t>
  </si>
  <si>
    <t>מוסדות ישיבת כסא רחמים ספרדית</t>
  </si>
  <si>
    <t>מכון משפטי ארץ</t>
  </si>
  <si>
    <r>
      <t>תקנת מחקר תורני</t>
    </r>
    <r>
      <rPr>
        <sz val="11"/>
        <rFont val="Guttman Yad-Brush"/>
        <charset val="177"/>
      </rPr>
      <t xml:space="preserve"> </t>
    </r>
    <r>
      <rPr>
        <b/>
        <sz val="11"/>
        <color rgb="FFFF0000"/>
        <rFont val="Guttman Yad-Brush"/>
        <charset val="177"/>
      </rPr>
      <t>42-02-34</t>
    </r>
    <r>
      <rPr>
        <sz val="11"/>
        <rFont val="Guttman Yad-Brush"/>
        <charset val="177"/>
      </rPr>
      <t xml:space="preserve"> </t>
    </r>
  </si>
  <si>
    <t>אוצר הפוסקים</t>
  </si>
  <si>
    <t>שעלבים</t>
  </si>
  <si>
    <t>הוצאת אנציקלופדיה תלמודית בע"מ</t>
  </si>
  <si>
    <t>מרכז שפירא</t>
  </si>
  <si>
    <t>קרית ארבע</t>
  </si>
  <si>
    <t>המכון ע"ש מרן הרב יהודה קוק זצ"ל</t>
  </si>
  <si>
    <t>בית עוזיאל</t>
  </si>
  <si>
    <t>מכון התורה והארץ</t>
  </si>
  <si>
    <t>יד בנימין</t>
  </si>
  <si>
    <t>מכון הרב מצליח שע"י מוסדות ישיבה כסא רחמים ספרדית</t>
  </si>
  <si>
    <t>ברכה</t>
  </si>
  <si>
    <t xml:space="preserve">מכון משפטי ארץ </t>
  </si>
  <si>
    <t xml:space="preserve">מ.א. שער הנגב - האולפן למחול - תגבור המחול המודרני </t>
  </si>
  <si>
    <t>אבן יהודה</t>
  </si>
  <si>
    <t>מ.מ.  אבן יהודה- בי"ס לאמנויות</t>
  </si>
  <si>
    <t>מ.א. הערבה התיכונה- אולפן מחול</t>
  </si>
  <si>
    <t>עיריית ת"א- ביכורי עיתים- מסלול להכשרת רקדנים</t>
  </si>
  <si>
    <t>מ.מ. הגליל העליון- מרכז קלור למוסיקה ולמחול- ביה"ס למחול</t>
  </si>
  <si>
    <t>מ.א. עמק יזרעאל- מורים בכירים במחול</t>
  </si>
  <si>
    <t>מ.א. אשכול- אולפן למחול</t>
  </si>
  <si>
    <t>מחול:</t>
  </si>
  <si>
    <t>עיריית חולון- בי"ס ארצי לאמנות תיאטרון בובות</t>
  </si>
  <si>
    <t>תיאטרון:</t>
  </si>
  <si>
    <t>נעורים</t>
  </si>
  <si>
    <t>בסיס - בית הספר לפיסול</t>
  </si>
  <si>
    <t>מנשר לאמנות בע"מ- בי"ס לאמנות</t>
  </si>
  <si>
    <t>מכוני השכלה תל-חי - בי"ס לציור ופיסול</t>
  </si>
  <si>
    <t>עודד ואיתי,עמותה לעידוד וקדום הצלום ע"ש עודד רובנר ואיתי ידעיה</t>
  </si>
  <si>
    <t>מכללת עמק יזרעאל ע"ש מ.שטרן</t>
  </si>
  <si>
    <t>אמנות פלסטית</t>
  </si>
  <si>
    <t>מנשר לאמנות בע"מ- בי"ס לקולנוע</t>
  </si>
  <si>
    <t>העמותה ללימודי טלוויזיה ותקשורת מעלה ירושלים</t>
  </si>
  <si>
    <t>ביה"ס סם שפיגל לקולנוע וטלויזיה ירושלים</t>
  </si>
  <si>
    <t>קולנוע</t>
  </si>
  <si>
    <t>מכללה לפיתוח ההשכלה בגליל (צפת) -מכללת צפת למוסיקה יהודית</t>
  </si>
  <si>
    <t>העמותה שליד  בית הספר  ללימודי צילום - מוסררה - מגמת מוסיקה</t>
  </si>
  <si>
    <t>רימון-בי"ס לג'אז ולמוסיקה בת זמננו</t>
  </si>
  <si>
    <t>המרכז למוסיקה מן המזרח</t>
  </si>
  <si>
    <t>מוסיקה</t>
  </si>
  <si>
    <t>בית הגפן המרכז הערבי יהודי לתרבות- סדנא למחול</t>
  </si>
  <si>
    <t>מתנ"ס רוממה - בי"ס גבוה לאמנות</t>
  </si>
  <si>
    <t>חברת מוסדות חנוך ותרבות באילת- ביה"ס למחול</t>
  </si>
  <si>
    <t>קידום המחול הקלאסי בירושלים - ביה"ס לבלט קלאסי</t>
  </si>
  <si>
    <t>עמותת הכוריאוגרפים - נדין בומר מרכז למחול</t>
  </si>
  <si>
    <t>מתנ"ס עמק המעיינות- בי"ס קדם למחול</t>
  </si>
  <si>
    <t>רשת המתנ"סים קרית טבעון- בי"ס למחול</t>
  </si>
  <si>
    <t>מרכז קהילתי ראש פינה- ביה"ס למחול אזורי</t>
  </si>
  <si>
    <t>החברה העירונית למרכזים קהילתיים בע"מ- תיאטרון בלט פאנוב אשדוד</t>
  </si>
  <si>
    <t>ירושלם</t>
  </si>
  <si>
    <t>עמותת ורטיגו למחול - ירושלים</t>
  </si>
  <si>
    <t>מתנ"ס מטה אשר- עבור אולפן מחול</t>
  </si>
  <si>
    <t>מחול</t>
  </si>
  <si>
    <t>גודמן- בי"ס למשחק ואמנויות הבמה בנגב</t>
  </si>
  <si>
    <t>עמותה לקידום ופיתוח תיאטרון בובות - בי"ס לתיאטרון בובות</t>
  </si>
  <si>
    <t>יקום</t>
  </si>
  <si>
    <t>עמותת סנדסיאל - בי"ס לקרקס</t>
  </si>
  <si>
    <t>יתרת- יצירה תיאטרונית רב תחומית- בי"ס</t>
  </si>
  <si>
    <t>בי"ס לתאטרון חזותי ירושלים</t>
  </si>
  <si>
    <t>סטודיו למשחק - עמותה לטיפוח אמנות הבמה- עבור סטודיו למשחק בירושלים</t>
  </si>
  <si>
    <t>סטודיו למשחק - עמותה לטיפוח אמנות הבמה- עבור סטודיו למשחק בת"א</t>
  </si>
  <si>
    <t>בית צבי - ביה"ס לאמנויות הבמה</t>
  </si>
  <si>
    <t>תיאטרון ואמנויות הבמה</t>
  </si>
  <si>
    <r>
      <t>תקנת בתי"ס 42-02-36</t>
    </r>
    <r>
      <rPr>
        <sz val="11"/>
        <rFont val="Guttman Yad-Brush"/>
        <charset val="177"/>
      </rPr>
      <t xml:space="preserve"> </t>
    </r>
  </si>
  <si>
    <t xml:space="preserve">בסיס בית ספר לפיסול - פעילות שוטפת </t>
  </si>
  <si>
    <t>מ.א. אשכול - בי"ס למחול</t>
  </si>
  <si>
    <t>בת דור ב"ש - מרכז עירוני לאמנות המחול</t>
  </si>
  <si>
    <t>בית הגפן המרכזי הערבי יהודי- סדנא למחול</t>
  </si>
  <si>
    <t>מ.א. שער הנגב - בי"ס למחול מודרני (תיגבור המחול)</t>
  </si>
  <si>
    <t xml:space="preserve">תמרה מיאלניק - התיאטרון הירושלמי למחול - בי"ס למחול </t>
  </si>
  <si>
    <r>
      <rPr>
        <b/>
        <sz val="10"/>
        <rFont val="Arial"/>
        <family val="2"/>
      </rPr>
      <t>עירית חולון -</t>
    </r>
    <r>
      <rPr>
        <sz val="10"/>
        <rFont val="Arial"/>
        <family val="2"/>
        <charset val="177"/>
      </rPr>
      <t xml:space="preserve"> בי"ס לאמנות תיאטרון בובות</t>
    </r>
  </si>
  <si>
    <t>העמותה שליד  בי"ס ללימודי צילום - מוסררה - מגמת מוסיקה</t>
  </si>
  <si>
    <t>העמותה שליד  בי"ס ללימודי צילום - מוסררה - בי"ס שוטף</t>
  </si>
  <si>
    <t>מכוני השכלה תל-חי - בי"ס לציור, פיסול וקדרות</t>
  </si>
  <si>
    <t>מ.א. הערבה התיכונה - אולפן מחול</t>
  </si>
  <si>
    <t>מתנ"ס אזורי בקעת בית שאן (עמק המייענות)- בי"ס למחול</t>
  </si>
  <si>
    <t>סטודיו למשחק ניסן נתיב -עמותה לטפוח אמנות הבמה - ת"א</t>
  </si>
  <si>
    <t>סטודיו למשחק ניסן נתיב -עמותה לטפוח אמנות הבמה -שוטף י-ם</t>
  </si>
  <si>
    <t>גודמן - בי"ס למשחק בנגב</t>
  </si>
  <si>
    <t>ביה"ס סם שפיגל לקולנוע וטלויזיה ירושלים - מגמת תסריטאות</t>
  </si>
  <si>
    <t xml:space="preserve">ביה"ס סם שפיגל לקולנוע וטלויזיה ירושלים -מגמת קולנוע </t>
  </si>
  <si>
    <t>חברת מוסדות חנוך ותרבות באילת - מתנ"ס קולייר- בי"ס למחול</t>
  </si>
  <si>
    <t xml:space="preserve">רימון - בי"ס לגאז ולמוסיקה בת זמננו </t>
  </si>
  <si>
    <t>ביה"ס לתיאטרון חזותי ירושלים</t>
  </si>
  <si>
    <t>העמותה ללימודי טלויזיה ותקשורת "מעלה" ירושלים - מסלול כתיבה יוצרת</t>
  </si>
  <si>
    <t>העמותה ללימודי טלויזיה ותקשורת "מעלה" ירושלים - מסלול קולנוע</t>
  </si>
  <si>
    <t>עמותת ורטיגו למחול - בי"ס למחול</t>
  </si>
  <si>
    <t>החב' העירונית לתרבות, ספורט ומרכזים קהילתיים  באשדוד בע"מ  -  בי"ס לבלט פאנוב אשדוד</t>
  </si>
  <si>
    <t>מתנ"ס רוממה - 'אמן' בי"ס גבוה לאמנות</t>
  </si>
  <si>
    <t>מ.א. גליל עליון  - מרכז קלור - ביה"ס למחול</t>
  </si>
  <si>
    <t>מ.א. עמק יזרעאל - מורים בכירים במחול</t>
  </si>
  <si>
    <t>רשת מתנ"סים קרית טבעון - כיתת מצוינות</t>
  </si>
  <si>
    <t>מתנ"ס מטה אשר - סדנת המחול - שוטף</t>
  </si>
  <si>
    <t>מתנ"ס מטה אשר - אולפן למחול - שוטף</t>
  </si>
  <si>
    <t>יתרת - יצירה תיאטרונית רב תחומית - בי"ס לתיאטרון</t>
  </si>
  <si>
    <t>בית 9- תמיכה שוטפת</t>
  </si>
  <si>
    <r>
      <rPr>
        <b/>
        <sz val="10"/>
        <rFont val="Arial"/>
        <family val="2"/>
      </rPr>
      <t xml:space="preserve">עירית ת"א </t>
    </r>
    <r>
      <rPr>
        <sz val="10"/>
        <rFont val="Arial"/>
        <family val="2"/>
        <charset val="177"/>
      </rPr>
      <t>- ביכורי עיתים - מסלול להכשרת רקדנים</t>
    </r>
  </si>
  <si>
    <t>מתנ"ס ראש פינה - בי"ס למחול אזורי</t>
  </si>
  <si>
    <t>טהר-מכללה תורנית-ביה"ס לקולנוע יהודי תורת החיים</t>
  </si>
  <si>
    <t>עירית ת"א -בית הספר למחוןל משגב</t>
  </si>
  <si>
    <t>מ.א משגב</t>
  </si>
  <si>
    <t>אימפרו-סטודיו למשחק</t>
  </si>
  <si>
    <t>מנשר לאמנות בע"מ - בתי"ס לקולנוע</t>
  </si>
  <si>
    <t>מנשר לאמנות בע"מ - בי"ס לכתיבה יוצרת</t>
  </si>
  <si>
    <t>מנשר לאמנות בע"מ - בי"ס לאמנות</t>
  </si>
  <si>
    <t>עמותה לחינוך בלתי פורמלי בנתניה - בית הבאר - אתר שימור</t>
  </si>
  <si>
    <t>עמותת ישיבת "שבי חברון" - תמיכה במוסדות לשימור אתרי התישבות</t>
  </si>
  <si>
    <t>מוסדות תורה חינוך וחסד "בית ברכה" - שימור והפעלת אתר "בית פין" בי-ם</t>
  </si>
  <si>
    <t>אגודת ישיבת קרלין סטולין בית אהרון - שימור והפעלת אתר "חצר היהודים - טבריה"</t>
  </si>
  <si>
    <t>עמותת ידידי בית רוקח - מורשת הישוב הישן</t>
  </si>
  <si>
    <t>קרן ע"ש ראשונים - קבוץ מרחביה - תמיכה באתר הלאומי "החצר הגדולה"</t>
  </si>
  <si>
    <t>עירית נהריה -פעילות חינוכית בבית ליברמן</t>
  </si>
  <si>
    <t>˅</t>
  </si>
  <si>
    <t xml:space="preserve">העמותה לשחזור ופתוח האתר הלאומי מושבת הראשונים ראש פינה </t>
  </si>
  <si>
    <r>
      <t xml:space="preserve">מועצה לשימור אתרי מורשת בישראל - </t>
    </r>
    <r>
      <rPr>
        <b/>
        <sz val="10"/>
        <rFont val="Arial"/>
        <family val="2"/>
      </rPr>
      <t>תמיכה שוטפת</t>
    </r>
  </si>
  <si>
    <t>מצפה רביבים ע"ש יוסף ויץ' - פעילות חינוכית</t>
  </si>
  <si>
    <t>מרכז קהילתי  גשר-אגודה לתרבות וחינוך - פעילות חינוכית באתר</t>
  </si>
  <si>
    <t xml:space="preserve">מ. א. מטה אשר - מוזיאון חניתה לחומה ומגדל , החזקה שוטפת </t>
  </si>
  <si>
    <t>תקציב פיתוח ניתן לשלם במהלך שנתיים</t>
  </si>
  <si>
    <r>
      <t xml:space="preserve">מועצה לשימור אתרי מורשת בישראל - </t>
    </r>
    <r>
      <rPr>
        <b/>
        <sz val="10"/>
        <rFont val="Arial"/>
        <family val="2"/>
      </rPr>
      <t>פיתוח שוטף</t>
    </r>
  </si>
  <si>
    <r>
      <t>תקנת שימור אתרים 42-02-45</t>
    </r>
    <r>
      <rPr>
        <b/>
        <sz val="11"/>
        <rFont val="Guttman Yad-Brush"/>
        <charset val="177"/>
      </rPr>
      <t xml:space="preserve"> </t>
    </r>
  </si>
  <si>
    <t xml:space="preserve">מועצה לשימור אתרי מורשת בישראל </t>
  </si>
  <si>
    <t>העמותה לשיחזור ופיתוח האתר הלאומי מושבת הראשונים ראש -פינה</t>
  </si>
  <si>
    <t>קרן על שם ראשונים קיבוץ מרחביה</t>
  </si>
  <si>
    <t>מרחביה</t>
  </si>
  <si>
    <t>עמותה לחינוך בלתי פורמלי בנתניה</t>
  </si>
  <si>
    <t>חניתה</t>
  </si>
  <si>
    <t>גשר</t>
  </si>
  <si>
    <t>מצפה רביבים ע"ש יוסף ויץ' - שחזור ושפוץ מוצגים</t>
  </si>
  <si>
    <t>רביבים</t>
  </si>
  <si>
    <t>העמותה למען המרכז לתולדות ההתיישבות בעמק  - העברת קרון רכבת</t>
  </si>
  <si>
    <t>יפעת</t>
  </si>
  <si>
    <t>מתנ"ס ראש פינה - פעילות משותפת עם אתר השחזור בראש פינה</t>
  </si>
  <si>
    <t xml:space="preserve">מוסדות תורה חינוך וחסד "בית ברכה" </t>
  </si>
  <si>
    <t xml:space="preserve">אגודת ישיבת קרלין סטולין בית אהרון </t>
  </si>
  <si>
    <t>עמותת ישיבת "שבי חברון"</t>
  </si>
  <si>
    <t>עירית נהריה - תמיכה בבית ליברמן</t>
  </si>
  <si>
    <t>מתנ"ס - עמותה לפעילות קהילתית מג'אר</t>
  </si>
  <si>
    <t>ניסן עמותה לקידום התרבות והאמנויות- מע'אר</t>
  </si>
  <si>
    <t>אל-מנאהל עמותה למען קידום האשה הדרוזית</t>
  </si>
  <si>
    <t>אבו סנאן</t>
  </si>
  <si>
    <t>תיאטרון הגליל הקהילתי בע"מ</t>
  </si>
  <si>
    <t>עמותת שורוק- תיאטרון שורוק</t>
  </si>
  <si>
    <t>פקיעין</t>
  </si>
  <si>
    <t>רעות שכנים- מפגשים רב תרבותיים במרום הגליל</t>
  </si>
  <si>
    <t>ריחניה</t>
  </si>
  <si>
    <t>תיאטרון אל-ניקאב</t>
  </si>
  <si>
    <t>עוספיא</t>
  </si>
  <si>
    <t>בית המורשת הדרוזית- ג'ולס</t>
  </si>
  <si>
    <t>ג'ולס</t>
  </si>
  <si>
    <t>מרכז קהילתי צ'רקסי כפר קמא</t>
  </si>
  <si>
    <t>כפר קמא</t>
  </si>
  <si>
    <t>עמותת אלפרח פקיעין - תיאטרון במגזר הדרוזי</t>
  </si>
  <si>
    <t>יארא- פולקלור ואמנות דרוזית - פעילות שוטפת</t>
  </si>
  <si>
    <t>ירכא</t>
  </si>
  <si>
    <t>עמותת סא"ל סאלח פלאח ז"ל</t>
  </si>
  <si>
    <t>חורפיש</t>
  </si>
  <si>
    <t>מראות - עמותה לקידום האומנות והתיאט</t>
  </si>
  <si>
    <t>נסיג' (ע"ר)</t>
  </si>
  <si>
    <t>בית ג'אן</t>
  </si>
  <si>
    <t>מורשת הגליל העליון</t>
  </si>
  <si>
    <t>מ.מ. סג'ור</t>
  </si>
  <si>
    <t>סאג'ור</t>
  </si>
  <si>
    <t>מ.מ. כסרא- סמיע</t>
  </si>
  <si>
    <t>כסרא</t>
  </si>
  <si>
    <t>מ.מ. בית ג'אן- תאטרון חובבים+ פסטיבל זמר</t>
  </si>
  <si>
    <t>עיריית שפר-עם</t>
  </si>
  <si>
    <t>מ.מ. ירכא- פסטיבל האביב למחול + פעילות תרבות</t>
  </si>
  <si>
    <t>מ.מ. ינוח ג'ת</t>
  </si>
  <si>
    <t>ינוח</t>
  </si>
  <si>
    <t>מ.מ. עיספייא</t>
  </si>
  <si>
    <t>מ.מ. ג'וליס- פעילות תרבות</t>
  </si>
  <si>
    <t>מ.מ. חורפיש- מרכז נשים, חוגי מוסיקה, חוגים באמנות הפלסטית</t>
  </si>
  <si>
    <t>מ.מ. פקיעין- פסטיבל וחוגי תרבות</t>
  </si>
  <si>
    <t>מ.מ. מרום הגליל- פסטיבל פולקלור צרקסי</t>
  </si>
  <si>
    <t>מ.מ. כפר קמא</t>
  </si>
  <si>
    <t>מ.מ. דלית אל כרמל</t>
  </si>
  <si>
    <t xml:space="preserve">דליה </t>
  </si>
  <si>
    <t>מ.מ. בית ג'אן - מרכז נשים</t>
  </si>
  <si>
    <t>מ.מ. בית ג'אן - להקת מחול ודבקה</t>
  </si>
  <si>
    <t>מ.מ. בית ג'אן -פסטיבל קטן וצעדה</t>
  </si>
  <si>
    <t>20000034 סה"כ</t>
  </si>
  <si>
    <t>מ.מ. ג'וליס - ביה"ס לדרמה</t>
  </si>
  <si>
    <t>מ.מ. ג'וליס - תערוכה בכפר</t>
  </si>
  <si>
    <t>מ.מ. ג'וליס -פסטיבל מחולות רב תרבותי</t>
  </si>
  <si>
    <t>20000038 סה"כ</t>
  </si>
  <si>
    <t>מ.מ. דלית אל כרמל - סדנאות יצירה תיאטרלית</t>
  </si>
  <si>
    <t>מ.מ. דלית אל כרמל - להקת הכרמל</t>
  </si>
  <si>
    <t>מ.מ. דלית אל כרמל - פסטיבל העוד</t>
  </si>
  <si>
    <t>מ.מ. דלית אל כרמל - פסטיבל פיסול באבן</t>
  </si>
  <si>
    <t>מ.מ. דלית אל כרמל - פסטיבל להקות אתניות</t>
  </si>
  <si>
    <t>20000043 סה"כ</t>
  </si>
  <si>
    <t>מ.מ. ירכא - פעילות תרבותית ואמנותית</t>
  </si>
  <si>
    <t>מ.מ. ירכא - חוגי ציור</t>
  </si>
  <si>
    <t>מ.מ. ירכא - להקת מחול</t>
  </si>
  <si>
    <t>מ.מ. ירכא - פסטיבל האביב למחול</t>
  </si>
  <si>
    <t>20000047 סה"כ</t>
  </si>
  <si>
    <t>מ.מ כפר קמא-פסטיבל צ'רקסי</t>
  </si>
  <si>
    <t>20000051 סה"כ</t>
  </si>
  <si>
    <t>מ.מ. סאג'ור - חוגי מוסיקה ובנית להקה</t>
  </si>
  <si>
    <t>מ.מ. סאג'ור -פסטיבל פיסול</t>
  </si>
  <si>
    <t>20000060 סה"כ</t>
  </si>
  <si>
    <t>מ.מ. עיספייא - פסטיבל נשים יוצרות</t>
  </si>
  <si>
    <t>מ.מ. עיספייא - להקת דבקה שעבייה</t>
  </si>
  <si>
    <t>מ.מ. עיספייא - תערוכות של ציירים מקומיים</t>
  </si>
  <si>
    <t>מ.מ. עיספייא - ערב נגינה ושירה</t>
  </si>
  <si>
    <t>20000065 סה"כ</t>
  </si>
  <si>
    <t>מ.מ. פקיעין -פסטיבל חג הקורבן</t>
  </si>
  <si>
    <t>20000067 סה"כ</t>
  </si>
  <si>
    <t>מ.מ. ינוח ג'ת - פסטיבל פיסול אזורי</t>
  </si>
  <si>
    <t>מ.מ. ינוח ג'ת - מרכז המוסיקה</t>
  </si>
  <si>
    <t>מ.מ. ינוח ג'ת -חוגי אומנות וציור</t>
  </si>
  <si>
    <t>20000117 סה"כ</t>
  </si>
  <si>
    <t>מ.מ. כסרא-סמיע - להקת מחול ודבקה</t>
  </si>
  <si>
    <t>20000118 סה"כ</t>
  </si>
  <si>
    <t>מ.א. מרום הגליל - פסטיבל פולקלור צ'רקסי</t>
  </si>
  <si>
    <t>20000128 סה"כ</t>
  </si>
  <si>
    <t>מ.מ מסעדה-ערבי מחול דבקה וזמר</t>
  </si>
  <si>
    <t>מ.מ מסעדה- פסטיבל הקיץ תהלוכה וזמר</t>
  </si>
  <si>
    <t>20000189 סה"כ</t>
  </si>
  <si>
    <t>מתנ"ס מג'אר - להקת מוסיקאים מחוננים</t>
  </si>
  <si>
    <t>מתנ"ס מג'אר - פסטיבל הזית-שילוב אומניות</t>
  </si>
  <si>
    <t>מתנ"ס מג'אר - תיאטרון בובות</t>
  </si>
  <si>
    <t>מתנ"ס מג'אר - פעילות נשים 'גן הפעמונים'</t>
  </si>
  <si>
    <t>מתנ"ס מג'אר - להקת שירה ' זג'ל'</t>
  </si>
  <si>
    <t>מתנ"ס מג'אר - אמנות פלסטית</t>
  </si>
  <si>
    <t>מתנ"ס מג'אר - פסטיבל שירה גלילי</t>
  </si>
  <si>
    <t>40000582 סה"כ</t>
  </si>
  <si>
    <t>מרכז קהילתי צ'רקסי כפר קמא - מחול ודבקה צ'רקסי</t>
  </si>
  <si>
    <t>מרכז קהילתי צ'רקסי כפר קמא - חוגי מוסיקה</t>
  </si>
  <si>
    <t>מרכז קהילתי צ'רקסי כפר קמא - חוגי אמנות ויצירה</t>
  </si>
  <si>
    <t>40000587 סה"כ</t>
  </si>
  <si>
    <t xml:space="preserve">עמותת שורוק -פסטיבל זמר </t>
  </si>
  <si>
    <t>40000676 סה"כ</t>
  </si>
  <si>
    <t>אלמנאהל - עמותה למען קדום נשים דרוזיות - 'האישה הדרוזית בין המורשת למודרניציה</t>
  </si>
  <si>
    <t>40000694 סה"כ</t>
  </si>
  <si>
    <t>רעות שכנים - מפגשים רב תרבותיים במרום הגליל - להקת פולקלור צ'רקסית</t>
  </si>
  <si>
    <t>רעות שכנים - מפגשים רב תרבותיים במרום הגליל - תערוכות במגזר</t>
  </si>
  <si>
    <t>רעות שכנים - מפגשים רב תרבותיים במרום הגליל - מלאכת יד לנשים</t>
  </si>
  <si>
    <t>רעות שכנים - מפגשים רב תרבותיים במרום הגליל - פסטיבל צ'רקסי בריחנייה</t>
  </si>
  <si>
    <t>40216070 סה"כ</t>
  </si>
  <si>
    <t>תיאטרון אל-ניקאב - תיאטרון שוטף</t>
  </si>
  <si>
    <t>40216102 סה"כ</t>
  </si>
  <si>
    <t>בית המורשת הדרוזית - ג'ולס - תערוכות בנושא אישים ומקומות</t>
  </si>
  <si>
    <t>בית המורשת הדרוזית - ג'ולס - סימפוזיונים בנושא מורשת</t>
  </si>
  <si>
    <t>בית המורשת הדרוזית - ג'ולס - פסטיבל שירה עממית 'זג'ל'</t>
  </si>
  <si>
    <t>בית המורשת הדרוזית - ג'ולס - כתב עת</t>
  </si>
  <si>
    <t>40216103 סה"כ</t>
  </si>
  <si>
    <t>תיאטרון הגליל הקהילתי - פעילות תיאטרלית שוטפת</t>
  </si>
  <si>
    <t>40221328 סה"כ</t>
  </si>
  <si>
    <t>40221838 סה"כ</t>
  </si>
  <si>
    <t>יארא- פולקלור ואמנות דרוזית - פעילות שוטפת בית מוצארט</t>
  </si>
  <si>
    <t>40273997 סה"כ</t>
  </si>
  <si>
    <t>מראות - קרקס מראות</t>
  </si>
  <si>
    <t>40383495 סה"כ</t>
  </si>
  <si>
    <t>עמותת סא"ל סאלח פלאח - ערב תרבות עדתי</t>
  </si>
  <si>
    <t>40461639 סה"כ</t>
  </si>
  <si>
    <t>עמותת נסיג' -להקת דבקה דרוזית</t>
  </si>
  <si>
    <t>עמותת נסיג' -ערבי תרבות</t>
  </si>
  <si>
    <t>עמותת נסיג' -ציור גרעין בכפר</t>
  </si>
  <si>
    <t>עמותת נסיג' -פסטיבל העוד</t>
  </si>
  <si>
    <t>40526633 סה"כ</t>
  </si>
  <si>
    <t>סכום כולל</t>
  </si>
  <si>
    <t>תקנת דרוזים 42-02-49</t>
  </si>
  <si>
    <t>קהילת ניגון הלב (ע"ר)</t>
  </si>
  <si>
    <t>580344182</t>
  </si>
  <si>
    <t>קהילת ברכת שלום בקבוץ גזר (ע"ר)</t>
  </si>
  <si>
    <t>580282853</t>
  </si>
  <si>
    <t>תל"ם - התנועה ליהדות מתקדמת בישראל- קהילת שער הנגב</t>
  </si>
  <si>
    <t>מס' בקשה</t>
  </si>
  <si>
    <t>תקנת הענקות ליוצרים 42-02-29</t>
  </si>
  <si>
    <r>
      <rPr>
        <b/>
        <sz val="10"/>
        <color theme="1"/>
        <rFont val="Arial"/>
        <family val="2"/>
      </rPr>
      <t>קהילת ברכת שלום</t>
    </r>
    <r>
      <rPr>
        <b/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בקבוץ גזר - תמיכה בשכר רב</t>
    </r>
  </si>
  <si>
    <r>
      <rPr>
        <b/>
        <sz val="10"/>
        <rFont val="Arial"/>
        <family val="2"/>
      </rPr>
      <t xml:space="preserve">תל"ם </t>
    </r>
    <r>
      <rPr>
        <sz val="10"/>
        <rFont val="Arial"/>
        <family val="2"/>
      </rPr>
      <t xml:space="preserve">- </t>
    </r>
    <r>
      <rPr>
        <b/>
        <sz val="10"/>
        <color rgb="FFFF0000"/>
        <rFont val="Arial"/>
        <family val="2"/>
      </rPr>
      <t>קהילת צור הדסה</t>
    </r>
    <r>
      <rPr>
        <b/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 xml:space="preserve">השתתפות בשכר עבודה של  רבנים שאינם אורתודוכסים </t>
    </r>
  </si>
  <si>
    <r>
      <rPr>
        <b/>
        <sz val="10"/>
        <rFont val="Arial"/>
        <family val="2"/>
      </rPr>
      <t xml:space="preserve">תל"ם </t>
    </r>
    <r>
      <rPr>
        <sz val="10"/>
        <rFont val="Arial"/>
        <family val="2"/>
      </rPr>
      <t>-</t>
    </r>
    <r>
      <rPr>
        <sz val="10"/>
        <color rgb="FFFF000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 xml:space="preserve">קהילת הר חלוץ 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-</t>
    </r>
    <r>
      <rPr>
        <sz val="10"/>
        <rFont val="Arial"/>
        <family val="2"/>
      </rPr>
      <t xml:space="preserve"> השתתפות בשכר עבודה של  רבנים שאינם אורתודוכסים </t>
    </r>
  </si>
  <si>
    <r>
      <rPr>
        <b/>
        <sz val="10"/>
        <rFont val="Arial"/>
        <family val="2"/>
      </rPr>
      <t xml:space="preserve">תל"ם </t>
    </r>
    <r>
      <rPr>
        <sz val="10"/>
        <rFont val="Arial"/>
        <family val="2"/>
      </rPr>
      <t xml:space="preserve">- </t>
    </r>
    <r>
      <rPr>
        <b/>
        <sz val="10"/>
        <color rgb="FFFF0000"/>
        <rFont val="Arial"/>
        <family val="2"/>
      </rPr>
      <t xml:space="preserve">קהילת שער הנגב </t>
    </r>
    <r>
      <rPr>
        <sz val="10"/>
        <color theme="1"/>
        <rFont val="Arial"/>
        <family val="2"/>
      </rPr>
      <t>-</t>
    </r>
    <r>
      <rPr>
        <sz val="10"/>
        <rFont val="Arial"/>
        <family val="2"/>
      </rPr>
      <t xml:space="preserve"> השתתפות בשכר רבנים שאינם אורתודוכסים</t>
    </r>
  </si>
  <si>
    <r>
      <rPr>
        <b/>
        <sz val="10"/>
        <rFont val="Arial"/>
        <family val="2"/>
      </rPr>
      <t xml:space="preserve">תל"ם </t>
    </r>
    <r>
      <rPr>
        <sz val="10"/>
        <rFont val="Arial"/>
        <family val="2"/>
      </rPr>
      <t xml:space="preserve">- </t>
    </r>
    <r>
      <rPr>
        <b/>
        <sz val="10"/>
        <color rgb="FFFF0000"/>
        <rFont val="Arial"/>
        <family val="2"/>
      </rPr>
      <t>קהילת יהל והערבה</t>
    </r>
    <r>
      <rPr>
        <sz val="10"/>
        <color theme="1"/>
        <rFont val="Arial"/>
        <family val="2"/>
      </rPr>
      <t xml:space="preserve"> -</t>
    </r>
    <r>
      <rPr>
        <sz val="10"/>
        <rFont val="Arial"/>
        <family val="2"/>
      </rPr>
      <t xml:space="preserve"> השתתפות בשכר רבנים שאינם אורתודוכסים</t>
    </r>
  </si>
  <si>
    <t xml:space="preserve">קהילת ניגון הלב </t>
  </si>
  <si>
    <t>מ.מ מסעדה</t>
  </si>
  <si>
    <t xml:space="preserve">מוקפא סכום של 200,000 ₪ עד להחלטת ביקורת עומק.                     </t>
  </si>
  <si>
    <t>חשמונאים</t>
  </si>
  <si>
    <t>קריית טבעון</t>
  </si>
  <si>
    <t>עיריית בת-ים - מוזיאון בת ים+ מוזיאון בית רבק+ ביאנלה</t>
  </si>
  <si>
    <t>עמת הירדן</t>
  </si>
  <si>
    <t>קריית אונו</t>
  </si>
  <si>
    <t>שדות נגב</t>
  </si>
  <si>
    <t>גני עם</t>
  </si>
  <si>
    <t>המרכז למוסיקה ע"ש פיליציה בלומנטל (מקהלת קולות השדה</t>
  </si>
  <si>
    <t>יסוד המעלה</t>
  </si>
  <si>
    <t>מ.א משגב- בי"ס למחול</t>
  </si>
  <si>
    <t>תקנה 42-02-17</t>
  </si>
  <si>
    <t>יד בן צבי</t>
  </si>
  <si>
    <t>תקנה 42-02-19</t>
  </si>
  <si>
    <t>האקדמיה ללשון העברית</t>
  </si>
  <si>
    <t>תקנה 42-02-25</t>
  </si>
  <si>
    <t>תקנה 42-02-42</t>
  </si>
  <si>
    <t>הרשות הלאומית לתרבות הלאדינו</t>
  </si>
  <si>
    <t>תקנה 42-02-44</t>
  </si>
  <si>
    <t>הרשות הלאומית ליידיש</t>
  </si>
  <si>
    <t>תקנה 42-02-04</t>
  </si>
  <si>
    <t>בית התפוצות</t>
  </si>
  <si>
    <t>תקנה 42-02-43</t>
  </si>
  <si>
    <t>האקדמיה ללשון הערבית</t>
  </si>
  <si>
    <t>באקה</t>
  </si>
  <si>
    <t>42-02-06</t>
  </si>
  <si>
    <t>מרכז זלמן שז"ר</t>
  </si>
  <si>
    <t>500262423</t>
  </si>
  <si>
    <t>מ. א. מרחבים</t>
  </si>
  <si>
    <t>500262001</t>
  </si>
  <si>
    <t>עירית בת-ים</t>
  </si>
  <si>
    <t>500244314</t>
  </si>
  <si>
    <t>מ. א. נחל שורק</t>
  </si>
  <si>
    <t>500276001</t>
  </si>
  <si>
    <t>500297007</t>
  </si>
  <si>
    <t>עירית הוד השרון</t>
  </si>
  <si>
    <t>עירית רמת השרון</t>
  </si>
  <si>
    <t>500210315</t>
  </si>
  <si>
    <t>עירית שדרות</t>
  </si>
  <si>
    <t>500235577</t>
  </si>
  <si>
    <t>מ. מ. קדומים</t>
  </si>
  <si>
    <t>500261508</t>
  </si>
  <si>
    <t>מ. א. לכיש</t>
  </si>
  <si>
    <t>500205430</t>
  </si>
  <si>
    <t>מ. מ. ראמה</t>
  </si>
  <si>
    <t>500210349</t>
  </si>
  <si>
    <t>עירית קרית מלאכי</t>
  </si>
  <si>
    <t>500210265</t>
  </si>
  <si>
    <t>מ. א. מטה יהודה</t>
  </si>
  <si>
    <t>500202296</t>
  </si>
  <si>
    <t>מ. מ. גני תקוה</t>
  </si>
  <si>
    <t>500224563</t>
  </si>
  <si>
    <t>מ. א. משגב</t>
  </si>
  <si>
    <t>500221023</t>
  </si>
  <si>
    <t>מ. א. מרום הגליל</t>
  </si>
  <si>
    <t>500213046</t>
  </si>
  <si>
    <t>מ. מ. שהם</t>
  </si>
  <si>
    <t>500278007</t>
  </si>
  <si>
    <t>מ. מ. פרדס-חנה-כרכור</t>
  </si>
  <si>
    <t>500261367</t>
  </si>
  <si>
    <t>מ. א. חוף אשקלון</t>
  </si>
  <si>
    <t>500236088</t>
  </si>
  <si>
    <t>מ. מ. מעלה אפרים</t>
  </si>
  <si>
    <t>500201827</t>
  </si>
  <si>
    <t>מ. מ. אבן יהודה</t>
  </si>
  <si>
    <t>500229711</t>
  </si>
  <si>
    <t>מ. א. גולן</t>
  </si>
  <si>
    <t>500225602</t>
  </si>
  <si>
    <t>עירית ערד</t>
  </si>
  <si>
    <t>500201686</t>
  </si>
  <si>
    <t>500206289</t>
  </si>
  <si>
    <t>מ. מ. ג'ת</t>
  </si>
  <si>
    <t>500226402</t>
  </si>
  <si>
    <t>עירית ראש העין</t>
  </si>
  <si>
    <t>500262399</t>
  </si>
  <si>
    <t>מ. א. שדות נגב</t>
  </si>
  <si>
    <t>עירית כפר סבא</t>
  </si>
  <si>
    <t>500200415</t>
  </si>
  <si>
    <t>500277009</t>
  </si>
  <si>
    <t>עירית עפולה</t>
  </si>
  <si>
    <t>500211610</t>
  </si>
  <si>
    <t>עירית רהט</t>
  </si>
  <si>
    <t>500208749</t>
  </si>
  <si>
    <t>עירית מגדל העמק</t>
  </si>
  <si>
    <t>מ.מ קרית עקרון</t>
  </si>
  <si>
    <t>קרית עקרון</t>
  </si>
  <si>
    <t>500204904</t>
  </si>
  <si>
    <t>מ.א. אשכול</t>
  </si>
  <si>
    <t>מ.א עמק יזראל</t>
  </si>
  <si>
    <t>מ.א מטה אשר</t>
  </si>
  <si>
    <t>מ.א רמת הנגב</t>
  </si>
  <si>
    <t>מ.א אשכול</t>
  </si>
  <si>
    <t>מ.א חבל אילות</t>
  </si>
  <si>
    <t>מ.א ערבה תיכונה</t>
  </si>
  <si>
    <t>מ.א הגליל התחתון</t>
  </si>
  <si>
    <t>מ.א נווה מדבר</t>
  </si>
  <si>
    <t>מ.א הגליל העליון (כפר בלום)</t>
  </si>
  <si>
    <t>מ.א הערבה התיכונה</t>
  </si>
  <si>
    <t xml:space="preserve">מ.א שער הנגב </t>
  </si>
  <si>
    <t xml:space="preserve">מ.מ ג'וליס </t>
  </si>
  <si>
    <t>מ.מ חורפיש</t>
  </si>
  <si>
    <t>מ.מ פקיעין</t>
  </si>
  <si>
    <t>מ.מ מרום הגליל</t>
  </si>
  <si>
    <t>580552909</t>
  </si>
  <si>
    <t>מחול שלם</t>
  </si>
  <si>
    <t>מחול שלם - בית עכשווי למחול (ע"ר)- פסטיבל מחול שלם</t>
  </si>
  <si>
    <t>מכון רימון לידיעת הארץ - ג'ו אלון</t>
  </si>
  <si>
    <t>הצוללת הצהובה - פסטיבל חשיפה בינ"ל</t>
  </si>
  <si>
    <t xml:space="preserve"> מודיעין-מכבים -רעות- פסטיבל הקרקס</t>
  </si>
  <si>
    <t>ביה"ס לתיאטרון חזותי ירושלים - פסטיבל פרפורמנס</t>
  </si>
  <si>
    <t>עירית מודיעין מכבים רעות - פסטיבל צלילי סתיו</t>
  </si>
  <si>
    <t>גלרית תאטרון החנות - פסטיבל ויטרינה</t>
  </si>
  <si>
    <t>513899153</t>
  </si>
  <si>
    <t>החברה לאמנות ולתרבות הרצליה בע"מ ( מוזיאון הרצליה לאמנות)</t>
  </si>
  <si>
    <t>תמיכה בסך 560 אש"ח בגין ביטוח תערוכות טרם שולמה</t>
  </si>
  <si>
    <r>
      <t xml:space="preserve">תמיכה בגין שדרוג תצוגות טרם שולמה, תמיכת  מתק' פריפריה </t>
    </r>
    <r>
      <rPr>
        <b/>
        <u/>
        <sz val="10"/>
        <rFont val="Arial"/>
        <family val="2"/>
      </rPr>
      <t>לא</t>
    </r>
    <r>
      <rPr>
        <b/>
        <sz val="10"/>
        <rFont val="Arial"/>
        <family val="2"/>
      </rPr>
      <t xml:space="preserve"> אושרה לתשלום ע"י מח' המוזיאונים.</t>
    </r>
  </si>
  <si>
    <r>
      <t xml:space="preserve">, לא שולמה מלוא התמיכה, תמיכת מתק' פריפריה </t>
    </r>
    <r>
      <rPr>
        <b/>
        <u/>
        <sz val="10"/>
        <rFont val="Arial"/>
        <family val="2"/>
      </rPr>
      <t>לא</t>
    </r>
    <r>
      <rPr>
        <b/>
        <sz val="10"/>
        <rFont val="Arial"/>
        <family val="2"/>
      </rPr>
      <t xml:space="preserve"> אושרה לתשלום ע"י מח' המוזיאונים</t>
    </r>
  </si>
  <si>
    <t xml:space="preserve">ערד </t>
  </si>
  <si>
    <t>עיריית ערד- גלריה</t>
  </si>
  <si>
    <t>מ. א חבל אילות</t>
  </si>
  <si>
    <t>חבל אילות</t>
  </si>
  <si>
    <t>רשת מתנ"סים ק.טבעון</t>
  </si>
  <si>
    <t>בית עגנון</t>
  </si>
  <si>
    <t>בר-קיימא גלריה ברבור נחלאות</t>
  </si>
  <si>
    <t>חנינא מקום לאמנות עכשווית</t>
  </si>
  <si>
    <t>מוסללה ארט טרקס</t>
  </si>
  <si>
    <t>גלרית תאטרון החנות</t>
  </si>
  <si>
    <t>עיריית אלעד</t>
  </si>
  <si>
    <t>אלעד</t>
  </si>
  <si>
    <t>מעבדתרבות דימונה-גלריה לאומנות</t>
  </si>
  <si>
    <t>עמותת היכל התרבות העירוני- נתניה</t>
  </si>
  <si>
    <t>החברה לפיתוח תיאטרון, מוסיקה , אמנות חולון</t>
  </si>
  <si>
    <t>כפר שמריהו</t>
  </si>
  <si>
    <t>עמותת כליזמרים - כיתת אומן בצפת (ע"</t>
  </si>
  <si>
    <t>האופרה הירושלמית</t>
  </si>
  <si>
    <t>500230008</t>
  </si>
  <si>
    <t>עיריית ירושלים- יריד ספרים הבינ"ל</t>
  </si>
  <si>
    <t>מרכז קהילתי אזורי (מתנ"ס) גוש עציון- ערבי ספרות</t>
  </si>
  <si>
    <t>גוש עציון</t>
  </si>
  <si>
    <t>תיאטרון  יפוי (מקומי)- ערב ספרות</t>
  </si>
  <si>
    <t>580078293</t>
  </si>
  <si>
    <t>עמותת הציירים והפסלים (ת"א) (ע"ר)</t>
  </si>
  <si>
    <t>580010890</t>
  </si>
  <si>
    <t>כל ישראל חברים</t>
  </si>
  <si>
    <t>580362747</t>
  </si>
  <si>
    <t>אחותי - למען נשים בישראל (ע"ר)</t>
  </si>
  <si>
    <t>כושרות (ע"ר)</t>
  </si>
  <si>
    <t>אלון מורה</t>
  </si>
  <si>
    <t>מעמק חברון- מכון חקר תורני (ע"ר)</t>
  </si>
  <si>
    <t>בית מדרש קהילתי מרכזי במרכז ובשרון</t>
  </si>
  <si>
    <t>גבעת שמואל</t>
  </si>
  <si>
    <t>עטרת ירושלים (ע"ר)</t>
  </si>
  <si>
    <t>תיאטרון מחול ירושלים (ע"ר)</t>
  </si>
  <si>
    <t>500225503</t>
  </si>
  <si>
    <t>מ.מ. גדרה- ביה"ס למחול</t>
  </si>
  <si>
    <t>גדרה</t>
  </si>
  <si>
    <t>קרן המרכז העולמי לקהילות יהודי צפון</t>
  </si>
  <si>
    <t>500223094</t>
  </si>
  <si>
    <t>מ. א. עמק יזרעאל- פרויקט הפקתי</t>
  </si>
  <si>
    <t>עולים למען קליטה מוצלחת (ע"ר)</t>
  </si>
  <si>
    <t>אלמינא - בית ליוצרים (ע"ר)</t>
  </si>
  <si>
    <t xml:space="preserve">אלמינא - בית ליוצרים  </t>
  </si>
  <si>
    <t>580549962</t>
  </si>
  <si>
    <t>ארגון יוצרים עצמאיים בתיאטרון (אי"ב</t>
  </si>
  <si>
    <t>עלילה מקומית, עמותה רשומה</t>
  </si>
  <si>
    <t>סה"כ תיאטרון</t>
  </si>
  <si>
    <t xml:space="preserve">סינמטק תל - אביב (ע"ר)- כולל סינמטק ,פסטיבלים, ארכיון </t>
  </si>
  <si>
    <t>אקט- איגוד עובדים בקולנוע ובטלויזיה</t>
  </si>
  <si>
    <t>580544997</t>
  </si>
  <si>
    <t>דוקווילאג' (ע"ר)</t>
  </si>
  <si>
    <t>אילון</t>
  </si>
  <si>
    <t xml:space="preserve">הספרייה המרכזית לעוורים </t>
  </si>
  <si>
    <t>מ. מ. ביר אל-מכסור</t>
  </si>
  <si>
    <t>ביר אל מכסור</t>
  </si>
  <si>
    <t>500212865</t>
  </si>
  <si>
    <t>מ. מ. שגב-שלום</t>
  </si>
  <si>
    <t>שגב-שלום</t>
  </si>
  <si>
    <t>מ.מ. מעלה עירון- להקת דבקה+ בי"ס לאמנות</t>
  </si>
  <si>
    <t>עיריית עכו</t>
  </si>
  <si>
    <t>אלמיאדין תיאטרון א. א. פחם (ע"ר)</t>
  </si>
  <si>
    <t>באב אל חארה- התיאטרון הכפרי לתרבות</t>
  </si>
  <si>
    <t>מ.ע.א. מונתדא אלמועיאלת אלוחידאת (ע</t>
  </si>
  <si>
    <t>עמותת אנג'אם לקידום המוסיקה (ע"ר)</t>
  </si>
  <si>
    <t>סיראג' (ע"ר)</t>
  </si>
  <si>
    <t>ראמה</t>
  </si>
  <si>
    <t>פוליפוני לחינוך בע"מ (חל"צ)</t>
  </si>
  <si>
    <t>נא לגעת</t>
  </si>
  <si>
    <t>500275003</t>
  </si>
  <si>
    <t>500264007</t>
  </si>
  <si>
    <t>מ.א. הגליל התחתון- (ב- 2012-נותנים במה נהר הירדן), (מ- 2013- חבורת זמר)</t>
  </si>
  <si>
    <t>מ.א. מעלה יוסף - בתי"ס למחול ולמוסיקה</t>
  </si>
  <si>
    <t>תיאטרון מחול ירושלים (תמרה מיאלניק)</t>
  </si>
  <si>
    <t>התאחדות עולי אמריקה וקנדה בישראל</t>
  </si>
  <si>
    <t>תיאטרון נקודה טובה</t>
  </si>
  <si>
    <t>כוכב השחר</t>
  </si>
  <si>
    <t>אלון יזרעאל- מחול בעמק</t>
  </si>
  <si>
    <t>גבעת אלה</t>
  </si>
  <si>
    <t>עירית רחובות- פסטיבל לפסלים חיים השישי</t>
  </si>
  <si>
    <t>תיאטרון הפרינג' בב"ש- פסטיבל פרינג'B7</t>
  </si>
  <si>
    <t>עונת התרבות הירושלמית - פסטיבל ירושלים למוסיקה מקודשת</t>
  </si>
  <si>
    <t>תמיכה 2016</t>
  </si>
  <si>
    <t>תמיכה  2016</t>
  </si>
  <si>
    <t>580014231</t>
  </si>
  <si>
    <t>חיבה - התנועה למורשת ישראל (ע"ר)</t>
  </si>
  <si>
    <t>580578276</t>
  </si>
  <si>
    <t>פורום מוסדות תרבות ואמנות בישראל (ע</t>
  </si>
  <si>
    <t>580574267</t>
  </si>
  <si>
    <t>פורום עמותות תרבות ערביות (ע"ר)</t>
  </si>
  <si>
    <t>580339547</t>
  </si>
  <si>
    <t>עמירים - כפר ג'וליס (ע"ר)</t>
  </si>
  <si>
    <t>580383107</t>
  </si>
  <si>
    <t>מכון להפצת משפט התורה (ע"ר)</t>
  </si>
  <si>
    <t>580529725</t>
  </si>
  <si>
    <t>רשת כוללים ומוסדות תורה בן מלך (ע"ר</t>
  </si>
  <si>
    <t>500223086</t>
  </si>
  <si>
    <t>מ. א. הגלבוע</t>
  </si>
  <si>
    <t>תיאטרון יפו (מקומי)</t>
  </si>
  <si>
    <t>580533404</t>
  </si>
  <si>
    <t>התיאטרון העברי - עמותה לטיפוח תרבות</t>
  </si>
  <si>
    <t>תיאטרון מופע (עדי- עמותה לתיאטרון ילדים ונוער)</t>
  </si>
  <si>
    <t>עיריית בת ים- מחזות זמר</t>
  </si>
  <si>
    <t>נהר אפרסמון</t>
  </si>
  <si>
    <t>580545119</t>
  </si>
  <si>
    <t>קבוצת תהל (ע"ר)</t>
  </si>
  <si>
    <t>תיאטרון נקודה טובה (ע"ר)</t>
  </si>
  <si>
    <t>מעגל תרבות (ע"ר)</t>
  </si>
  <si>
    <t>התיאטרון החברתי משו משו (ע"ר)</t>
  </si>
  <si>
    <t>580580983</t>
  </si>
  <si>
    <t>תאטרון עמוקה (ע"ר)</t>
  </si>
  <si>
    <t>500210638</t>
  </si>
  <si>
    <t>רננות - המכון למוסיקה יהודית</t>
  </si>
  <si>
    <t>מוסיקה  מזרח-מערב</t>
  </si>
  <si>
    <t>עמותת מקהלות מורן והבית לשירה בישראל</t>
  </si>
  <si>
    <t>האנסמבל הקולי הישראלי (1995) (ע"ר)</t>
  </si>
  <si>
    <t>580450898</t>
  </si>
  <si>
    <t>בר-קיימא לתרבות, אמנות, מוסיקה ושלו</t>
  </si>
  <si>
    <t>א.מ.א. - אומנות מקורית אלטרנטיבית (</t>
  </si>
  <si>
    <t>מוזיאון העמק- קבוץ יפעת</t>
  </si>
  <si>
    <t>החברה לפיתוח תיאטרון מוסיקה ומחול חולון בע"מ -מוזיאון הקריקטורה והקומיקס+ מוזיאון העיצוב</t>
  </si>
  <si>
    <t>מוזיאון ישראל - אירועי מחול</t>
  </si>
  <si>
    <t>תיאטרון מחול ירושלים (תמרה מיאלניק התאטרון הירושלמי למחול)</t>
  </si>
  <si>
    <t>הבלט הישראלי (אגודת ידידי הבלט הקלאסי בישראל)</t>
  </si>
  <si>
    <t>580310878</t>
  </si>
  <si>
    <t>בית מורשת אורי צבי גרינברג (ע"ר)</t>
  </si>
  <si>
    <t>עירית דימונה- אירועי ספרות</t>
  </si>
  <si>
    <t>עירית קרית ים- פעילות ספרות</t>
  </si>
  <si>
    <t>מינהל קהילתי רמות אלון - ערבים ספרותיים</t>
  </si>
  <si>
    <t>עין צורים</t>
  </si>
  <si>
    <t>תואר</t>
  </si>
  <si>
    <t>ידידי יוסף ורבקה באו- תל אביב</t>
  </si>
  <si>
    <t>הו! עמותה לספרות עברית</t>
  </si>
  <si>
    <t>כביש אחד</t>
  </si>
  <si>
    <t>העמותה ליצירה פנטסטית וספקולטיבית ב</t>
  </si>
  <si>
    <t>מ.א. הגליל העליון- סימפוזיון אמנות</t>
  </si>
  <si>
    <t xml:space="preserve">גליל עליון </t>
  </si>
  <si>
    <t>עירית סח'נין- סימפוזיון פיסול</t>
  </si>
  <si>
    <t>מרכז תרבות במצפה רמון</t>
  </si>
  <si>
    <t>מרכז קהילתי בטירת כרמל</t>
  </si>
  <si>
    <t>מכון טכנולוגי חולון מ.ט.ח.</t>
  </si>
  <si>
    <t>מדרשת שכטר</t>
  </si>
  <si>
    <t>מנשר- לאמנות</t>
  </si>
  <si>
    <t>דרום- עמותה לקידום אמנות ותרבות</t>
  </si>
  <si>
    <t>סטודיו משלך- מרכז לנשים אמניות</t>
  </si>
  <si>
    <t xml:space="preserve">כורש- עמותה לקידום אמנות ותרבות </t>
  </si>
  <si>
    <t>מקום לאמנות- המרכז לקידום הביאנלה</t>
  </si>
  <si>
    <t xml:space="preserve">מרסל, לדיקום אמנות ותרבות </t>
  </si>
  <si>
    <t>הסדנא רד-ליין</t>
  </si>
  <si>
    <t>ארט פרוג'קט ג'רוזלם</t>
  </si>
  <si>
    <t>580617660</t>
  </si>
  <si>
    <t>בין שמיים לארץ (ע"ר)- פסטיבל בין שמיים לארץ</t>
  </si>
  <si>
    <t>מדרשת שדה בוקר בנגב- פרסטיבל ימי שירה במדבר</t>
  </si>
  <si>
    <t>תיאטרון אורנה פורת לילדים- פסטיבל הצגות ילדים</t>
  </si>
  <si>
    <t>מוסיקה מזרח- מערב- פסטיבל המוסיקה</t>
  </si>
  <si>
    <t>עמותת הכוריאוגרפים - פסטיבל ארנבת מרץ</t>
  </si>
  <si>
    <t>מרכז קהילתי בנימינה- פסטיבל בנימינה</t>
  </si>
  <si>
    <t xml:space="preserve">מ.א. הערבה התיכונה- פסטיבל סרטים בערבה </t>
  </si>
  <si>
    <t>הערבה התיכונה</t>
  </si>
  <si>
    <t>החברה לאמנות ולתרבות הרצליה- סינמטק הרצליה</t>
  </si>
  <si>
    <t>מ.מ. אליכין- פעילות חובבים</t>
  </si>
  <si>
    <t>אליכין</t>
  </si>
  <si>
    <t>גן יבנה</t>
  </si>
  <si>
    <t>מ.מ. גן יבנה- חבורות זמר ולהקת המחול</t>
  </si>
  <si>
    <t>עירית יקנעם עילית- תזמורת נוער</t>
  </si>
  <si>
    <t>יקנעם עילית</t>
  </si>
  <si>
    <t>מ.מ. בני עי"ש- מקהלה</t>
  </si>
  <si>
    <t>בני עי"ש</t>
  </si>
  <si>
    <t>מ.א. מנשה- להקת מחול</t>
  </si>
  <si>
    <t>מנשה</t>
  </si>
  <si>
    <t>מ.מ. אורנית- חבורת הזמר</t>
  </si>
  <si>
    <t>עירית בת ים- קבוצת תיאטרון נוער</t>
  </si>
  <si>
    <t>אורנית</t>
  </si>
  <si>
    <t>מ.א. מטה בנימין - מקהלת חובבים ותיאטרון חובבים</t>
  </si>
  <si>
    <t>מטה בנימין</t>
  </si>
  <si>
    <t>מרכז קהילתי קרית ארבע חברון</t>
  </si>
  <si>
    <t>בית החסידות- מפעלי חינוך, תורב- קורס ציור</t>
  </si>
  <si>
    <t>אגודת קרית חב"ד בעיה"ק צפת</t>
  </si>
  <si>
    <t>נחל נבע מקור חכמה- מקהלת חובבים</t>
  </si>
  <si>
    <t xml:space="preserve">תנועת תרבות - בית היוצר לחידוש התרבות </t>
  </si>
  <si>
    <t>אהב"י- העמותה לקידום אמנות העם- תחרות הפרס ע"ש לאה פורת</t>
  </si>
  <si>
    <t>סופיה- יוזמה לתרבות אדם חדשה</t>
  </si>
  <si>
    <t>הרדוף</t>
  </si>
  <si>
    <t>פריפריה</t>
  </si>
  <si>
    <t>מ.מ. דיר אל-אסד</t>
  </si>
  <si>
    <t>דיר אל- אסד</t>
  </si>
  <si>
    <t>מ.מ. מעיליא</t>
  </si>
  <si>
    <t>עיריית כפר קאסם</t>
  </si>
  <si>
    <t xml:space="preserve">כפר קאסם </t>
  </si>
  <si>
    <t>עיריית רהט</t>
  </si>
  <si>
    <t>נוה הבדואים</t>
  </si>
  <si>
    <t>עספיא</t>
  </si>
  <si>
    <t>מרכז קהילתי - מתנ"ס מג'ד אלכרום</t>
  </si>
  <si>
    <t>מג'ד אלכרום</t>
  </si>
  <si>
    <t>יאללא</t>
  </si>
  <si>
    <t>לוגוס לתרבויות ומורשת עמים</t>
  </si>
  <si>
    <t>אלמועלם לתיאטרון ודרמה</t>
  </si>
  <si>
    <t>500200266</t>
  </si>
  <si>
    <t>מ. מ. ראש פינה</t>
  </si>
  <si>
    <t>500200316</t>
  </si>
  <si>
    <t>עירית אופקים</t>
  </si>
  <si>
    <t>מ. מ. אליכין</t>
  </si>
  <si>
    <t>500200431</t>
  </si>
  <si>
    <t>מ. מ. מטולה</t>
  </si>
  <si>
    <t>500200464</t>
  </si>
  <si>
    <t>500200993</t>
  </si>
  <si>
    <t>מ. מ. מצפה רמון</t>
  </si>
  <si>
    <t>500201660</t>
  </si>
  <si>
    <t>מ. מ. גן יבנה</t>
  </si>
  <si>
    <t>500202403</t>
  </si>
  <si>
    <t>עירית יקנעם עילית</t>
  </si>
  <si>
    <t>500202460</t>
  </si>
  <si>
    <t>עירית נתיבות</t>
  </si>
  <si>
    <t>500204698</t>
  </si>
  <si>
    <t>מ. מ. קרית עקרון</t>
  </si>
  <si>
    <t>500204722</t>
  </si>
  <si>
    <t>מ. מ. אבו גוש</t>
  </si>
  <si>
    <t>500204730</t>
  </si>
  <si>
    <t>מ. מ. אבו סנאן</t>
  </si>
  <si>
    <t>500204789</t>
  </si>
  <si>
    <t>מ. מ. איכסאל</t>
  </si>
  <si>
    <t>500204805</t>
  </si>
  <si>
    <t>מ. מ. בית-ג'ן</t>
  </si>
  <si>
    <t>500204813</t>
  </si>
  <si>
    <t>מ. מ. מג'אר</t>
  </si>
  <si>
    <t>500204821</t>
  </si>
  <si>
    <t>מ. מ. בועיינה-נוג'יידאת</t>
  </si>
  <si>
    <t>500204839</t>
  </si>
  <si>
    <t>מ. מ. ביענה</t>
  </si>
  <si>
    <t>500204854</t>
  </si>
  <si>
    <t>מ. מ. ג'וליס</t>
  </si>
  <si>
    <t>500204896</t>
  </si>
  <si>
    <t>מ. מ. דבורייה</t>
  </si>
  <si>
    <t>מ. מ. דיר אל-אסד</t>
  </si>
  <si>
    <t>500204920</t>
  </si>
  <si>
    <t>מ. מ. דייר-חנא</t>
  </si>
  <si>
    <t>500204946</t>
  </si>
  <si>
    <t>מ. מ. דלית אל כרמל</t>
  </si>
  <si>
    <t>500204987</t>
  </si>
  <si>
    <t>מ. מ. טורעאן</t>
  </si>
  <si>
    <t>500204995</t>
  </si>
  <si>
    <t>מ. מ. יפיע</t>
  </si>
  <si>
    <t>500205026</t>
  </si>
  <si>
    <t>מ. מ. ירכא</t>
  </si>
  <si>
    <t>500205042</t>
  </si>
  <si>
    <t>מ. מ. כאבול</t>
  </si>
  <si>
    <t>500205083</t>
  </si>
  <si>
    <t>מ. מ. כפר קמה</t>
  </si>
  <si>
    <t>500205117</t>
  </si>
  <si>
    <t>מ. מ. עילוט</t>
  </si>
  <si>
    <t>500205166</t>
  </si>
  <si>
    <t>מ. מ. מג'ד אל-כרום</t>
  </si>
  <si>
    <t>500205174</t>
  </si>
  <si>
    <t>מ. מ. מזרעה</t>
  </si>
  <si>
    <t>500205182</t>
  </si>
  <si>
    <t>מ. מ. מעיליא</t>
  </si>
  <si>
    <t>500205224</t>
  </si>
  <si>
    <t>מ. מ. נחף</t>
  </si>
  <si>
    <t>500205257</t>
  </si>
  <si>
    <t>מ. מ. סאג'ור</t>
  </si>
  <si>
    <t>500205307</t>
  </si>
  <si>
    <t>מ. מ. עילבון</t>
  </si>
  <si>
    <t>500205349</t>
  </si>
  <si>
    <t>מ. מ. עוספייא</t>
  </si>
  <si>
    <t>500205356</t>
  </si>
  <si>
    <t>מ. מ. פסוטה</t>
  </si>
  <si>
    <t>500205364</t>
  </si>
  <si>
    <t>מ. מ. פקיעין</t>
  </si>
  <si>
    <t>500205422</t>
  </si>
  <si>
    <t>מ. מ. ריינה</t>
  </si>
  <si>
    <t>500206339</t>
  </si>
  <si>
    <t>מ. מ. כפר-ברא</t>
  </si>
  <si>
    <t>500206347</t>
  </si>
  <si>
    <t>500206370</t>
  </si>
  <si>
    <t>מ. מ. ערערה</t>
  </si>
  <si>
    <t>500206545</t>
  </si>
  <si>
    <t>מ. מ. כפר קרע</t>
  </si>
  <si>
    <t>500208129</t>
  </si>
  <si>
    <t>מ. מ. שלומי</t>
  </si>
  <si>
    <t>500208319</t>
  </si>
  <si>
    <t>מ. מ. ירוחם</t>
  </si>
  <si>
    <t>500209135</t>
  </si>
  <si>
    <t>מ. מ. שבלי</t>
  </si>
  <si>
    <t>500209226</t>
  </si>
  <si>
    <t>מ. מ. רכסים</t>
  </si>
  <si>
    <t>500209622</t>
  </si>
  <si>
    <t>מ. מ. טובא-זנגריה</t>
  </si>
  <si>
    <t>500209788</t>
  </si>
  <si>
    <t>מ. מ. כעבייה-טבאש-חג'אג'רה</t>
  </si>
  <si>
    <t>500209986</t>
  </si>
  <si>
    <t>500210208</t>
  </si>
  <si>
    <t>עירית אור עקיבא</t>
  </si>
  <si>
    <t>500210547</t>
  </si>
  <si>
    <t>מ. מ. תל שבע</t>
  </si>
  <si>
    <t>500210596</t>
  </si>
  <si>
    <t>מ. מ. כסיפה</t>
  </si>
  <si>
    <t>500210612</t>
  </si>
  <si>
    <t>עירית מעלות תרשיחא</t>
  </si>
  <si>
    <t>500210661</t>
  </si>
  <si>
    <t>מ. מ. בני עי"ש</t>
  </si>
  <si>
    <t>500211370</t>
  </si>
  <si>
    <t>מ. מ. קרית יערים</t>
  </si>
  <si>
    <t>עירית כרמיאל</t>
  </si>
  <si>
    <t>500212477</t>
  </si>
  <si>
    <t>מ. מ. חריש</t>
  </si>
  <si>
    <t>500212956</t>
  </si>
  <si>
    <t>מ. מ. ינוח ג'ת</t>
  </si>
  <si>
    <t>500212964</t>
  </si>
  <si>
    <t>מ. מ. כסרא סמיע</t>
  </si>
  <si>
    <t>500213038</t>
  </si>
  <si>
    <t>מ. מ. חורה</t>
  </si>
  <si>
    <t>500213095</t>
  </si>
  <si>
    <t>500213269</t>
  </si>
  <si>
    <t>מ. מ. בסמ"ה</t>
  </si>
  <si>
    <t>500213277</t>
  </si>
  <si>
    <t>מ. מ. מעלה עירון</t>
  </si>
  <si>
    <t>500220348</t>
  </si>
  <si>
    <t>מ. מ. חצור הגלילית</t>
  </si>
  <si>
    <t>500221007</t>
  </si>
  <si>
    <t>עירית טירת כרמל</t>
  </si>
  <si>
    <t>500221015</t>
  </si>
  <si>
    <t>מ. א. הגליל העליון</t>
  </si>
  <si>
    <t>500222005</t>
  </si>
  <si>
    <t>עירית דימונה</t>
  </si>
  <si>
    <t>500222039</t>
  </si>
  <si>
    <t>מ. א. הגליל התחתון</t>
  </si>
  <si>
    <t>500222062</t>
  </si>
  <si>
    <t>מ. א. עמק הירדן</t>
  </si>
  <si>
    <t>500223078</t>
  </si>
  <si>
    <t>מ. א. עמק המעיינות</t>
  </si>
  <si>
    <t>500224001</t>
  </si>
  <si>
    <t>עירית אור יהודה</t>
  </si>
  <si>
    <t>מ. מ. גדרה</t>
  </si>
  <si>
    <t>500225651</t>
  </si>
  <si>
    <t>מ. א. אל-בטוף</t>
  </si>
  <si>
    <t>500225669</t>
  </si>
  <si>
    <t>מ. א. בוסתאן אל-מרג'</t>
  </si>
  <si>
    <t>500226006</t>
  </si>
  <si>
    <t>עירית אילת</t>
  </si>
  <si>
    <t>500226105</t>
  </si>
  <si>
    <t>עירית בית-שמש</t>
  </si>
  <si>
    <t>500226303</t>
  </si>
  <si>
    <t>עירית קרית גת</t>
  </si>
  <si>
    <t>עירית יבנה</t>
  </si>
  <si>
    <t>500227103</t>
  </si>
  <si>
    <t>עירית אום-אל-פחם</t>
  </si>
  <si>
    <t>עירית טייבה</t>
  </si>
  <si>
    <t>500228002</t>
  </si>
  <si>
    <t>עירית קרית שמונה</t>
  </si>
  <si>
    <t>500231121</t>
  </si>
  <si>
    <t>מ. א. זבולון</t>
  </si>
  <si>
    <t>500235700</t>
  </si>
  <si>
    <t>עירית אריאל</t>
  </si>
  <si>
    <t>500235742</t>
  </si>
  <si>
    <t>מ. מ. בית אל</t>
  </si>
  <si>
    <t>500236112</t>
  </si>
  <si>
    <t>מ. מ. קרית ארבע</t>
  </si>
  <si>
    <t>500236161</t>
  </si>
  <si>
    <t>עירית מעלה אדומים</t>
  </si>
  <si>
    <t>500236401</t>
  </si>
  <si>
    <t>מ. מ. קרני שומרון</t>
  </si>
  <si>
    <t>500236500</t>
  </si>
  <si>
    <t>מ. מ. אפרתה</t>
  </si>
  <si>
    <t>500236526</t>
  </si>
  <si>
    <t>מ. מ. בית אריה</t>
  </si>
  <si>
    <t>500236609</t>
  </si>
  <si>
    <t>מ. מ. עימנואל</t>
  </si>
  <si>
    <t>500237979</t>
  </si>
  <si>
    <t>עיריית מודיעין עילית</t>
  </si>
  <si>
    <t>500241005</t>
  </si>
  <si>
    <t>מ. מ. קצרין</t>
  </si>
  <si>
    <t>500242011</t>
  </si>
  <si>
    <t>מ. מ. מג'דל שמס</t>
  </si>
  <si>
    <t>500243407</t>
  </si>
  <si>
    <t>500261342</t>
  </si>
  <si>
    <t>מ. א. שפיר</t>
  </si>
  <si>
    <t>500261375</t>
  </si>
  <si>
    <t>מ. א. שער הנגב</t>
  </si>
  <si>
    <t>500262381</t>
  </si>
  <si>
    <t>מ. א. אשכול</t>
  </si>
  <si>
    <t>500262522</t>
  </si>
  <si>
    <t>מ. א. מעלה יוסף</t>
  </si>
  <si>
    <t>500262530</t>
  </si>
  <si>
    <t>מ. א. חבל אילות</t>
  </si>
  <si>
    <t>500265004</t>
  </si>
  <si>
    <t>עירית חדרה</t>
  </si>
  <si>
    <t>עירית טבריה</t>
  </si>
  <si>
    <t>500268008</t>
  </si>
  <si>
    <t>עירית קרית אתא</t>
  </si>
  <si>
    <t>עירית לוד</t>
  </si>
  <si>
    <t>500273008</t>
  </si>
  <si>
    <t>עירית נצרת</t>
  </si>
  <si>
    <t>500273727</t>
  </si>
  <si>
    <t>מ. א. שומרון</t>
  </si>
  <si>
    <t>500274733</t>
  </si>
  <si>
    <t>מ. א. מטה בנימין</t>
  </si>
  <si>
    <t>500275748</t>
  </si>
  <si>
    <t>מ. א. מגילות ים המלח</t>
  </si>
  <si>
    <t>500275755</t>
  </si>
  <si>
    <t>מ. א. ערבות הירדן</t>
  </si>
  <si>
    <t>עירית עכו</t>
  </si>
  <si>
    <t>500276761</t>
  </si>
  <si>
    <t>מ. א. גוש עציון</t>
  </si>
  <si>
    <t>500277785</t>
  </si>
  <si>
    <t>מ. א. הר חברון</t>
  </si>
  <si>
    <t>500280003</t>
  </si>
  <si>
    <t>עירית צפת</t>
  </si>
  <si>
    <t>500282009</t>
  </si>
  <si>
    <t>עירית קרית מוצקין</t>
  </si>
  <si>
    <t>500285002</t>
  </si>
  <si>
    <t>עירית רמלה</t>
  </si>
  <si>
    <t>500288006</t>
  </si>
  <si>
    <t>עירית שפרעם</t>
  </si>
  <si>
    <t>500289004</t>
  </si>
  <si>
    <t>עירית טמרה</t>
  </si>
  <si>
    <t>עירית נהריה</t>
  </si>
  <si>
    <t>500292008</t>
  </si>
  <si>
    <t>עירית בית שאן</t>
  </si>
  <si>
    <t>500295001</t>
  </si>
  <si>
    <t>עירית קרית ביאליק</t>
  </si>
  <si>
    <t>500296009</t>
  </si>
  <si>
    <t>עירית קרית ים</t>
  </si>
  <si>
    <t>500209754</t>
  </si>
  <si>
    <t>מ. מ. זרזיר</t>
  </si>
  <si>
    <t>500210604</t>
  </si>
  <si>
    <t>מ. מ. לקיה</t>
  </si>
  <si>
    <t>500211925</t>
  </si>
  <si>
    <t>מ. מ. ערערה-בנגב</t>
  </si>
  <si>
    <t>500262688</t>
  </si>
  <si>
    <t>מ.א. נווה מדבר</t>
  </si>
  <si>
    <t>500262696</t>
  </si>
  <si>
    <t>מ.א. אל קסום</t>
  </si>
  <si>
    <t>תמיכה 2016
פסטיבלים</t>
  </si>
  <si>
    <t>מספר הרשות</t>
  </si>
  <si>
    <t>שם הרשות</t>
  </si>
  <si>
    <t>תמיכה 2016
יוזמות</t>
  </si>
  <si>
    <t>סה"כ תמיכה 2016</t>
  </si>
  <si>
    <t>500200290</t>
  </si>
  <si>
    <t>מ. מ. יסוד המעלה</t>
  </si>
  <si>
    <t>עירית אשדוד</t>
  </si>
  <si>
    <t>500200704</t>
  </si>
  <si>
    <t>מ. מ. תל מונד</t>
  </si>
  <si>
    <t>500201546</t>
  </si>
  <si>
    <t>עיריית כפר יונה</t>
  </si>
  <si>
    <t>500205315</t>
  </si>
  <si>
    <t>מ. מ. עראבה</t>
  </si>
  <si>
    <t>500210158</t>
  </si>
  <si>
    <t>מ. מ. מבשרת ציון</t>
  </si>
  <si>
    <t>עירית הרצליה</t>
  </si>
  <si>
    <t>500212717</t>
  </si>
  <si>
    <t>מ. מ. להבים</t>
  </si>
  <si>
    <t>500243308</t>
  </si>
  <si>
    <t>מ. א. גזר</t>
  </si>
  <si>
    <t>500206669</t>
  </si>
  <si>
    <t>מ. מ. עומר</t>
  </si>
  <si>
    <t>500237607</t>
  </si>
  <si>
    <t>מ. מ. אורנית</t>
  </si>
  <si>
    <t>500206388</t>
  </si>
  <si>
    <t>עירית קלנסווה</t>
  </si>
  <si>
    <t>500283007</t>
  </si>
  <si>
    <t>עירית ראשון לציון</t>
  </si>
  <si>
    <t>500206818</t>
  </si>
  <si>
    <t>עיריית גבעת שמואל</t>
  </si>
  <si>
    <t>מ. א. עמק יזרעאל</t>
  </si>
  <si>
    <t>500205299</t>
  </si>
  <si>
    <t>מ. מ. איעבלין</t>
  </si>
  <si>
    <t>500290002</t>
  </si>
  <si>
    <t>עירית באר שבע</t>
  </si>
  <si>
    <t>500204961</t>
  </si>
  <si>
    <t>מ. מ. חורפיש</t>
  </si>
  <si>
    <t>500262480</t>
  </si>
  <si>
    <t>מ. א. רמת נגב</t>
  </si>
  <si>
    <t>500262548</t>
  </si>
  <si>
    <t>מ. א. הערבה התיכונה</t>
  </si>
  <si>
    <t>500224043</t>
  </si>
  <si>
    <t>מ. א. מטה אשר</t>
  </si>
  <si>
    <t>500205091</t>
  </si>
  <si>
    <t>מ. מ. כפר-כנא</t>
  </si>
  <si>
    <t>500221551</t>
  </si>
  <si>
    <t>מ. א. מבואות החרמון</t>
  </si>
  <si>
    <t>500212634</t>
  </si>
  <si>
    <t>מ. מ. כפר ורדים</t>
  </si>
  <si>
    <t>500262514</t>
  </si>
  <si>
    <t>מ. א. תמר</t>
  </si>
  <si>
    <t>500274006</t>
  </si>
  <si>
    <t>עירית נתניה</t>
  </si>
  <si>
    <t>500205109</t>
  </si>
  <si>
    <t>מ. מ. כפר מנדא</t>
  </si>
  <si>
    <t>500223136</t>
  </si>
  <si>
    <t>מ. א. מגידו</t>
  </si>
  <si>
    <t>500240015</t>
  </si>
  <si>
    <t>מ. מ. בוקעאתא</t>
  </si>
  <si>
    <t>500235601</t>
  </si>
  <si>
    <t>מ. מ. אלקנה</t>
  </si>
  <si>
    <t>500244298</t>
  </si>
  <si>
    <t>מ. א. חבל יבנה</t>
  </si>
  <si>
    <t>500286000</t>
  </si>
  <si>
    <t>עירית רמת גן</t>
  </si>
  <si>
    <t>500213525</t>
  </si>
  <si>
    <t>בנימינה-גבעת עדה</t>
  </si>
  <si>
    <t>500245022</t>
  </si>
  <si>
    <t>מ. מ. עין קיניה</t>
  </si>
  <si>
    <t>500284005</t>
  </si>
  <si>
    <t>עירית רחובות</t>
  </si>
  <si>
    <t>500237508</t>
  </si>
  <si>
    <t>מ. מ. אלפי מנשה</t>
  </si>
  <si>
    <t>500213574</t>
  </si>
  <si>
    <t>יהוד מונוסון</t>
  </si>
  <si>
    <t>500237805</t>
  </si>
  <si>
    <t>עירית ביתר עילית</t>
  </si>
  <si>
    <t>500261003</t>
  </si>
  <si>
    <t>עירית בני ברק</t>
  </si>
  <si>
    <t>500261359</t>
  </si>
  <si>
    <t>מ. א. יואב</t>
  </si>
  <si>
    <t>500293006</t>
  </si>
  <si>
    <t>מ. מ. זכרון יעקב</t>
  </si>
  <si>
    <t>500232459</t>
  </si>
  <si>
    <t>מ. א. אלונה</t>
  </si>
  <si>
    <t>500242250</t>
  </si>
  <si>
    <t>מ. א. חבל מודיעין</t>
  </si>
  <si>
    <t>500271002</t>
  </si>
  <si>
    <t>עירית אשקלון</t>
  </si>
  <si>
    <t>500241161</t>
  </si>
  <si>
    <t>מ. א. עמק חפר</t>
  </si>
  <si>
    <t>500241187</t>
  </si>
  <si>
    <t>מ. א. לב השרון</t>
  </si>
  <si>
    <t>500204870</t>
  </si>
  <si>
    <t>מ. מ. גוש חלב</t>
  </si>
  <si>
    <t>500240007</t>
  </si>
  <si>
    <t>עירית חיפה</t>
  </si>
  <si>
    <t>500205380</t>
  </si>
  <si>
    <t>מ. מ. שעב</t>
  </si>
  <si>
    <t>500244322</t>
  </si>
  <si>
    <t>מ. א. גדרות</t>
  </si>
  <si>
    <t>500287008</t>
  </si>
  <si>
    <t>עירית רעננה</t>
  </si>
  <si>
    <t>מ.מ. כאוכב אבו אלהיג'א</t>
  </si>
  <si>
    <t>מ.מ. כפר יסיף</t>
  </si>
  <si>
    <t>מ.מ. עין מאה'ל</t>
  </si>
  <si>
    <t>מ.מ. ג'יסר אל זרקא</t>
  </si>
  <si>
    <t>מ.מ. אזור</t>
  </si>
  <si>
    <t>מ.מ. ג'לג'וליה</t>
  </si>
  <si>
    <t>מ.מ. בסמת טבעון</t>
  </si>
  <si>
    <t>מ.מ. זמר</t>
  </si>
  <si>
    <t>מ.א. מנשה</t>
  </si>
  <si>
    <t>מ.מ. גבעת זאב</t>
  </si>
  <si>
    <t>מ.מ. מסעדה</t>
  </si>
  <si>
    <t>מ.מ. באקה על-גרבייה</t>
  </si>
  <si>
    <t>מ.א. באר-טוביה</t>
  </si>
  <si>
    <t>עירית ירושלים</t>
  </si>
  <si>
    <t>תל"ם - התנועה ליהדות מתקדמת בישראל- קהילת מגידו</t>
  </si>
  <si>
    <t>תל"ם - התנועה ליהדות מתקדמת בישראל- קהילת עמק חפר</t>
  </si>
  <si>
    <t>תל"ם - התנועה ליהדות מתקדמת בישראל- קהילת חוף כרמל</t>
  </si>
  <si>
    <t>תל"ם - התנועה ליהדות מתקדמת בישראל- קהילת הר חלוץ (משגב)</t>
  </si>
  <si>
    <t>תל"ם - התנועה ליהדות מתקדמת בישראל- גלבוע</t>
  </si>
  <si>
    <t>רמת נגב</t>
  </si>
  <si>
    <t>גולן</t>
  </si>
  <si>
    <t>ערבות הירדן</t>
  </si>
  <si>
    <t>מעלה יוסף</t>
  </si>
  <si>
    <t>סה"כ תקנה 42-02-07</t>
  </si>
  <si>
    <t>580024917</t>
  </si>
  <si>
    <t>מרכז מורשת הרב ניסים הראשון לציון</t>
  </si>
  <si>
    <t>580569606</t>
  </si>
  <si>
    <t>יוצרים סביבה, אמנות וקיימות בקהילה</t>
  </si>
  <si>
    <t>580129328</t>
  </si>
  <si>
    <t>איגוד המוזיאונים ואיקו"ם ישראל</t>
  </si>
  <si>
    <t>מודיעין עלית</t>
  </si>
  <si>
    <t>תמיכה 2017</t>
  </si>
  <si>
    <t>מ.א. עמק הירדן- תיאטרון הקוקיה</t>
  </si>
  <si>
    <t xml:space="preserve">עירית חדרה- פסטיבל ביכורים </t>
  </si>
  <si>
    <t>החברה לאמנות ולתרבות הרצליה בע"מ (פרויקט הפקתי)</t>
  </si>
  <si>
    <t>514262229</t>
  </si>
  <si>
    <t>סופיה-יוזמה לתרבות אדם חדשה בע"מ (ח</t>
  </si>
  <si>
    <t>קידום נתיב האמן</t>
  </si>
  <si>
    <t>אדם יוצר- טיפוח הביטוח האמנותי</t>
  </si>
  <si>
    <t>האיל המרקד</t>
  </si>
  <si>
    <t>אלעד- תיאטרון אלית והערבה</t>
  </si>
  <si>
    <t>אילות</t>
  </si>
  <si>
    <t>עמותת תיאטרון קומקום</t>
  </si>
  <si>
    <t>במת חוצות- תיאטרון מסתורין</t>
  </si>
  <si>
    <t xml:space="preserve">מרכז למוסיקה ירושלים </t>
  </si>
  <si>
    <t>צוותא לתרבות מתקדמת</t>
  </si>
  <si>
    <t xml:space="preserve">מחול שלם- תזמורת ארמון בזמן </t>
  </si>
  <si>
    <t>בין שמיים לארץ</t>
  </si>
  <si>
    <t>מוזתיקה</t>
  </si>
  <si>
    <t>נתמך מתקנת המוסיקה</t>
  </si>
  <si>
    <t xml:space="preserve">אתו"ס- החברה לאמנות תרבות וספורט חיפה (עבור תזמורת חיפה)- </t>
  </si>
  <si>
    <t xml:space="preserve">אתו"ס- החברה לאמנות תרבות וספורט חיפה (עבור תזמורת הביג בנד)- </t>
  </si>
  <si>
    <t>תזמורות- תקנה 42-02-59- גופים כליים</t>
  </si>
  <si>
    <t>תקנת מוסיקה 42-02-16</t>
  </si>
  <si>
    <t>תמיכה  2017</t>
  </si>
  <si>
    <t>תקנה 42-02-20-להקות מחול</t>
  </si>
  <si>
    <t>להקת המחול פרסקו</t>
  </si>
  <si>
    <t>להקת יסמין גודר</t>
  </si>
  <si>
    <t>תקנה 42-02-58-תקנת מחול - יוצרים עצמאיים, הרכבים מרכזים ופרויקטים</t>
  </si>
  <si>
    <t>עמותת ורטיגו למחול- ירושלים- ורטיגו בכפר</t>
  </si>
  <si>
    <t>קיבוץ נתיב הל"ה</t>
  </si>
  <si>
    <t>בלט ירושלים (קידום המחול הקלאסי בירושלים )</t>
  </si>
  <si>
    <t>580490191</t>
  </si>
  <si>
    <t>הללו - להקת מחול מקצועית</t>
  </si>
  <si>
    <t>בין שמיים לארץ (ע"ר)</t>
  </si>
  <si>
    <t>580603546</t>
  </si>
  <si>
    <t>כלים - גוף לעבודה כוריאוגרפית (ע"ר)</t>
  </si>
  <si>
    <t>580635423</t>
  </si>
  <si>
    <t>עמותת רננה רז - מחול ויצירה רב תחומ</t>
  </si>
  <si>
    <t>580632479</t>
  </si>
  <si>
    <t>580632446</t>
  </si>
  <si>
    <t>עמותה למחול ואמנויות ניב שינפלד ואו</t>
  </si>
  <si>
    <t>תיאטרון מחול יוסי ברג ועודד גרף (ע'</t>
  </si>
  <si>
    <t>מ.א. גזר</t>
  </si>
  <si>
    <t>מ.א. גזר- ארוע ספרות</t>
  </si>
  <si>
    <t>מ.א. חוף אשקלון - אירועי ספרות</t>
  </si>
  <si>
    <t>מדרשת שדה בוקר בנגב</t>
  </si>
  <si>
    <t>עירית קרית ביאליק- פסטיבל ביאליק לספרות</t>
  </si>
  <si>
    <t>הקם- פסטיבל שירה  במטולה</t>
  </si>
  <si>
    <t>הליקון-העמותה לקידום השירה בישראל-כתבי עת , פסטיבל ופרוייקטים</t>
  </si>
  <si>
    <t>עיריית לוד- מפגשים ספרותיים</t>
  </si>
  <si>
    <t>קרן מוזיאון הצייר משה קסטל</t>
  </si>
  <si>
    <t xml:space="preserve">המרכז לאמנות יהודית רוסית </t>
  </si>
  <si>
    <t>בסיס לאמנות ותרבות</t>
  </si>
  <si>
    <t>לצאת מהקופסא</t>
  </si>
  <si>
    <t>אלמז אמנות בישראל</t>
  </si>
  <si>
    <t>מקום לאמנות בקרית המלאכה</t>
  </si>
  <si>
    <t>שדה חמד</t>
  </si>
  <si>
    <t xml:space="preserve"> פסטיבל ישראל- פסטיבל גאז</t>
  </si>
  <si>
    <t>מוזיאון עתיקות הגולן- פסטיבל שי השירים</t>
  </si>
  <si>
    <t>תיאטרון הנפש- פסטיבל לתרבות אתיופית</t>
  </si>
  <si>
    <t>נוה הבדואים- פסטיבל אלבאדיה הארצי</t>
  </si>
  <si>
    <t>תנועת תרבות - בית היוצר לחידוש התרבות- פסטיבל עפוליז</t>
  </si>
  <si>
    <t>580542629</t>
  </si>
  <si>
    <t>איגוד מקצועות האנימציה (ע"ר)</t>
  </si>
  <si>
    <t>580332229</t>
  </si>
  <si>
    <t>"הנני" - עמותה לקידום קליטת יהודי א</t>
  </si>
  <si>
    <t>580567212</t>
  </si>
  <si>
    <t>הפדרציה העולמית של יהדות תוניסיה בי</t>
  </si>
  <si>
    <t>514560531</t>
  </si>
  <si>
    <t>שרשרת הדורות - דור לדור יביע אומר ב</t>
  </si>
  <si>
    <t>קריית עקרון</t>
  </si>
  <si>
    <t>580480788</t>
  </si>
  <si>
    <t>מקהלת זמרת י'ה בניצוחו של ד"ר אורי</t>
  </si>
  <si>
    <t>עיריית לוד</t>
  </si>
  <si>
    <t>המכללה האקדמית בית ברל</t>
  </si>
  <si>
    <t>מ.א. מטה יהודה - בית ספר למחול</t>
  </si>
  <si>
    <t>מ.מ. קרית ארבע- הכשרה מקצועית למחול</t>
  </si>
  <si>
    <t>בלט ירושלים,</t>
  </si>
  <si>
    <t>מ.א. אלפי מנשה</t>
  </si>
  <si>
    <t>סאנאם</t>
  </si>
  <si>
    <t>אנדור לתרבות ואמנות</t>
  </si>
  <si>
    <t>תיאטרון אלמג'ד להפקות</t>
  </si>
  <si>
    <t>עמותת מוג'תמענא</t>
  </si>
  <si>
    <t>לפיד - אפיקי דעת, שדרות (ע"ר)</t>
  </si>
  <si>
    <t>הישיבה הגדולה אהל שמעון מערלוי ירוש</t>
  </si>
  <si>
    <t>אוצר ערכי החסידות</t>
  </si>
  <si>
    <t>בשורת הארץ ע"ש יוסף, נפתלי ודבורה ב</t>
  </si>
  <si>
    <t>580069268</t>
  </si>
  <si>
    <t>נתמך מתקנת הספרות</t>
  </si>
  <si>
    <t>תקנת פריפריה</t>
  </si>
  <si>
    <t>מרכז התנועה שדרות אדמה (ליאת דרור ניר בן גל הלהקה)</t>
  </si>
  <si>
    <t>תל"ם - התנועה ליהדות מתקדמת בישראל- חבל מודיעין</t>
  </si>
  <si>
    <t>תל"ם - התנועה ליהדות מתקדמת בישראל- גליל עליון</t>
  </si>
  <si>
    <t>תמיכה 2017
יוזמות</t>
  </si>
  <si>
    <t>תמיכה 2017
פסטיבלים</t>
  </si>
  <si>
    <t>סה"כ תמיכה 2017</t>
  </si>
  <si>
    <t>מ.מ. משהד</t>
  </si>
  <si>
    <t>מ.מ. פוריידיס</t>
  </si>
  <si>
    <t>עירית אל-טירה</t>
  </si>
  <si>
    <t>מ.מ. אל עג'ר</t>
  </si>
  <si>
    <t xml:space="preserve">מ.מ. יבנאל </t>
  </si>
  <si>
    <t>מ.מ. מזכרת בתיה</t>
  </si>
  <si>
    <t>מ.מ. כפר תבור</t>
  </si>
  <si>
    <t>מ.מ. מגדל</t>
  </si>
  <si>
    <t>מ.מ. רמת ישי</t>
  </si>
  <si>
    <t>מ.מ. קדימה-צורן</t>
  </si>
  <si>
    <t>מ.מ. כוכב יאיר</t>
  </si>
  <si>
    <t>מ.מ. מיתר</t>
  </si>
  <si>
    <t>מודיעין-מכבים-רעות</t>
  </si>
  <si>
    <t>מ.מ. קרית טבעון</t>
  </si>
  <si>
    <t>מ.א. חוף השרון</t>
  </si>
  <si>
    <t>עירית תל אביב יפו</t>
  </si>
  <si>
    <t>מ.א. בני שמעון</t>
  </si>
  <si>
    <t>עירית גבעתיים</t>
  </si>
  <si>
    <t>עירית חולון</t>
  </si>
  <si>
    <t>עירית נס ציונה</t>
  </si>
  <si>
    <t>עירית פתח תקוה</t>
  </si>
  <si>
    <t>500226204</t>
  </si>
  <si>
    <t>עירית קרית אונו</t>
  </si>
  <si>
    <t>500242201</t>
  </si>
  <si>
    <t>מ. א. דרום השרון</t>
  </si>
  <si>
    <t>מ.מ. ראש פינה</t>
  </si>
  <si>
    <t>מנהל קהילתי אשכולות בע"מ (חל"צ)</t>
  </si>
  <si>
    <t>מרכזים לקהילה ולהתחדשות השכונות בעפ</t>
  </si>
  <si>
    <t>מוסדות ויזניץ בארץ הקודש</t>
  </si>
  <si>
    <t>סמינר בית יקב עלי באר</t>
  </si>
  <si>
    <t>במבראשית כרמיאל</t>
  </si>
  <si>
    <t>השתחוויה- המקום בו תיאטרון וקולנוע</t>
  </si>
  <si>
    <t>קול יוצר</t>
  </si>
  <si>
    <t>הקרן המרכזית לתרבות בישראל</t>
  </si>
  <si>
    <t>תקנה 42-02-60- ארכיונים</t>
  </si>
  <si>
    <t>קרן אהבת קדומים, תזמורת מזרח מערב</t>
  </si>
  <si>
    <t>נתמך דרך עמותת הכוריאוגרפים</t>
  </si>
  <si>
    <t>תקנה 42-02-14</t>
  </si>
  <si>
    <t>מוסדות מחקר</t>
  </si>
  <si>
    <t>שיפוצים במוסדות מרכזיים</t>
  </si>
  <si>
    <t>ארגוני גג</t>
  </si>
  <si>
    <t>מוסדות במצוקה</t>
  </si>
  <si>
    <t>צרעה מטה יהודה</t>
  </si>
  <si>
    <t>64303*</t>
  </si>
  <si>
    <t>תמיכה 2018</t>
  </si>
  <si>
    <t>תמיכה  2018</t>
  </si>
  <si>
    <t>תמיכה 2018
יוזמות</t>
  </si>
  <si>
    <t>תמיכה 2018
פסטיבלים</t>
  </si>
  <si>
    <t>סה"כ תמיכה 2018</t>
  </si>
  <si>
    <t>קרן מוזיאון הצייר משה קסטל (חל"צ)</t>
  </si>
  <si>
    <t>512102575</t>
  </si>
  <si>
    <t>580605434</t>
  </si>
  <si>
    <t>מוזיאון יהדות איטליה ע"ש ש"א נכון (</t>
  </si>
  <si>
    <t>580521946</t>
  </si>
  <si>
    <t>עמותת תיאטרון גלבוע (ע"ר)</t>
  </si>
  <si>
    <t>580547735</t>
  </si>
  <si>
    <t>בית התיאוטרון - חיבור הגוונים ברוחו</t>
  </si>
  <si>
    <t>גליא (ע''ר)</t>
  </si>
  <si>
    <t>580637221</t>
  </si>
  <si>
    <t>510490451</t>
  </si>
  <si>
    <t>חבצלת מוסדות תרבות וחנוך (מקהלת הקיבוץ הארצי)</t>
  </si>
  <si>
    <t>510506504</t>
  </si>
  <si>
    <t>מרחבים חברה לחנוך ותרבות (חל"צ)- מקהלת האיחוד</t>
  </si>
  <si>
    <t>580181741</t>
  </si>
  <si>
    <t>המרכז לתרבות האנדלוסית ולפיוט בישרא</t>
  </si>
  <si>
    <t>580210870</t>
  </si>
  <si>
    <t>מכון תל אביב לחזנות</t>
  </si>
  <si>
    <t>580350379</t>
  </si>
  <si>
    <t>עמותת קשת - קהילה, תרבות, סביבה (ע"</t>
  </si>
  <si>
    <t>580337913</t>
  </si>
  <si>
    <t>מקהלת החזנים הירושלמית (ע"ר)</t>
  </si>
  <si>
    <t>580060556</t>
  </si>
  <si>
    <t>זמרי המדריגל</t>
  </si>
  <si>
    <t>580540672</t>
  </si>
  <si>
    <t>קהילות שרות פיוט וניגון (ע"ר)</t>
  </si>
  <si>
    <t>514810860</t>
  </si>
  <si>
    <t>החברה העירונית לתרבות הפנאי בכפר סבא (תזמורת)</t>
  </si>
  <si>
    <t>580501724</t>
  </si>
  <si>
    <t>אדם יוצר - טיפוח הביטוי האמנותי (ע"</t>
  </si>
  <si>
    <t>580609584</t>
  </si>
  <si>
    <t>הקשר הווקאלי וינה - תל אביב (ע"ר)</t>
  </si>
  <si>
    <t>580094977</t>
  </si>
  <si>
    <t>580015535</t>
  </si>
  <si>
    <t>עמותת תיאטרון מחול "ענבל" e theatre</t>
  </si>
  <si>
    <t>אנחנו כאן אגודה לתרבות פולקלור וחבר</t>
  </si>
  <si>
    <t>580107977</t>
  </si>
  <si>
    <t>קידום נתיב האמן (ע"ר)</t>
  </si>
  <si>
    <t>580651362</t>
  </si>
  <si>
    <t>פלמנקו נטורל - המרכז לאמנות הפלמנקו</t>
  </si>
  <si>
    <t>תקנה 42-02-69- מוסדות ספרות</t>
  </si>
  <si>
    <t>קרן יהושע רבינוביץ לאמנויות, תל אבי</t>
  </si>
  <si>
    <t xml:space="preserve">מקום לשירה </t>
  </si>
  <si>
    <t>תקנה 42-02-68- תרגום ספרות עברית</t>
  </si>
  <si>
    <t>המכון לתרגום ספרות עברית</t>
  </si>
  <si>
    <t>ואל-קאל תוכנות בע"מ</t>
  </si>
  <si>
    <t>מ. א. עמק המעיינות- קפה ספרות</t>
  </si>
  <si>
    <t>מ.א. עמק המעיינות</t>
  </si>
  <si>
    <t>עיריית תל-אביב יפו- סמטה</t>
  </si>
  <si>
    <t>עיריית תל-אביב יפו- מרכז עינב</t>
  </si>
  <si>
    <t>500269006</t>
  </si>
  <si>
    <t>עירית כפר סבא- אירועים ספרותיים</t>
  </si>
  <si>
    <t>580022077</t>
  </si>
  <si>
    <t>חצר היישוב הישן ע"ש יצחק קפלן (ע"ר)</t>
  </si>
  <si>
    <t>580292639</t>
  </si>
  <si>
    <t>המוזיאון הארכיאולוגי בקיבוץ עין-דור</t>
  </si>
  <si>
    <t>עין דור</t>
  </si>
  <si>
    <t>אגודת סופרים ואמנים לקידום הספרות והתרבות כתב עת+ערבי שירה</t>
  </si>
  <si>
    <t>580223899</t>
  </si>
  <si>
    <t>מדרשת שכטר (ע"ר)</t>
  </si>
  <si>
    <t>מ. מ. מג'אר- סימפוזיון בינלאומי פטיש וניצה</t>
  </si>
  <si>
    <t>עירית מעלות תרשיחא- סימפוזיון הפיסול אבן בגליל</t>
  </si>
  <si>
    <t>510623754</t>
  </si>
  <si>
    <t>מרכז תרבות בערד עש סמואל רובין בע"מ</t>
  </si>
  <si>
    <t>580379428</t>
  </si>
  <si>
    <t>החברה לאמנות ולתרבות הרצליה בע"מ (ח</t>
  </si>
  <si>
    <t>580189595</t>
  </si>
  <si>
    <t>קהילתיים - תרבות פנאי וקהילה בגבעתי</t>
  </si>
  <si>
    <t>גבעתיים</t>
  </si>
  <si>
    <t>514762194</t>
  </si>
  <si>
    <t>פוטו ישראל בע"מ (חל"צ)</t>
  </si>
  <si>
    <t>האקדמיה הישראלית לקולנוע וטלוויזיה</t>
  </si>
  <si>
    <t>580520864</t>
  </si>
  <si>
    <t xml:space="preserve">העמותה ליצירה פנטסטית וספקולטיבית </t>
  </si>
  <si>
    <t>580433399</t>
  </si>
  <si>
    <t>שבי ישראל - למען אחינו האובדים (ע"ר</t>
  </si>
  <si>
    <t>מ. א. מטה יהודה- פסטיבל נאמן למקום</t>
  </si>
  <si>
    <t>עירית ראש העין - פסטיבל הג'אז</t>
  </si>
  <si>
    <t>עירית באר שבע- פסטיבלים עיריית באר שבע</t>
  </si>
  <si>
    <t>510623812</t>
  </si>
  <si>
    <t>580190080</t>
  </si>
  <si>
    <t>תיאטרון "גשר"- פסטיבל גשר הבינלאומי ביפו</t>
  </si>
  <si>
    <t>580080224</t>
  </si>
  <si>
    <t>קבוצת התיאטרון הירושלמי ע"ש בצלאל- פסטיבל יהודי בינלאומי לאמנויות הבמה</t>
  </si>
  <si>
    <t>580240216</t>
  </si>
  <si>
    <t>מרכז קהילתי - מתנ"ס מג'ד אלכרום- פסטיבל ליאלי אלמגד</t>
  </si>
  <si>
    <t>580570034</t>
  </si>
  <si>
    <t>מינהל קהילתי יובלים (ע"ר)- פסטיבל עין כרם</t>
  </si>
  <si>
    <t>580026235</t>
  </si>
  <si>
    <t>עמותת המכון הישראלי לפרסומים תלמודי</t>
  </si>
  <si>
    <t>580581395</t>
  </si>
  <si>
    <t>מכון להורות נתן (ע"ר)</t>
  </si>
  <si>
    <t>580537041</t>
  </si>
  <si>
    <t>מקום לשירה (ע"ר)- בית הספר לאמנויות המילה</t>
  </si>
  <si>
    <t>תקנה 42-02-36 בתי"ס לאמנויות</t>
  </si>
  <si>
    <t>תקנה 42-02-66 בתי ספר למחול לבני נוער</t>
  </si>
  <si>
    <t>נתמך מתקנה 66</t>
  </si>
  <si>
    <t>500232145</t>
  </si>
  <si>
    <t>מ. א. מנשה</t>
  </si>
  <si>
    <t>תל מונד</t>
  </si>
  <si>
    <t>580051068</t>
  </si>
  <si>
    <t>משגב הגליל עמותה לקידום ההתישבות בג</t>
  </si>
  <si>
    <t>קדימה-צורן</t>
  </si>
  <si>
    <t>510873938</t>
  </si>
  <si>
    <t>580494177</t>
  </si>
  <si>
    <t>"ביאת" למוסיקה ושירה (ע"ר)</t>
  </si>
  <si>
    <t>580253367</t>
  </si>
  <si>
    <t>מרכז קהילתי ג'וליס</t>
  </si>
  <si>
    <t>תל"ם - התנועה ליהדות מתקדמת בישראל- גולן</t>
  </si>
  <si>
    <t>מ. א. מבואות החרמון- תיאטרון קהילתי</t>
  </si>
  <si>
    <t>מבואות החרמון</t>
  </si>
  <si>
    <t>תמר</t>
  </si>
  <si>
    <t>מגילות ים המלח</t>
  </si>
  <si>
    <t>580216372</t>
  </si>
  <si>
    <t>580423283</t>
  </si>
  <si>
    <t>הלאה - המרכז לקידום אומנויות הבמה (</t>
  </si>
  <si>
    <t>580466787</t>
  </si>
  <si>
    <t>להקת יסמין גודר (ע''ר)</t>
  </si>
  <si>
    <t xml:space="preserve"> להקת המחול הקיבוצית-נותנים במה </t>
  </si>
  <si>
    <t>580615938</t>
  </si>
  <si>
    <t>פרוייקט פלטפורמה - תיאטרון אקטיביסט</t>
  </si>
  <si>
    <t>580603918</t>
  </si>
  <si>
    <t>המרכז לתיאטרון לוד (ע"ר)</t>
  </si>
  <si>
    <t>מ.מ אבו גוש</t>
  </si>
  <si>
    <t>580283976</t>
  </si>
  <si>
    <t>המכללה האקדמית הערבית לחינוך בישראל</t>
  </si>
  <si>
    <t>580524601</t>
  </si>
  <si>
    <t>מרכז קימידיה לתרבות ואומנות - חיפה</t>
  </si>
  <si>
    <t>580589414</t>
  </si>
  <si>
    <t>להקת המחול ביסאן (ע"ר)</t>
  </si>
  <si>
    <t>580524874</t>
  </si>
  <si>
    <t>עמותת אלמאוכב נצרת (ע"ר)</t>
  </si>
  <si>
    <t>580592731</t>
  </si>
  <si>
    <t>נקריז (ע"ר)</t>
  </si>
  <si>
    <t>580615193</t>
  </si>
  <si>
    <t>אגיאל - דיר אל אסד (ע"ר)</t>
  </si>
  <si>
    <t>דיר אל אסד</t>
  </si>
  <si>
    <t>580181394</t>
  </si>
  <si>
    <t>580002996</t>
  </si>
  <si>
    <t>580018919</t>
  </si>
  <si>
    <t>580218774</t>
  </si>
  <si>
    <t>510542814</t>
  </si>
  <si>
    <t>580314201</t>
  </si>
  <si>
    <t>580363091</t>
  </si>
  <si>
    <t>580600872</t>
  </si>
  <si>
    <t>580595346</t>
  </si>
  <si>
    <t>580582914</t>
  </si>
  <si>
    <t>רון שולמית - לקידום מחול ומוסיקה בי</t>
  </si>
  <si>
    <t>אגודת ישיבת קרלין סטולין בית אהרון</t>
  </si>
  <si>
    <t>הללו - בי"ס למחול בניגון יהודי (ע"ר</t>
  </si>
  <si>
    <t>סטארט - מרכז קהילתי לאומנויות בית ש</t>
  </si>
  <si>
    <t>הקרן המרכזית לתרבות בישראל (ע"ר)</t>
  </si>
  <si>
    <t>מחול, תרבות ואומנות (ע"ר)</t>
  </si>
  <si>
    <t xml:space="preserve">אלעד </t>
  </si>
  <si>
    <t>נתמך מתקנה 69</t>
  </si>
  <si>
    <t>מ.מ. פרדסיה</t>
  </si>
  <si>
    <t>מ.מ. כפר שמריהו</t>
  </si>
  <si>
    <t>מ.מ. סביון</t>
  </si>
  <si>
    <t>מ.א. חוף הכרמל</t>
  </si>
  <si>
    <t>מ.מ. הר-אדר</t>
  </si>
  <si>
    <t>מ.א. ברנר</t>
  </si>
  <si>
    <t xml:space="preserve">מ.מ. בית דגן </t>
  </si>
  <si>
    <t>סה"כ תקנות ספרות</t>
  </si>
  <si>
    <t>סה"כ בתי"ס תקנה 42-02-36 ותקנה 42-02-66</t>
  </si>
  <si>
    <t xml:space="preserve">נתמך מתקנת ספרות </t>
  </si>
  <si>
    <t>מרכז תרבות נוער וספורט רמת-נגב- פסטיבל "צלילים במדבר"</t>
  </si>
  <si>
    <t>כלים סוף לעבודה כוריאוגרפית- פסטיבל ארנבת מרץ</t>
  </si>
  <si>
    <t>נתמך דרך עמותת כלים לעבודה כוריאוגרפית</t>
  </si>
  <si>
    <t>הזירה הבין תחומית- פסטיבל 'פולחן הסתיו' (לשעבר קולה של המילה)</t>
  </si>
  <si>
    <t xml:space="preserve">עמותת פסטיבל בשקל - פסטיבל בשקל במעלות תרשיחא </t>
  </si>
  <si>
    <t>עמותת פסטיבל בשקל - פסטיבל 'יוצרים תרבותנו בידינו' לתרבות ערבית בגלבוע</t>
  </si>
  <si>
    <t>X</t>
  </si>
  <si>
    <t xml:space="preserve">מרכז התנועה שדרות אדמה (לשעבר ליאת דרור וניר בן גל) - פסטיבל מחול בינ"ל 'קולות האדמה' שדרות </t>
  </si>
  <si>
    <r>
      <t xml:space="preserve">מרכז לתרבות האנדלוסית ולפיוט בישראל אשדוד - </t>
    </r>
    <r>
      <rPr>
        <sz val="10"/>
        <rFont val="Arial"/>
        <family val="2"/>
        <scheme val="minor"/>
      </rPr>
      <t>פסטיבל תור הזהב</t>
    </r>
  </si>
  <si>
    <t>תאטרון "פסיק" ירושלים - 'אורות חנוכה' - פסטיבל אחר להצגות ילדים</t>
  </si>
  <si>
    <t>א.מ.א. אמנות מקורית אלטרנטיבית - פסטיבל לבונטין</t>
  </si>
  <si>
    <t>אוצר המוסיקה היהודית - פסטיבל ימי המוסיקה היהודית</t>
  </si>
  <si>
    <t>מתנ"ס אופקים - פסטיבל אופקים חגיגת תאטרוני רחוב מהעולם</t>
  </si>
  <si>
    <t>עיריית מעלות תרשיחא- פסטיבל טועמים תרבות</t>
  </si>
  <si>
    <t>נתמך מתקנת אמנות פלסטית</t>
  </si>
  <si>
    <r>
      <t>תאטרון הפרינג' באר שבע-י</t>
    </r>
    <r>
      <rPr>
        <sz val="10"/>
        <rFont val="Arial"/>
        <family val="2"/>
      </rPr>
      <t>וצרים</t>
    </r>
    <r>
      <rPr>
        <sz val="10"/>
        <rFont val="Arial"/>
        <family val="2"/>
        <charset val="177"/>
      </rPr>
      <t xml:space="preserve"> </t>
    </r>
    <r>
      <rPr>
        <sz val="10"/>
        <rFont val="Arial"/>
        <family val="2"/>
      </rPr>
      <t>עצמאיים</t>
    </r>
  </si>
  <si>
    <t>תל"ם - התנועה ליהדות מתקדמת בישראל- קהילת צור הדסה (מטה יהודה)</t>
  </si>
  <si>
    <t xml:space="preserve">תל"ם - התנועה ליהדות מתקדמת בישראל- קהילת יהל והערבה (מ.א. חבל אילות וערבה תיכונה) </t>
  </si>
  <si>
    <t>התנועה המסורתית he masorti movement - קהילת קטורה (מ.א. חבל אילות)</t>
  </si>
  <si>
    <t>חב' מוסדות חנוך תרבות והתחדשות שכונות קדימה</t>
  </si>
  <si>
    <t>תקנה 42-02-15-תיאטרון רפרטוארי</t>
  </si>
  <si>
    <t>איגוד המפיקים לקולנוע וטלוויזיה</t>
  </si>
  <si>
    <t>איגוד הבמאיות והבמאים</t>
  </si>
  <si>
    <t>אקט איגוד עובדים בקולנוע ובטלוויזיה</t>
  </si>
  <si>
    <t xml:space="preserve">איגוד התסריטאים </t>
  </si>
  <si>
    <t>הפורום הדוקומנטרי בישראל</t>
  </si>
  <si>
    <t>וזאת לראיה מפעלי תרבות ותורה להנצ</t>
  </si>
  <si>
    <t>בית ועד הר חברון</t>
  </si>
  <si>
    <t>עתניאל</t>
  </si>
  <si>
    <t>איגוד העורכים - איגוד מקצועות הפוסט</t>
  </si>
  <si>
    <t>איגוד מקצועות האנימציה</t>
  </si>
  <si>
    <t>תמיכה 2019</t>
  </si>
  <si>
    <t>תמיכה  2019</t>
  </si>
  <si>
    <t>תמיכה 2019
יוזמות</t>
  </si>
  <si>
    <t>תמיכה 2019
פסטיבלים</t>
  </si>
  <si>
    <t>סה"כ תמיכה 2019</t>
  </si>
  <si>
    <t>סולמות- יהדות חינוך ורווחה</t>
  </si>
  <si>
    <t>חברת בית יציב ב.ש בע"מ- מוזיאון קרסו</t>
  </si>
  <si>
    <t xml:space="preserve">ק.ט.מ.ו.ן - קבוצת מחול בירושלים </t>
  </si>
  <si>
    <t xml:space="preserve">ק.ט.מ.ו.ן- קבוצת מחול בירושלים- פסטיבל מיפו עד אגריפס </t>
  </si>
  <si>
    <t xml:space="preserve">בין שמיים לארץ שם שם </t>
  </si>
  <si>
    <t xml:space="preserve">הביאנלה של ירושלים </t>
  </si>
  <si>
    <t>התאחדות האדריכלים ובוני הערים בישראל</t>
  </si>
  <si>
    <t xml:space="preserve">יוצרים תרבות </t>
  </si>
  <si>
    <t>מ. א. מגידו- פרויקט "סימון שבילים"</t>
  </si>
  <si>
    <t>מ.מ. ראמה- פסטיבל פיסול</t>
  </si>
  <si>
    <t>מודיעין - מכבים-רעות- גלריה</t>
  </si>
  <si>
    <t>מודיעין - מכבים-רעות</t>
  </si>
  <si>
    <t>מרכז קהילתי ביבנה ע"ש גרמנוב</t>
  </si>
  <si>
    <t>עיריית אילת- ביאנלה לאמנות</t>
  </si>
  <si>
    <t>עיריית ירושלים- גלריות ופרויקטים</t>
  </si>
  <si>
    <t>על התפר (ע"ר) (.he seam association</t>
  </si>
  <si>
    <t>עמותה לקידום בית חנקין בכפר יהושע</t>
  </si>
  <si>
    <t>תיאטרון יפו - תערוכות של אמנים פלסטיים יהודים וערבים</t>
  </si>
  <si>
    <t>אלמדאין גרוב - מג'ד אלכרום</t>
  </si>
  <si>
    <t>אלמדינה לתרבות ואמנות</t>
  </si>
  <si>
    <t>המרכז למוסיקה ע"ש פיליציה בלומנטל- מקהלה ראנה</t>
  </si>
  <si>
    <t xml:space="preserve">העמותה לחינוך ספרותי, מורשת ואמנות </t>
  </si>
  <si>
    <t xml:space="preserve">חיפה </t>
  </si>
  <si>
    <t>מרכז אל - קלעה לאומנויות הבמה</t>
  </si>
  <si>
    <t>ריינה</t>
  </si>
  <si>
    <t>סול</t>
  </si>
  <si>
    <t xml:space="preserve">עמותת אדים למוסיקה, אמנות ותרבות </t>
  </si>
  <si>
    <t>תיאטרון אלעין</t>
  </si>
  <si>
    <t>עיריית טמרה- פסטיבל קולנוע ארצי</t>
  </si>
  <si>
    <t>המרכז הקהילתי בטמרה ע"ש שיך זכי דיאב</t>
  </si>
  <si>
    <t>אלג'יאל טמרה</t>
  </si>
  <si>
    <t>580044873</t>
  </si>
  <si>
    <t>580600542</t>
  </si>
  <si>
    <t>עמותת תיאטרון קומקום (ע"ר)</t>
  </si>
  <si>
    <t>580111185</t>
  </si>
  <si>
    <t>להקת מחול בת-שבע</t>
  </si>
  <si>
    <t>580610962</t>
  </si>
  <si>
    <t>הבית למחול (ע"ר)</t>
  </si>
  <si>
    <t>580352490</t>
  </si>
  <si>
    <t>הזירה הבין-תחומית (ע"ר)</t>
  </si>
  <si>
    <t xml:space="preserve">מיוזיק פורט - מוביליות וקידום מוזיקה - </t>
  </si>
  <si>
    <t>תקנת זמר עברי 42-02-55</t>
  </si>
  <si>
    <t>580019917</t>
  </si>
  <si>
    <t>הורה ירושלים, עמותה עירונית למחול ו</t>
  </si>
  <si>
    <t>580036242</t>
  </si>
  <si>
    <t>580017077</t>
  </si>
  <si>
    <t>580144624</t>
  </si>
  <si>
    <t>580499143</t>
  </si>
  <si>
    <t>אלון יזרעאל - מחול בעמק (ע"ר)</t>
  </si>
  <si>
    <t>510550759</t>
  </si>
  <si>
    <t>511854788</t>
  </si>
  <si>
    <t>580016715</t>
  </si>
  <si>
    <t>580146850</t>
  </si>
  <si>
    <t>580333896</t>
  </si>
  <si>
    <t>580280550</t>
  </si>
  <si>
    <t>עירית רמלה- להקת כנען</t>
  </si>
  <si>
    <t>איל"ן אגוד ישראלי לילדים נפגעים - להקת ריקודים על כסאות גלגלים - סניף חיפה</t>
  </si>
  <si>
    <t>איל"ן אגוד ישראלי לילדים נפגעים להקת ריקודים על כסאות גלגלים -סניף ר.נ.י</t>
  </si>
  <si>
    <t>מ. א. מרום הגליל- להקת המחול הכורדית</t>
  </si>
  <si>
    <t>עירית באר שבע- להקת פרגוד</t>
  </si>
  <si>
    <t>משגב הגליל עמותה לקידום ההתישבות - להקה יצוגית משגב</t>
  </si>
  <si>
    <t>מרכז תרבות וספורט כרמיאל- להקת כרמי מחול</t>
  </si>
  <si>
    <t>עמותת היכל התרבות העירוני - נתניה- להקת חבצלות</t>
  </si>
  <si>
    <t>עירית קרית שמונה- להקת הורה הגואל</t>
  </si>
  <si>
    <t>חברת מוסדות חנוך תרבות בשדרות - להקת המחול הייצוגית שדרות</t>
  </si>
  <si>
    <t>מ. א. מנשה- מחולות מנשה - ריקוד עם ישראלי</t>
  </si>
  <si>
    <t>מ. מ. פרדס-חנה-כרכור- הורה אביב</t>
  </si>
  <si>
    <t>מרכז תרבות, נוער וספורט רמת נגב - להקת המחול רמת נגב</t>
  </si>
  <si>
    <t>המועדון לספורט באוניברסיטת תל-אביב- מלגות לקורס ריקודי עם</t>
  </si>
  <si>
    <t>מתנ"ס שער הנגב (ע"ר)- להקת הורה שמש</t>
  </si>
  <si>
    <t>שלום 2000 אשדוד (ע"ר) - להקת שלום אשדוד</t>
  </si>
  <si>
    <t>מתנ"ס מרכז קהילתי מטה אשר- להקת פולקלור מטה אשר</t>
  </si>
  <si>
    <t>עירית חדרה- להקת צבעי מחול</t>
  </si>
  <si>
    <t>מ. א. חוף אשקלון- להקת פעמי החוף</t>
  </si>
  <si>
    <t>מרום גליל</t>
  </si>
  <si>
    <t>רמת הנגב</t>
  </si>
  <si>
    <t>ריקוד עם ישראלי</t>
  </si>
  <si>
    <t>המכללה האקדמית ספיר- פסטיבל מדרום</t>
  </si>
  <si>
    <t>רימון בית ספר למוסיקה - פסטיבל לשימור הזמר העברי</t>
  </si>
  <si>
    <t>המרכז למורשת יהדות שאלוניקי ויוון</t>
  </si>
  <si>
    <t>עיריית תל-אביב יפו-  סמטה- אביב ישראלי</t>
  </si>
  <si>
    <t xml:space="preserve">בר-קיימא לתרבות, אמנות, מוסיקה- פסטיבל מוסיקה  </t>
  </si>
  <si>
    <t>עיריית רמלה- פסטיבל עיר עולם</t>
  </si>
  <si>
    <t>אלמינא- בית ליוצרים</t>
  </si>
  <si>
    <t>מ.ע.ט.ף- המרכז הישראלי לחילופי תרבות עממית ופולקלור - פסטיבל בינ"ל לפולקלור</t>
  </si>
  <si>
    <t>אשרת</t>
  </si>
  <si>
    <t>מרכז תרבות במצפה רמון- פסטיבל אינטימדבר+ פסטיבל פרמאטה</t>
  </si>
  <si>
    <t>מ.א. שומרון- פסטיבל כליזמרים</t>
  </si>
  <si>
    <t>החברה העירונית לתרבות, ספורטנ אשדוד- פסטיבל אשדוד דאנס + פסטיבל היפ הופ+ פסטיבל פרינג'</t>
  </si>
  <si>
    <t xml:space="preserve">עיריית נצרת- קריסמס מרקט </t>
  </si>
  <si>
    <t>תיאטרון אלסראיא הערבי- יפו- פרסטיל באישה</t>
  </si>
  <si>
    <t xml:space="preserve">נתמך בתקנת קבוצות תיאטרון </t>
  </si>
  <si>
    <t>נתמך בתקנת תיאטרון רפרטוארי</t>
  </si>
  <si>
    <t xml:space="preserve">נתמך מתקנת המוסיקה </t>
  </si>
  <si>
    <t>האורקסטרה - תזמורת הג'אז הישראלית</t>
  </si>
  <si>
    <t>הערת שוליים - מקהלת ג'אז</t>
  </si>
  <si>
    <t>קרן התרבות אמריקה- ישראל- תחרויות האביב</t>
  </si>
  <si>
    <t>תאטרון הפרינג' באר שבע</t>
  </si>
  <si>
    <t xml:space="preserve">מרכז תרבות באופקים </t>
  </si>
  <si>
    <t>ביה"ס סם שפיגל לקולנוע וטלויזיה</t>
  </si>
  <si>
    <t>נתמך בתקנה 58</t>
  </si>
  <si>
    <t>עיריית ראשון לציון- אירועי ספרות</t>
  </si>
  <si>
    <t>מרכז החאן- אירועי ספרות</t>
  </si>
  <si>
    <t xml:space="preserve">החברה ההיסטורית הישראלית </t>
  </si>
  <si>
    <t xml:space="preserve">עמותה למיחשוב ספרות עברית </t>
  </si>
  <si>
    <t>תקנה 42-02-22- ספרות+ 42-02-67 כתבי עת</t>
  </si>
  <si>
    <t>נתמך בתקנה 68</t>
  </si>
  <si>
    <t>נתמך בתקנה 69</t>
  </si>
  <si>
    <t>להקת מחול רועי אסף</t>
  </si>
  <si>
    <t>לכיש</t>
  </si>
  <si>
    <t>הבית למחול</t>
  </si>
  <si>
    <t>העמותה לקונטאקט אימפרוביזציה בישראל</t>
  </si>
  <si>
    <t xml:space="preserve">מ.א. עמק הירדן- בה"כ למחול </t>
  </si>
  <si>
    <t>צומת ראם</t>
  </si>
  <si>
    <t xml:space="preserve">הורה ירושלים </t>
  </si>
  <si>
    <t>מ.א. גולן</t>
  </si>
  <si>
    <t>מ.א. שהם</t>
  </si>
  <si>
    <t>נתמך מתקנה 67</t>
  </si>
  <si>
    <t>42-02-70</t>
  </si>
  <si>
    <t>המרכז למורשת הדרוזים בישראל</t>
  </si>
  <si>
    <t>יאנוח-ג'ת</t>
  </si>
  <si>
    <t>המרכז למורשת יהדות אתיופיה</t>
  </si>
  <si>
    <t>42-02-50</t>
  </si>
  <si>
    <t>580172831</t>
  </si>
  <si>
    <t>עלי שיח (ע"ר)</t>
  </si>
  <si>
    <t>580263424</t>
  </si>
  <si>
    <t>מכון זכר שאול לחקר הלכה</t>
  </si>
  <si>
    <t>580569515</t>
  </si>
  <si>
    <t>מרכז חינוך ליאו באק</t>
  </si>
  <si>
    <t>קהילת יער רמות</t>
  </si>
  <si>
    <t>הקהילה המסורתית רעננה</t>
  </si>
  <si>
    <t>קהילת מבקשי דרך בירושלים</t>
  </si>
  <si>
    <t>קהילת הר-אל חברה בתנועה ליהדות</t>
  </si>
  <si>
    <t>בית כנסת קדם - הקהילה ליהדות מתקדמת</t>
  </si>
  <si>
    <t xml:space="preserve">קהילת רמות ציון </t>
  </si>
  <si>
    <t xml:space="preserve">קהילת נצח ישראל, אפרידר אשקלון </t>
  </si>
  <si>
    <t>קהילת כל הנשמה</t>
  </si>
  <si>
    <t>קהילת הרכם בכרמיאל</t>
  </si>
  <si>
    <t xml:space="preserve">קהילת רענן ליהדות מתקדמת </t>
  </si>
  <si>
    <t xml:space="preserve">תל"ם - התנועה ליהדות מתקדמת בישראל- קהילת רמת נגב (מ.א. רמת נגב) </t>
  </si>
  <si>
    <t>תל"ם - התנועה ליהדות מתקדמת בישראל- קהילת נתניה</t>
  </si>
  <si>
    <t>תל"ם - התנועה ליהדות מתקדמת בישראל- קהילת ראשל"צ</t>
  </si>
  <si>
    <t>תל"ם - התנועה ליהדות מתקדמת בישראל- קהילת ראש פינה</t>
  </si>
  <si>
    <t>תל"ם - התנועה ליהדות מתקדמת בישראל- קהילת גדרה</t>
  </si>
  <si>
    <t>תל"ם - התנועה ליהדות מתקדמת בישראל- קהילת השחר</t>
  </si>
  <si>
    <t>תל"ם - התנועה ליהדות מתקדמת בישראל- קהילת שירת הגן</t>
  </si>
  <si>
    <t>תל"ם - התנועה ליהדות מתקדמת בישראל- ארגון מלווה תנועה רפורמית</t>
  </si>
  <si>
    <t>המניין המשפטית המסורתי של כפר ורדים</t>
  </si>
  <si>
    <t>קהילת בבת עין- ראש העין</t>
  </si>
  <si>
    <t xml:space="preserve">ציון- קהילה ארצישראלית בירושלים </t>
  </si>
  <si>
    <t>התנועה המסורתית he masorti movement - קהילת בית הכרם</t>
  </si>
  <si>
    <t>התנועה המסורתית he masorti movement - קהילת צור יצחק (מ.א. דרום השרון)</t>
  </si>
  <si>
    <t>המכון הבינ"ל ליהדות חילונית הומניסטית - תמורה ישראל - קהילת שיחה בת חפר (מ.א. עמק חפר)</t>
  </si>
  <si>
    <t>המכון הבינ"ל ליהדות חילונית הומניסטית - תמורה ישראל - קהילת שיחה בת חפר (עין גדי)</t>
  </si>
  <si>
    <t>המכון הבינ"ל ליהדות חילונית הומניסטית - תמורה ישראל - קהילת שיחה עין דור (מ.א. תמר)</t>
  </si>
  <si>
    <t>התנועה המסורתית he masorti movement - ארגון מלווה</t>
  </si>
  <si>
    <t>התנועה המסורתית he masorti movement - קהילת מזכרת בתיה</t>
  </si>
  <si>
    <t>מ. א. שדות דן</t>
  </si>
  <si>
    <t>עירית נוף הגליל</t>
  </si>
  <si>
    <t>מ.מ. ג'דיידה מכר</t>
  </si>
  <si>
    <t>נתמך דרך ק.ט.מ.ו.ן- קבוצת מחול בירושלים</t>
  </si>
  <si>
    <t>תיאטרון תנועה "תמו-נע" - פסטיבל טקטוניקס</t>
  </si>
  <si>
    <t>עירית כפר סבא - פסטיבל תזמורות כפר סבא (נושפים)</t>
  </si>
  <si>
    <t>מ.א. מרום הגליל- פסטיבל בין הכרמים</t>
  </si>
  <si>
    <t>תל"ם - התנועה ליהדות מתקדמת בישראל- קהילת אמת ושלום נהריה</t>
  </si>
  <si>
    <t>קהילת אשל אברהם</t>
  </si>
  <si>
    <t>תיאטרון מחול אבשלום פולק (להקת מחול ענבל פנטו)</t>
  </si>
  <si>
    <t>בין שמיים לארץ (ע"ר)- תמי ורונן יצחקי</t>
  </si>
  <si>
    <t>עיריית ת"א יפו- בית אריאלה- הספרייה למחול</t>
  </si>
  <si>
    <t>מתנ"ס מטה אשר- עבור אולפן מחול+ סדנה</t>
  </si>
  <si>
    <t>המרכז לתיאטרון לוד</t>
  </si>
  <si>
    <t xml:space="preserve">תיאטרון השחר- רב תרבותי </t>
  </si>
  <si>
    <t>תיאטרון לילדים ולנוער באר שבע</t>
  </si>
  <si>
    <t>העמותה לקידום תרבות התאטרון</t>
  </si>
  <si>
    <t xml:space="preserve">רחובות </t>
  </si>
  <si>
    <t>החברה לפיתוח תיאטרון  אומנות מוסיקה ומחול חולון בע"מ- פסטיבל פרינט סקרין</t>
  </si>
  <si>
    <t xml:space="preserve">החברה לפיתוח תיאטרון  אומנות מוסיקה ומחול חולון בע"מ- פסטיבל צלילי ילדות </t>
  </si>
  <si>
    <t xml:space="preserve">עמותת הכוריאוגרפים - פסטיבל מיפו עד אגריפס </t>
  </si>
  <si>
    <t>תיאטרון תנועה "תמו-נע" - פסטיבל א-ז'אנר</t>
  </si>
  <si>
    <t>צוותא - פסטיבל תיאטרון קצר</t>
  </si>
  <si>
    <t>צוותא לתרבות מתקדמת-  פסטיבל תיאטרון קריאה</t>
  </si>
  <si>
    <t xml:space="preserve">תיאטרון ירושלים- פסטיבל סוף הקיץ </t>
  </si>
  <si>
    <t>תיאטרון ירושלים- פסטיבל פסנתרים</t>
  </si>
  <si>
    <t>עמותת היכל התרבות העירוני - נתניה - פסטיבל הליצנים</t>
  </si>
  <si>
    <t>עמותת היכל התרבות נתניה - פסטיבל פניני גיטרה</t>
  </si>
  <si>
    <t>המשכן לאמנויות הבמה הפיס אשדוד - פסטיבל אושפיזין מוסיקלי</t>
  </si>
  <si>
    <t>החברה העירונית לתרבות הפנאי בכפר סבא- פסטיבל שירי משוררים</t>
  </si>
  <si>
    <t xml:space="preserve">החברה העירונית לתרבות הפנאי בכפר סבא- פסטיבל למחול טנגו </t>
  </si>
  <si>
    <r>
      <t xml:space="preserve">בית הגפן המרכז הערבי יהודי לתרבות,חברה,נוער וספורט- </t>
    </r>
    <r>
      <rPr>
        <sz val="10"/>
        <rFont val="Arial (Hebrew)"/>
        <charset val="177"/>
      </rPr>
      <t>"פסטיבל ימי תרבות" (חודש התרבות הערבית)</t>
    </r>
  </si>
  <si>
    <r>
      <t xml:space="preserve">בית הגפן המרכז הערבי יהודי לתרבות,חברה,נוער וספורט- </t>
    </r>
    <r>
      <rPr>
        <sz val="10"/>
        <rFont val="Arial (Hebrew)"/>
        <charset val="177"/>
      </rPr>
      <t>פסטיבל  'חג החגים'</t>
    </r>
  </si>
  <si>
    <r>
      <t>הקם-מיסודה של הקונפדרציה העולמית של הציונות המאוחדת.-</t>
    </r>
    <r>
      <rPr>
        <sz val="10"/>
        <rFont val="Arial (Hebrew)"/>
        <charset val="177"/>
      </rPr>
      <t>פסטיבל העוד הבינ"ל בירושלים</t>
    </r>
  </si>
  <si>
    <r>
      <t>הקם-מיסודה של הקונפדרציה העולמית של הציונות המאוחדת.-</t>
    </r>
    <r>
      <rPr>
        <sz val="10"/>
        <rFont val="Arial (Hebrew)"/>
        <charset val="177"/>
      </rPr>
      <t xml:space="preserve"> פסטיבל הולאגב ליצירה אתיופית ישראלית</t>
    </r>
  </si>
  <si>
    <r>
      <t xml:space="preserve">החברה לפיתוח תיאטרון אמנות מוסיקה ומחול חולון - </t>
    </r>
    <r>
      <rPr>
        <sz val="10"/>
        <rFont val="Arial"/>
        <family val="2"/>
        <charset val="177"/>
        <scheme val="minor"/>
      </rPr>
      <t xml:space="preserve">פסטיבל ימי זמר </t>
    </r>
  </si>
  <si>
    <r>
      <t>עמותת הכוריאוגרפים -</t>
    </r>
    <r>
      <rPr>
        <sz val="10"/>
        <rFont val="Arial (Hebrew)"/>
        <charset val="177"/>
      </rPr>
      <t xml:space="preserve"> פסטיבל רקודי חדר - עמוס חץ</t>
    </r>
  </si>
  <si>
    <r>
      <t xml:space="preserve">תיאטרון יפו - </t>
    </r>
    <r>
      <rPr>
        <sz val="10"/>
        <rFont val="Arial"/>
        <family val="2"/>
        <scheme val="minor"/>
      </rPr>
      <t>פסטיבל יפו הבינ"ל לילדים</t>
    </r>
  </si>
  <si>
    <r>
      <t xml:space="preserve">תיאטרון יפו - </t>
    </r>
    <r>
      <rPr>
        <sz val="10"/>
        <rFont val="Arial (Hebrew)"/>
        <charset val="177"/>
      </rPr>
      <t>פסטיבל תיאטרונטו</t>
    </r>
  </si>
  <si>
    <r>
      <t>תיאטרון יפו - '</t>
    </r>
    <r>
      <rPr>
        <sz val="10"/>
        <rFont val="Arial"/>
        <family val="2"/>
        <charset val="177"/>
        <scheme val="minor"/>
      </rPr>
      <t>פסטיבל יאפא' - פסטיבל רב תחומי לתרבות ערבית</t>
    </r>
  </si>
  <si>
    <r>
      <t xml:space="preserve">תיאטרון תנועה "תמונע" - </t>
    </r>
    <r>
      <rPr>
        <sz val="10"/>
        <rFont val="Arial"/>
        <family val="2"/>
        <scheme val="minor"/>
      </rPr>
      <t>פסטיבל אינטימדנס</t>
    </r>
  </si>
  <si>
    <r>
      <t xml:space="preserve">תיאטרון תנועה "תמונע" - </t>
    </r>
    <r>
      <rPr>
        <sz val="10"/>
        <rFont val="Arial"/>
        <family val="2"/>
        <scheme val="minor"/>
      </rPr>
      <t>פסטיבל תמונע</t>
    </r>
  </si>
  <si>
    <r>
      <t xml:space="preserve">המרכז למוסיקה ע"ש פליציה בלומנטל - </t>
    </r>
    <r>
      <rPr>
        <sz val="10"/>
        <rFont val="Arial"/>
        <family val="2"/>
      </rPr>
      <t>שבוע הגיטרה</t>
    </r>
  </si>
  <si>
    <r>
      <t xml:space="preserve">המרכז למוסיקה ע"ש פליציה בלומנטל - </t>
    </r>
    <r>
      <rPr>
        <sz val="10"/>
        <rFont val="Arial"/>
        <family val="2"/>
      </rPr>
      <t>פסטיבל "צליל מעודכן"</t>
    </r>
  </si>
  <si>
    <r>
      <t xml:space="preserve">המרכז למוסיקה ע"ש פליציה בלומנטל - </t>
    </r>
    <r>
      <rPr>
        <sz val="10"/>
        <rFont val="Arial"/>
        <family val="2"/>
      </rPr>
      <t>פסטיבל פליציה בלומנטל</t>
    </r>
  </si>
  <si>
    <r>
      <t xml:space="preserve">צוותא - </t>
    </r>
    <r>
      <rPr>
        <sz val="10"/>
        <rFont val="Arial"/>
        <family val="2"/>
        <scheme val="minor"/>
      </rPr>
      <t>פסטיבל 'אני גיטרה' (העוד לשעבר)</t>
    </r>
  </si>
  <si>
    <r>
      <t xml:space="preserve">עמותת היכל התרבות העירוני - נתניה - </t>
    </r>
    <r>
      <rPr>
        <sz val="10"/>
        <rFont val="Arial"/>
        <family val="2"/>
        <scheme val="minor"/>
      </rPr>
      <t>פסטיבל זמר עברי - פסטיווקאלי</t>
    </r>
  </si>
  <si>
    <r>
      <t xml:space="preserve">המשכן לאמנויות הבמה הפיס אשדוד בע"מ - </t>
    </r>
    <r>
      <rPr>
        <sz val="10"/>
        <rFont val="Arial"/>
        <family val="2"/>
      </rPr>
      <t>פסטיבל מדיטרנה</t>
    </r>
  </si>
  <si>
    <r>
      <t xml:space="preserve">עיריית ראשון לציון- </t>
    </r>
    <r>
      <rPr>
        <sz val="10"/>
        <rFont val="Arial (Hebrew)"/>
        <charset val="177"/>
      </rPr>
      <t>פסטיבל "האביב הבינ"ל"</t>
    </r>
  </si>
  <si>
    <r>
      <t xml:space="preserve">עיריית ראשון לציון- </t>
    </r>
    <r>
      <rPr>
        <sz val="10"/>
        <rFont val="Arial (Hebrew)"/>
        <charset val="177"/>
      </rPr>
      <t xml:space="preserve">פסטיבל ראשון לציון </t>
    </r>
  </si>
  <si>
    <r>
      <t xml:space="preserve">עירית ראשון לציון - </t>
    </r>
    <r>
      <rPr>
        <sz val="10"/>
        <rFont val="Arial"/>
        <family val="2"/>
        <scheme val="minor"/>
      </rPr>
      <t>פסטיבל הקומדיה ע"ש ספי ריבלין</t>
    </r>
  </si>
  <si>
    <r>
      <t xml:space="preserve">עירית ירושלים - </t>
    </r>
    <r>
      <rPr>
        <sz val="10"/>
        <rFont val="Arial"/>
        <family val="2"/>
        <scheme val="minor"/>
      </rPr>
      <t>פסטיבל ירושלים לאמנויות הבמה</t>
    </r>
  </si>
  <si>
    <r>
      <t xml:space="preserve">עירית ירושלים - </t>
    </r>
    <r>
      <rPr>
        <sz val="10"/>
        <rFont val="Arial"/>
        <family val="2"/>
        <scheme val="minor"/>
      </rPr>
      <t>פסטיבל 360 מעלות לתיאטרון תלוי מקום</t>
    </r>
  </si>
  <si>
    <t>מיוזיק פורט - מוביליות וקידום מוזיק</t>
  </si>
  <si>
    <t>תרבות בינ"ל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</si>
</sst>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2" formatCode="_ &quot;₪&quot;\ * #,##0_ ;_ &quot;₪&quot;\ * \-#,##0_ ;_ &quot;₪&quot;\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m/d/yy;@"/>
    <numFmt numFmtId="165" formatCode="0000"/>
    <numFmt numFmtId="166" formatCode="[$-1010000]d/m/yy;@"/>
    <numFmt numFmtId="167" formatCode="_ * #,##0_ ;_ * \-#,##0_ ;_ * &quot;-&quot;??_ ;_ @_ "/>
    <numFmt numFmtId="168" formatCode="d/m/yy"/>
    <numFmt numFmtId="169" formatCode="&quot;₪&quot;\ #,##0"/>
    <numFmt numFmtId="170" formatCode="d/m/yy;@"/>
    <numFmt numFmtId="171" formatCode="#,##0;[Red]#,##0"/>
    <numFmt numFmtId="172" formatCode="&quot;₪&quot;\ #,##0.00"/>
    <numFmt numFmtId="173" formatCode="[$₪-40D]\ #,##0"/>
  </numFmts>
  <fonts count="138" x14ac:knownFonts="1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6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6"/>
      <name val="Arial"/>
      <family val="2"/>
      <charset val="177"/>
    </font>
    <font>
      <b/>
      <sz val="11"/>
      <color indexed="16"/>
      <name val="Arial"/>
      <family val="2"/>
      <charset val="177"/>
    </font>
    <font>
      <b/>
      <sz val="10"/>
      <name val="Arial"/>
      <family val="2"/>
      <charset val="177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  <scheme val="minor"/>
    </font>
    <font>
      <b/>
      <sz val="12"/>
      <name val="Arial"/>
      <family val="2"/>
      <charset val="177"/>
    </font>
    <font>
      <sz val="11"/>
      <color theme="1"/>
      <name val="Arial"/>
      <family val="2"/>
      <scheme val="minor"/>
    </font>
    <font>
      <sz val="10"/>
      <name val="Arial"/>
      <family val="2"/>
      <charset val="177"/>
    </font>
    <font>
      <sz val="10"/>
      <color indexed="12"/>
      <name val="Arial"/>
      <family val="2"/>
      <charset val="177"/>
    </font>
    <font>
      <sz val="11"/>
      <color theme="1"/>
      <name val="Arial"/>
      <family val="2"/>
    </font>
    <font>
      <sz val="10"/>
      <color rgb="FF0000FF"/>
      <name val="Arial"/>
      <family val="2"/>
      <charset val="177"/>
    </font>
    <font>
      <b/>
      <sz val="11"/>
      <color indexed="10"/>
      <name val="Guttman Yad-Brush"/>
      <charset val="177"/>
    </font>
    <font>
      <sz val="10"/>
      <color indexed="2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4"/>
      <color indexed="48"/>
      <name val="Arial"/>
      <family val="2"/>
    </font>
    <font>
      <u/>
      <sz val="11"/>
      <color theme="10"/>
      <name val="Arial"/>
      <family val="2"/>
      <charset val="177"/>
      <scheme val="minor"/>
    </font>
    <font>
      <sz val="10"/>
      <name val="Arial"/>
      <family val="2"/>
    </font>
    <font>
      <sz val="9"/>
      <color indexed="20"/>
      <name val="Arial"/>
      <family val="2"/>
    </font>
    <font>
      <b/>
      <sz val="18"/>
      <color rgb="FFFF0000"/>
      <name val="Arial"/>
      <family val="2"/>
    </font>
    <font>
      <b/>
      <sz val="18"/>
      <color indexed="10"/>
      <name val="Arial"/>
      <family val="2"/>
      <charset val="177"/>
    </font>
    <font>
      <sz val="10"/>
      <color rgb="FF0000FF"/>
      <name val="Arial"/>
      <family val="2"/>
    </font>
    <font>
      <sz val="10"/>
      <color rgb="FF0000FF"/>
      <name val="Arial"/>
      <family val="2"/>
      <scheme val="minor"/>
    </font>
    <font>
      <b/>
      <sz val="10"/>
      <color indexed="10"/>
      <name val="Arial"/>
      <family val="2"/>
    </font>
    <font>
      <sz val="10"/>
      <color rgb="FF3333FF"/>
      <name val="Arial"/>
      <family val="2"/>
    </font>
    <font>
      <sz val="11"/>
      <name val="Guttman Yad-Brush"/>
      <charset val="177"/>
    </font>
    <font>
      <b/>
      <sz val="9"/>
      <color indexed="10"/>
      <name val="Arial"/>
      <family val="2"/>
      <charset val="177"/>
    </font>
    <font>
      <b/>
      <sz val="18"/>
      <color indexed="10"/>
      <name val="Arial"/>
      <family val="2"/>
    </font>
    <font>
      <b/>
      <sz val="12"/>
      <color indexed="16"/>
      <name val="Arial"/>
      <family val="2"/>
      <charset val="177"/>
    </font>
    <font>
      <b/>
      <sz val="14"/>
      <color indexed="16"/>
      <name val="Arial"/>
      <family val="2"/>
      <charset val="177"/>
    </font>
    <font>
      <sz val="10"/>
      <name val="Arial (Hebrew)"/>
      <family val="2"/>
      <charset val="177"/>
    </font>
    <font>
      <b/>
      <sz val="10"/>
      <color indexed="9"/>
      <name val="Arial"/>
      <family val="2"/>
      <charset val="177"/>
    </font>
    <font>
      <b/>
      <sz val="14"/>
      <name val="Arial"/>
      <family val="2"/>
      <charset val="177"/>
    </font>
    <font>
      <b/>
      <sz val="9"/>
      <name val="Arial"/>
      <family val="2"/>
    </font>
    <font>
      <b/>
      <sz val="10"/>
      <name val="Arial (Hebrew)"/>
      <family val="2"/>
      <charset val="177"/>
    </font>
    <font>
      <b/>
      <sz val="10"/>
      <color rgb="FFFF3399"/>
      <name val="Arial"/>
      <family val="2"/>
    </font>
    <font>
      <b/>
      <sz val="14"/>
      <name val="Arial"/>
      <family val="2"/>
    </font>
    <font>
      <b/>
      <sz val="12"/>
      <color indexed="81"/>
      <name val="Arial"/>
      <family val="2"/>
    </font>
    <font>
      <sz val="12"/>
      <color indexed="81"/>
      <name val="Arial"/>
      <family val="2"/>
    </font>
    <font>
      <b/>
      <sz val="10"/>
      <name val="Guttman Yad-Brush"/>
      <charset val="177"/>
    </font>
    <font>
      <b/>
      <sz val="10"/>
      <color theme="1"/>
      <name val="Arial"/>
      <family val="2"/>
    </font>
    <font>
      <b/>
      <sz val="11"/>
      <color indexed="16"/>
      <name val="Arial (Hebrew)"/>
      <family val="2"/>
      <charset val="177"/>
    </font>
    <font>
      <b/>
      <sz val="12"/>
      <color indexed="16"/>
      <name val="Arial (Hebrew)"/>
      <family val="2"/>
      <charset val="177"/>
    </font>
    <font>
      <b/>
      <sz val="12"/>
      <name val="Arial"/>
      <family val="2"/>
    </font>
    <font>
      <sz val="11"/>
      <name val="Arial"/>
      <family val="2"/>
      <charset val="177"/>
    </font>
    <font>
      <b/>
      <sz val="12"/>
      <name val="Arial (Hebrew)"/>
      <family val="2"/>
      <charset val="177"/>
    </font>
    <font>
      <b/>
      <sz val="11"/>
      <name val="Arial"/>
      <family val="2"/>
      <charset val="177"/>
    </font>
    <font>
      <b/>
      <sz val="11"/>
      <color indexed="16"/>
      <name val="Arial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1"/>
      <name val="Arial"/>
      <family val="2"/>
    </font>
    <font>
      <sz val="11"/>
      <name val="Arial (Hebrew)"/>
      <family val="2"/>
      <charset val="177"/>
    </font>
    <font>
      <sz val="10"/>
      <color rgb="FFC00000"/>
      <name val="Arial"/>
      <family val="2"/>
      <charset val="177"/>
    </font>
    <font>
      <b/>
      <sz val="11"/>
      <color indexed="12"/>
      <name val="Arial"/>
      <family val="2"/>
      <charset val="177"/>
    </font>
    <font>
      <b/>
      <sz val="9"/>
      <name val="Arial (Hebrew)"/>
      <family val="2"/>
      <charset val="177"/>
    </font>
    <font>
      <sz val="10"/>
      <name val="Guttman Yad-Brush"/>
      <charset val="177"/>
    </font>
    <font>
      <b/>
      <sz val="11"/>
      <color rgb="FFFF0000"/>
      <name val="Guttman Yad-Brush"/>
      <charset val="177"/>
    </font>
    <font>
      <sz val="11"/>
      <color rgb="FFFF0000"/>
      <name val="Guttman Yad-Brush"/>
      <charset val="177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name val="Arial"/>
      <family val="2"/>
    </font>
    <font>
      <b/>
      <sz val="14"/>
      <color indexed="12"/>
      <name val="Arial"/>
      <family val="2"/>
      <charset val="177"/>
    </font>
    <font>
      <sz val="12"/>
      <name val="Arial"/>
      <family val="2"/>
      <charset val="177"/>
    </font>
    <font>
      <b/>
      <sz val="11"/>
      <color rgb="FF000000"/>
      <name val="Arial"/>
      <family val="2"/>
    </font>
    <font>
      <b/>
      <sz val="11"/>
      <name val="Guttman Yad-Brush"/>
      <charset val="177"/>
    </font>
    <font>
      <b/>
      <sz val="10"/>
      <color indexed="16"/>
      <name val="Arial (Hebrew)"/>
      <family val="2"/>
      <charset val="177"/>
    </font>
    <font>
      <sz val="9"/>
      <color indexed="8"/>
      <name val="Arial"/>
      <family val="2"/>
    </font>
    <font>
      <b/>
      <sz val="10"/>
      <color rgb="FFC00000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</font>
    <font>
      <b/>
      <sz val="16"/>
      <color indexed="10"/>
      <name val="Arial"/>
      <family val="2"/>
      <charset val="177"/>
    </font>
    <font>
      <b/>
      <sz val="8"/>
      <color indexed="10"/>
      <name val="Arial"/>
      <family val="2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sz val="10"/>
      <name val="Arial"/>
      <family val="2"/>
      <charset val="177"/>
      <scheme val="minor"/>
    </font>
    <font>
      <sz val="11"/>
      <name val="Arial"/>
      <family val="2"/>
    </font>
    <font>
      <b/>
      <sz val="16"/>
      <color indexed="16"/>
      <name val="Arial"/>
      <family val="2"/>
      <charset val="177"/>
    </font>
    <font>
      <b/>
      <sz val="11"/>
      <name val="Arial (Hebrew)"/>
      <family val="2"/>
      <charset val="177"/>
    </font>
    <font>
      <sz val="10"/>
      <name val="Arial (Hebrew)"/>
      <charset val="177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2"/>
      <color theme="1"/>
      <name val="David"/>
      <family val="2"/>
      <charset val="177"/>
    </font>
    <font>
      <sz val="11"/>
      <color indexed="8"/>
      <name val="Arial"/>
      <family val="2"/>
      <charset val="177"/>
    </font>
    <font>
      <sz val="10"/>
      <name val="Arial"/>
      <family val="2"/>
      <scheme val="minor"/>
    </font>
    <font>
      <sz val="12"/>
      <name val="David"/>
      <family val="2"/>
    </font>
    <font>
      <sz val="11"/>
      <color indexed="9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sz val="11"/>
      <color indexed="17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6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2"/>
      <color indexed="8"/>
      <name val="David"/>
      <family val="2"/>
      <charset val="177"/>
    </font>
    <font>
      <sz val="11"/>
      <color rgb="FF1F497D"/>
      <name val="Arial"/>
      <family val="2"/>
    </font>
    <font>
      <b/>
      <sz val="9"/>
      <color indexed="81"/>
      <name val="Tahoma"/>
      <charset val="177"/>
    </font>
    <font>
      <sz val="9"/>
      <color indexed="81"/>
      <name val="Tahoma"/>
      <charset val="177"/>
    </font>
  </fonts>
  <fills count="79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998">
    <xf numFmtId="0" fontId="0" fillId="0" borderId="0"/>
    <xf numFmtId="0" fontId="13" fillId="0" borderId="0"/>
    <xf numFmtId="0" fontId="7" fillId="0" borderId="0"/>
    <xf numFmtId="44" fontId="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9" fillId="0" borderId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28" fillId="0" borderId="0"/>
    <xf numFmtId="0" fontId="13" fillId="0" borderId="0"/>
    <xf numFmtId="0" fontId="13" fillId="0" borderId="0"/>
    <xf numFmtId="9" fontId="29" fillId="0" borderId="0" applyFont="0" applyFill="0" applyBorder="0" applyAlignment="0" applyProtection="0"/>
    <xf numFmtId="9" fontId="13" fillId="0" borderId="0" applyFont="0" applyFill="0" applyBorder="0" applyAlignment="0" applyProtection="0"/>
    <xf numFmtId="4" fontId="30" fillId="10" borderId="6" applyNumberFormat="0" applyProtection="0">
      <alignment vertical="center"/>
    </xf>
    <xf numFmtId="4" fontId="31" fillId="4" borderId="6" applyNumberFormat="0" applyProtection="0">
      <alignment vertical="center"/>
    </xf>
    <xf numFmtId="4" fontId="30" fillId="4" borderId="6" applyNumberFormat="0" applyProtection="0">
      <alignment horizontal="right" vertical="center" indent="1"/>
    </xf>
    <xf numFmtId="0" fontId="30" fillId="4" borderId="6" applyNumberFormat="0" applyProtection="0">
      <alignment horizontal="left" vertical="top" indent="1"/>
    </xf>
    <xf numFmtId="4" fontId="30" fillId="11" borderId="2" applyNumberFormat="0" applyProtection="0">
      <alignment horizontal="right" vertical="center" indent="1"/>
    </xf>
    <xf numFmtId="4" fontId="16" fillId="12" borderId="6" applyNumberFormat="0" applyProtection="0">
      <alignment horizontal="right" vertical="center"/>
    </xf>
    <xf numFmtId="4" fontId="16" fillId="13" borderId="6" applyNumberFormat="0" applyProtection="0">
      <alignment horizontal="right" vertical="center"/>
    </xf>
    <xf numFmtId="4" fontId="16" fillId="14" borderId="6" applyNumberFormat="0" applyProtection="0">
      <alignment horizontal="right" vertical="center"/>
    </xf>
    <xf numFmtId="4" fontId="16" fillId="15" borderId="6" applyNumberFormat="0" applyProtection="0">
      <alignment horizontal="right" vertical="center"/>
    </xf>
    <xf numFmtId="4" fontId="16" fillId="16" borderId="6" applyNumberFormat="0" applyProtection="0">
      <alignment horizontal="right" vertical="center"/>
    </xf>
    <xf numFmtId="4" fontId="16" fillId="17" borderId="6" applyNumberFormat="0" applyProtection="0">
      <alignment horizontal="right" vertical="center"/>
    </xf>
    <xf numFmtId="4" fontId="16" fillId="18" borderId="6" applyNumberFormat="0" applyProtection="0">
      <alignment horizontal="right" vertical="center"/>
    </xf>
    <xf numFmtId="4" fontId="16" fillId="19" borderId="6" applyNumberFormat="0" applyProtection="0">
      <alignment horizontal="right" vertical="center"/>
    </xf>
    <xf numFmtId="4" fontId="16" fillId="20" borderId="6" applyNumberFormat="0" applyProtection="0">
      <alignment horizontal="right" vertical="center"/>
    </xf>
    <xf numFmtId="4" fontId="30" fillId="21" borderId="2" applyNumberFormat="0" applyProtection="0">
      <alignment horizontal="right" vertical="center" indent="1"/>
    </xf>
    <xf numFmtId="4" fontId="16" fillId="22" borderId="2" applyNumberFormat="0" applyProtection="0">
      <alignment horizontal="right" vertical="center" indent="1"/>
    </xf>
    <xf numFmtId="4" fontId="32" fillId="23" borderId="0" applyNumberFormat="0" applyProtection="0">
      <alignment horizontal="left" vertical="center" indent="1"/>
    </xf>
    <xf numFmtId="4" fontId="16" fillId="24" borderId="6" applyNumberFormat="0" applyProtection="0">
      <alignment horizontal="right" vertical="center"/>
    </xf>
    <xf numFmtId="4" fontId="16" fillId="22" borderId="2" applyNumberFormat="0" applyProtection="0">
      <alignment horizontal="right" vertical="center" indent="1"/>
    </xf>
    <xf numFmtId="4" fontId="16" fillId="11" borderId="2" applyNumberFormat="0" applyProtection="0">
      <alignment horizontal="right" vertical="center" indent="1"/>
    </xf>
    <xf numFmtId="0" fontId="13" fillId="23" borderId="6" applyNumberFormat="0" applyProtection="0">
      <alignment horizontal="right" vertical="center" indent="1"/>
    </xf>
    <xf numFmtId="0" fontId="13" fillId="23" borderId="6" applyNumberFormat="0" applyProtection="0">
      <alignment horizontal="left" vertical="top" indent="1"/>
    </xf>
    <xf numFmtId="0" fontId="13" fillId="11" borderId="6" applyNumberFormat="0" applyProtection="0">
      <alignment horizontal="right" vertical="center" indent="1"/>
    </xf>
    <xf numFmtId="0" fontId="13" fillId="11" borderId="6" applyNumberFormat="0" applyProtection="0">
      <alignment horizontal="left" vertical="top" indent="1"/>
    </xf>
    <xf numFmtId="0" fontId="13" fillId="25" borderId="6" applyNumberFormat="0" applyProtection="0">
      <alignment horizontal="right" vertical="center" indent="1"/>
    </xf>
    <xf numFmtId="0" fontId="13" fillId="25" borderId="6" applyNumberFormat="0" applyProtection="0">
      <alignment horizontal="left" vertical="top" indent="1"/>
    </xf>
    <xf numFmtId="0" fontId="13" fillId="5" borderId="6" applyNumberFormat="0" applyProtection="0">
      <alignment horizontal="right" vertical="center" indent="1"/>
    </xf>
    <xf numFmtId="0" fontId="13" fillId="5" borderId="6" applyNumberFormat="0" applyProtection="0">
      <alignment horizontal="left" vertical="top" indent="1"/>
    </xf>
    <xf numFmtId="4" fontId="16" fillId="26" borderId="6" applyNumberFormat="0" applyProtection="0">
      <alignment vertical="center"/>
    </xf>
    <xf numFmtId="4" fontId="33" fillId="26" borderId="6" applyNumberFormat="0" applyProtection="0">
      <alignment vertical="center"/>
    </xf>
    <xf numFmtId="4" fontId="16" fillId="26" borderId="6" applyNumberFormat="0" applyProtection="0">
      <alignment horizontal="right" vertical="center" indent="1"/>
    </xf>
    <xf numFmtId="0" fontId="16" fillId="26" borderId="6" applyNumberFormat="0" applyProtection="0">
      <alignment horizontal="left" vertical="top" indent="1"/>
    </xf>
    <xf numFmtId="4" fontId="16" fillId="22" borderId="6" applyNumberFormat="0" applyProtection="0">
      <alignment horizontal="right" vertical="center"/>
    </xf>
    <xf numFmtId="4" fontId="33" fillId="22" borderId="6" applyNumberFormat="0" applyProtection="0">
      <alignment horizontal="right" vertical="center"/>
    </xf>
    <xf numFmtId="4" fontId="16" fillId="24" borderId="6" applyNumberFormat="0" applyProtection="0">
      <alignment horizontal="right" vertical="center" indent="1"/>
    </xf>
    <xf numFmtId="0" fontId="16" fillId="11" borderId="6" applyNumberFormat="0" applyProtection="0">
      <alignment horizontal="right" vertical="center" wrapText="1" indent="1"/>
    </xf>
    <xf numFmtId="4" fontId="34" fillId="27" borderId="0" applyNumberFormat="0" applyProtection="0">
      <alignment horizontal="right" vertical="center" indent="1"/>
    </xf>
    <xf numFmtId="4" fontId="9" fillId="22" borderId="6" applyNumberFormat="0" applyProtection="0">
      <alignment horizontal="right" vertical="center"/>
    </xf>
    <xf numFmtId="0" fontId="3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6" fillId="0" borderId="0" applyFont="0" applyFill="0" applyBorder="0" applyAlignment="0" applyProtection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9" fillId="0" borderId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43" fontId="88" fillId="0" borderId="0" applyFont="0" applyFill="0" applyBorder="0" applyAlignment="0" applyProtection="0"/>
    <xf numFmtId="0" fontId="13" fillId="0" borderId="0"/>
    <xf numFmtId="0" fontId="13" fillId="0" borderId="0"/>
    <xf numFmtId="0" fontId="5" fillId="0" borderId="0"/>
    <xf numFmtId="0" fontId="5" fillId="0" borderId="0"/>
    <xf numFmtId="0" fontId="4" fillId="0" borderId="0"/>
    <xf numFmtId="0" fontId="98" fillId="0" borderId="0" applyNumberFormat="0" applyFill="0" applyBorder="0" applyAlignment="0" applyProtection="0"/>
    <xf numFmtId="0" fontId="99" fillId="0" borderId="21" applyNumberFormat="0" applyFill="0" applyAlignment="0" applyProtection="0"/>
    <xf numFmtId="0" fontId="100" fillId="0" borderId="22" applyNumberFormat="0" applyFill="0" applyAlignment="0" applyProtection="0"/>
    <xf numFmtId="0" fontId="101" fillId="0" borderId="23" applyNumberFormat="0" applyFill="0" applyAlignment="0" applyProtection="0"/>
    <xf numFmtId="0" fontId="101" fillId="0" borderId="0" applyNumberFormat="0" applyFill="0" applyBorder="0" applyAlignment="0" applyProtection="0"/>
    <xf numFmtId="0" fontId="102" fillId="34" borderId="0" applyNumberFormat="0" applyBorder="0" applyAlignment="0" applyProtection="0"/>
    <xf numFmtId="0" fontId="103" fillId="35" borderId="0" applyNumberFormat="0" applyBorder="0" applyAlignment="0" applyProtection="0"/>
    <xf numFmtId="0" fontId="104" fillId="36" borderId="0" applyNumberFormat="0" applyBorder="0" applyAlignment="0" applyProtection="0"/>
    <xf numFmtId="0" fontId="105" fillId="37" borderId="24" applyNumberFormat="0" applyAlignment="0" applyProtection="0"/>
    <xf numFmtId="0" fontId="106" fillId="38" borderId="25" applyNumberFormat="0" applyAlignment="0" applyProtection="0"/>
    <xf numFmtId="0" fontId="107" fillId="38" borderId="24" applyNumberFormat="0" applyAlignment="0" applyProtection="0"/>
    <xf numFmtId="0" fontId="108" fillId="0" borderId="26" applyNumberFormat="0" applyFill="0" applyAlignment="0" applyProtection="0"/>
    <xf numFmtId="0" fontId="109" fillId="39" borderId="27" applyNumberFormat="0" applyAlignment="0" applyProtection="0"/>
    <xf numFmtId="0" fontId="110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2" fillId="0" borderId="29" applyNumberFormat="0" applyFill="0" applyAlignment="0" applyProtection="0"/>
    <xf numFmtId="0" fontId="113" fillId="41" borderId="0" applyNumberFormat="0" applyBorder="0" applyAlignment="0" applyProtection="0"/>
    <xf numFmtId="0" fontId="3" fillId="42" borderId="0" applyNumberFormat="0" applyBorder="0" applyAlignment="0" applyProtection="0"/>
    <xf numFmtId="0" fontId="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3" fillId="46" borderId="0" applyNumberFormat="0" applyBorder="0" applyAlignment="0" applyProtection="0"/>
    <xf numFmtId="0" fontId="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9" borderId="0" applyNumberFormat="0" applyBorder="0" applyAlignment="0" applyProtection="0"/>
    <xf numFmtId="0" fontId="3" fillId="50" borderId="0" applyNumberFormat="0" applyBorder="0" applyAlignment="0" applyProtection="0"/>
    <xf numFmtId="0" fontId="3" fillId="51" borderId="0" applyNumberFormat="0" applyBorder="0" applyAlignment="0" applyProtection="0"/>
    <xf numFmtId="0" fontId="113" fillId="52" borderId="0" applyNumberFormat="0" applyBorder="0" applyAlignment="0" applyProtection="0"/>
    <xf numFmtId="0" fontId="113" fillId="53" borderId="0" applyNumberFormat="0" applyBorder="0" applyAlignment="0" applyProtection="0"/>
    <xf numFmtId="0" fontId="3" fillId="54" borderId="0" applyNumberFormat="0" applyBorder="0" applyAlignment="0" applyProtection="0"/>
    <xf numFmtId="0" fontId="3" fillId="55" borderId="0" applyNumberFormat="0" applyBorder="0" applyAlignment="0" applyProtection="0"/>
    <xf numFmtId="0" fontId="113" fillId="56" borderId="0" applyNumberFormat="0" applyBorder="0" applyAlignment="0" applyProtection="0"/>
    <xf numFmtId="0" fontId="113" fillId="57" borderId="0" applyNumberFormat="0" applyBorder="0" applyAlignment="0" applyProtection="0"/>
    <xf numFmtId="0" fontId="3" fillId="58" borderId="0" applyNumberFormat="0" applyBorder="0" applyAlignment="0" applyProtection="0"/>
    <xf numFmtId="0" fontId="3" fillId="59" borderId="0" applyNumberFormat="0" applyBorder="0" applyAlignment="0" applyProtection="0"/>
    <xf numFmtId="0" fontId="113" fillId="60" borderId="0" applyNumberFormat="0" applyBorder="0" applyAlignment="0" applyProtection="0"/>
    <xf numFmtId="0" fontId="113" fillId="61" borderId="0" applyNumberFormat="0" applyBorder="0" applyAlignment="0" applyProtection="0"/>
    <xf numFmtId="0" fontId="3" fillId="62" borderId="0" applyNumberFormat="0" applyBorder="0" applyAlignment="0" applyProtection="0"/>
    <xf numFmtId="0" fontId="3" fillId="63" borderId="0" applyNumberFormat="0" applyBorder="0" applyAlignment="0" applyProtection="0"/>
    <xf numFmtId="0" fontId="113" fillId="64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8" fillId="0" borderId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28" fillId="0" borderId="0"/>
    <xf numFmtId="0" fontId="2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8" fillId="0" borderId="0"/>
    <xf numFmtId="9" fontId="13" fillId="0" borderId="0" applyFont="0" applyFill="0" applyBorder="0" applyAlignment="0" applyProtection="0"/>
    <xf numFmtId="0" fontId="13" fillId="0" borderId="0"/>
    <xf numFmtId="0" fontId="28" fillId="0" borderId="0"/>
    <xf numFmtId="0" fontId="3" fillId="40" borderId="28" applyNumberFormat="0" applyFont="0" applyAlignment="0" applyProtection="0"/>
    <xf numFmtId="0" fontId="28" fillId="0" borderId="0"/>
    <xf numFmtId="9" fontId="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3" fillId="0" borderId="0"/>
    <xf numFmtId="0" fontId="13" fillId="0" borderId="0"/>
    <xf numFmtId="0" fontId="114" fillId="0" borderId="0"/>
    <xf numFmtId="9" fontId="19" fillId="0" borderId="0" applyFont="0" applyFill="0" applyBorder="0" applyAlignment="0" applyProtection="0"/>
    <xf numFmtId="43" fontId="11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6" fillId="0" borderId="0"/>
    <xf numFmtId="0" fontId="28" fillId="0" borderId="0"/>
    <xf numFmtId="0" fontId="2" fillId="0" borderId="0"/>
    <xf numFmtId="173" fontId="13" fillId="0" borderId="0"/>
    <xf numFmtId="43" fontId="114" fillId="0" borderId="0" applyFont="0" applyFill="0" applyBorder="0" applyAlignment="0" applyProtection="0"/>
    <xf numFmtId="0" fontId="114" fillId="0" borderId="0"/>
    <xf numFmtId="9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73" fontId="114" fillId="0" borderId="0"/>
    <xf numFmtId="43" fontId="2" fillId="0" borderId="0" applyFont="0" applyFill="0" applyBorder="0" applyAlignment="0" applyProtection="0"/>
    <xf numFmtId="173" fontId="114" fillId="0" borderId="0"/>
    <xf numFmtId="173" fontId="13" fillId="0" borderId="0"/>
    <xf numFmtId="9" fontId="114" fillId="0" borderId="0" applyFont="0" applyFill="0" applyBorder="0" applyAlignment="0" applyProtection="0"/>
    <xf numFmtId="0" fontId="1" fillId="0" borderId="0"/>
    <xf numFmtId="0" fontId="1" fillId="0" borderId="0"/>
    <xf numFmtId="9" fontId="13" fillId="0" borderId="0" applyFont="0" applyFill="0" applyBorder="0" applyAlignment="0" applyProtection="0"/>
    <xf numFmtId="0" fontId="114" fillId="0" borderId="0"/>
    <xf numFmtId="0" fontId="1" fillId="0" borderId="0"/>
    <xf numFmtId="9" fontId="13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114" fillId="0" borderId="0"/>
    <xf numFmtId="0" fontId="115" fillId="65" borderId="0" applyNumberFormat="0" applyBorder="0" applyAlignment="0" applyProtection="0"/>
    <xf numFmtId="0" fontId="115" fillId="12" borderId="0" applyNumberFormat="0" applyBorder="0" applyAlignment="0" applyProtection="0"/>
    <xf numFmtId="0" fontId="115" fillId="66" borderId="0" applyNumberFormat="0" applyBorder="0" applyAlignment="0" applyProtection="0"/>
    <xf numFmtId="0" fontId="115" fillId="67" borderId="0" applyNumberFormat="0" applyBorder="0" applyAlignment="0" applyProtection="0"/>
    <xf numFmtId="0" fontId="115" fillId="68" borderId="0" applyNumberFormat="0" applyBorder="0" applyAlignment="0" applyProtection="0"/>
    <xf numFmtId="0" fontId="115" fillId="69" borderId="0" applyNumberFormat="0" applyBorder="0" applyAlignment="0" applyProtection="0"/>
    <xf numFmtId="0" fontId="115" fillId="70" borderId="0" applyNumberFormat="0" applyBorder="0" applyAlignment="0" applyProtection="0"/>
    <xf numFmtId="0" fontId="115" fillId="13" borderId="0" applyNumberFormat="0" applyBorder="0" applyAlignment="0" applyProtection="0"/>
    <xf numFmtId="0" fontId="115" fillId="20" borderId="0" applyNumberFormat="0" applyBorder="0" applyAlignment="0" applyProtection="0"/>
    <xf numFmtId="0" fontId="115" fillId="67" borderId="0" applyNumberFormat="0" applyBorder="0" applyAlignment="0" applyProtection="0"/>
    <xf numFmtId="0" fontId="115" fillId="70" borderId="0" applyNumberFormat="0" applyBorder="0" applyAlignment="0" applyProtection="0"/>
    <xf numFmtId="0" fontId="115" fillId="15" borderId="0" applyNumberFormat="0" applyBorder="0" applyAlignment="0" applyProtection="0"/>
    <xf numFmtId="0" fontId="118" fillId="71" borderId="0" applyNumberFormat="0" applyBorder="0" applyAlignment="0" applyProtection="0"/>
    <xf numFmtId="0" fontId="118" fillId="13" borderId="0" applyNumberFormat="0" applyBorder="0" applyAlignment="0" applyProtection="0"/>
    <xf numFmtId="0" fontId="118" fillId="20" borderId="0" applyNumberFormat="0" applyBorder="0" applyAlignment="0" applyProtection="0"/>
    <xf numFmtId="0" fontId="118" fillId="72" borderId="0" applyNumberFormat="0" applyBorder="0" applyAlignment="0" applyProtection="0"/>
    <xf numFmtId="0" fontId="118" fillId="73" borderId="0" applyNumberFormat="0" applyBorder="0" applyAlignment="0" applyProtection="0"/>
    <xf numFmtId="0" fontId="118" fillId="16" borderId="0" applyNumberFormat="0" applyBorder="0" applyAlignment="0" applyProtection="0"/>
    <xf numFmtId="0" fontId="118" fillId="74" borderId="0" applyNumberFormat="0" applyBorder="0" applyAlignment="0" applyProtection="0"/>
    <xf numFmtId="0" fontId="118" fillId="14" borderId="0" applyNumberFormat="0" applyBorder="0" applyAlignment="0" applyProtection="0"/>
    <xf numFmtId="0" fontId="118" fillId="18" borderId="0" applyNumberFormat="0" applyBorder="0" applyAlignment="0" applyProtection="0"/>
    <xf numFmtId="0" fontId="118" fillId="72" borderId="0" applyNumberFormat="0" applyBorder="0" applyAlignment="0" applyProtection="0"/>
    <xf numFmtId="0" fontId="118" fillId="73" borderId="0" applyNumberFormat="0" applyBorder="0" applyAlignment="0" applyProtection="0"/>
    <xf numFmtId="0" fontId="118" fillId="17" borderId="0" applyNumberFormat="0" applyBorder="0" applyAlignment="0" applyProtection="0"/>
    <xf numFmtId="0" fontId="119" fillId="12" borderId="0" applyNumberFormat="0" applyBorder="0" applyAlignment="0" applyProtection="0"/>
    <xf numFmtId="0" fontId="120" fillId="75" borderId="30" applyNumberFormat="0" applyAlignment="0" applyProtection="0"/>
    <xf numFmtId="0" fontId="121" fillId="76" borderId="31" applyNumberFormat="0" applyAlignment="0" applyProtection="0"/>
    <xf numFmtId="43" fontId="114" fillId="0" borderId="0" applyFont="0" applyFill="0" applyBorder="0" applyAlignment="0" applyProtection="0"/>
    <xf numFmtId="0" fontId="122" fillId="0" borderId="0" applyNumberFormat="0" applyFill="0" applyBorder="0" applyAlignment="0" applyProtection="0"/>
    <xf numFmtId="0" fontId="123" fillId="66" borderId="0" applyNumberFormat="0" applyBorder="0" applyAlignment="0" applyProtection="0"/>
    <xf numFmtId="0" fontId="124" fillId="0" borderId="32" applyNumberFormat="0" applyFill="0" applyAlignment="0" applyProtection="0"/>
    <xf numFmtId="0" fontId="125" fillId="0" borderId="33" applyNumberFormat="0" applyFill="0" applyAlignment="0" applyProtection="0"/>
    <xf numFmtId="0" fontId="126" fillId="0" borderId="34" applyNumberFormat="0" applyFill="0" applyAlignment="0" applyProtection="0"/>
    <xf numFmtId="0" fontId="126" fillId="0" borderId="0" applyNumberFormat="0" applyFill="0" applyBorder="0" applyAlignment="0" applyProtection="0"/>
    <xf numFmtId="0" fontId="127" fillId="69" borderId="30" applyNumberFormat="0" applyAlignment="0" applyProtection="0"/>
    <xf numFmtId="0" fontId="128" fillId="0" borderId="35" applyNumberFormat="0" applyFill="0" applyAlignment="0" applyProtection="0"/>
    <xf numFmtId="0" fontId="129" fillId="10" borderId="0" applyNumberFormat="0" applyBorder="0" applyAlignment="0" applyProtection="0"/>
    <xf numFmtId="0" fontId="114" fillId="0" borderId="0"/>
    <xf numFmtId="0" fontId="1" fillId="0" borderId="0"/>
    <xf numFmtId="0" fontId="1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14" fillId="0" borderId="0"/>
    <xf numFmtId="9" fontId="114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131" fillId="0" borderId="0" applyNumberFormat="0" applyFill="0" applyBorder="0" applyAlignment="0" applyProtection="0"/>
    <xf numFmtId="0" fontId="132" fillId="0" borderId="38" applyNumberFormat="0" applyFill="0" applyAlignment="0" applyProtection="0"/>
    <xf numFmtId="0" fontId="133" fillId="0" borderId="0" applyNumberFormat="0" applyFill="0" applyBorder="0" applyAlignment="0" applyProtection="0"/>
    <xf numFmtId="0" fontId="114" fillId="0" borderId="0"/>
    <xf numFmtId="0" fontId="114" fillId="0" borderId="0"/>
    <xf numFmtId="0" fontId="13" fillId="0" borderId="0"/>
    <xf numFmtId="0" fontId="114" fillId="0" borderId="0"/>
    <xf numFmtId="9" fontId="114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115" fillId="65" borderId="0" applyNumberFormat="0" applyBorder="0" applyAlignment="0" applyProtection="0"/>
    <xf numFmtId="173" fontId="115" fillId="12" borderId="0" applyNumberFormat="0" applyBorder="0" applyAlignment="0" applyProtection="0"/>
    <xf numFmtId="173" fontId="115" fillId="66" borderId="0" applyNumberFormat="0" applyBorder="0" applyAlignment="0" applyProtection="0"/>
    <xf numFmtId="173" fontId="115" fillId="67" borderId="0" applyNumberFormat="0" applyBorder="0" applyAlignment="0" applyProtection="0"/>
    <xf numFmtId="173" fontId="115" fillId="68" borderId="0" applyNumberFormat="0" applyBorder="0" applyAlignment="0" applyProtection="0"/>
    <xf numFmtId="173" fontId="115" fillId="69" borderId="0" applyNumberFormat="0" applyBorder="0" applyAlignment="0" applyProtection="0"/>
    <xf numFmtId="173" fontId="115" fillId="70" borderId="0" applyNumberFormat="0" applyBorder="0" applyAlignment="0" applyProtection="0"/>
    <xf numFmtId="173" fontId="115" fillId="13" borderId="0" applyNumberFormat="0" applyBorder="0" applyAlignment="0" applyProtection="0"/>
    <xf numFmtId="173" fontId="115" fillId="20" borderId="0" applyNumberFormat="0" applyBorder="0" applyAlignment="0" applyProtection="0"/>
    <xf numFmtId="173" fontId="115" fillId="67" borderId="0" applyNumberFormat="0" applyBorder="0" applyAlignment="0" applyProtection="0"/>
    <xf numFmtId="173" fontId="115" fillId="70" borderId="0" applyNumberFormat="0" applyBorder="0" applyAlignment="0" applyProtection="0"/>
    <xf numFmtId="173" fontId="115" fillId="15" borderId="0" applyNumberFormat="0" applyBorder="0" applyAlignment="0" applyProtection="0"/>
    <xf numFmtId="173" fontId="118" fillId="71" borderId="0" applyNumberFormat="0" applyBorder="0" applyAlignment="0" applyProtection="0"/>
    <xf numFmtId="173" fontId="118" fillId="13" borderId="0" applyNumberFormat="0" applyBorder="0" applyAlignment="0" applyProtection="0"/>
    <xf numFmtId="173" fontId="118" fillId="20" borderId="0" applyNumberFormat="0" applyBorder="0" applyAlignment="0" applyProtection="0"/>
    <xf numFmtId="173" fontId="118" fillId="72" borderId="0" applyNumberFormat="0" applyBorder="0" applyAlignment="0" applyProtection="0"/>
    <xf numFmtId="173" fontId="118" fillId="73" borderId="0" applyNumberFormat="0" applyBorder="0" applyAlignment="0" applyProtection="0"/>
    <xf numFmtId="173" fontId="118" fillId="16" borderId="0" applyNumberFormat="0" applyBorder="0" applyAlignment="0" applyProtection="0"/>
    <xf numFmtId="173" fontId="118" fillId="74" borderId="0" applyNumberFormat="0" applyBorder="0" applyAlignment="0" applyProtection="0"/>
    <xf numFmtId="173" fontId="118" fillId="14" borderId="0" applyNumberFormat="0" applyBorder="0" applyAlignment="0" applyProtection="0"/>
    <xf numFmtId="173" fontId="118" fillId="18" borderId="0" applyNumberFormat="0" applyBorder="0" applyAlignment="0" applyProtection="0"/>
    <xf numFmtId="173" fontId="118" fillId="72" borderId="0" applyNumberFormat="0" applyBorder="0" applyAlignment="0" applyProtection="0"/>
    <xf numFmtId="173" fontId="118" fillId="73" borderId="0" applyNumberFormat="0" applyBorder="0" applyAlignment="0" applyProtection="0"/>
    <xf numFmtId="173" fontId="118" fillId="17" borderId="0" applyNumberFormat="0" applyBorder="0" applyAlignment="0" applyProtection="0"/>
    <xf numFmtId="173" fontId="119" fillId="12" borderId="0" applyNumberFormat="0" applyBorder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21" fillId="76" borderId="31" applyNumberFormat="0" applyAlignment="0" applyProtection="0"/>
    <xf numFmtId="43" fontId="117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173" fontId="122" fillId="0" borderId="0" applyNumberFormat="0" applyFill="0" applyBorder="0" applyAlignment="0" applyProtection="0"/>
    <xf numFmtId="173" fontId="123" fillId="66" borderId="0" applyNumberFormat="0" applyBorder="0" applyAlignment="0" applyProtection="0"/>
    <xf numFmtId="173" fontId="124" fillId="0" borderId="32" applyNumberFormat="0" applyFill="0" applyAlignment="0" applyProtection="0"/>
    <xf numFmtId="173" fontId="125" fillId="0" borderId="33" applyNumberFormat="0" applyFill="0" applyAlignment="0" applyProtection="0"/>
    <xf numFmtId="173" fontId="126" fillId="0" borderId="34" applyNumberFormat="0" applyFill="0" applyAlignment="0" applyProtection="0"/>
    <xf numFmtId="173" fontId="126" fillId="0" borderId="0" applyNumberFormat="0" applyFill="0" applyBorder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173" fontId="128" fillId="0" borderId="35" applyNumberFormat="0" applyFill="0" applyAlignment="0" applyProtection="0"/>
    <xf numFmtId="173" fontId="129" fillId="10" borderId="0" applyNumberFormat="0" applyBorder="0" applyAlignment="0" applyProtection="0"/>
    <xf numFmtId="0" fontId="13" fillId="0" borderId="0"/>
    <xf numFmtId="173" fontId="114" fillId="0" borderId="0"/>
    <xf numFmtId="0" fontId="1" fillId="0" borderId="0"/>
    <xf numFmtId="0" fontId="13" fillId="0" borderId="0"/>
    <xf numFmtId="173" fontId="13" fillId="0" borderId="0"/>
    <xf numFmtId="0" fontId="13" fillId="0" borderId="0"/>
    <xf numFmtId="0" fontId="114" fillId="0" borderId="0"/>
    <xf numFmtId="173" fontId="114" fillId="0" borderId="0"/>
    <xf numFmtId="173" fontId="13" fillId="0" borderId="0"/>
    <xf numFmtId="0" fontId="1" fillId="0" borderId="0"/>
    <xf numFmtId="0" fontId="1" fillId="0" borderId="0"/>
    <xf numFmtId="0" fontId="1" fillId="0" borderId="0"/>
    <xf numFmtId="173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173" fontId="114" fillId="0" borderId="0"/>
    <xf numFmtId="173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14" fillId="0" borderId="0"/>
    <xf numFmtId="173" fontId="13" fillId="0" borderId="0"/>
    <xf numFmtId="173" fontId="114" fillId="0" borderId="0"/>
    <xf numFmtId="173" fontId="13" fillId="0" borderId="0"/>
    <xf numFmtId="173" fontId="114" fillId="0" borderId="0"/>
    <xf numFmtId="173" fontId="114" fillId="0" borderId="0"/>
    <xf numFmtId="173" fontId="114" fillId="0" borderId="0"/>
    <xf numFmtId="173" fontId="114" fillId="0" borderId="0"/>
    <xf numFmtId="173" fontId="114" fillId="0" borderId="0"/>
    <xf numFmtId="173" fontId="114" fillId="0" borderId="0"/>
    <xf numFmtId="0" fontId="1" fillId="0" borderId="0"/>
    <xf numFmtId="0" fontId="1" fillId="0" borderId="0"/>
    <xf numFmtId="0" fontId="1" fillId="0" borderId="0"/>
    <xf numFmtId="173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131" fillId="0" borderId="0" applyNumberFormat="0" applyFill="0" applyBorder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3" fillId="0" borderId="0" applyNumberFormat="0" applyFill="0" applyBorder="0" applyAlignment="0" applyProtection="0"/>
    <xf numFmtId="173" fontId="114" fillId="0" borderId="0"/>
    <xf numFmtId="0" fontId="115" fillId="65" borderId="0" applyNumberFormat="0" applyBorder="0" applyAlignment="0" applyProtection="0"/>
    <xf numFmtId="0" fontId="115" fillId="12" borderId="0" applyNumberFormat="0" applyBorder="0" applyAlignment="0" applyProtection="0"/>
    <xf numFmtId="0" fontId="115" fillId="66" borderId="0" applyNumberFormat="0" applyBorder="0" applyAlignment="0" applyProtection="0"/>
    <xf numFmtId="0" fontId="115" fillId="67" borderId="0" applyNumberFormat="0" applyBorder="0" applyAlignment="0" applyProtection="0"/>
    <xf numFmtId="0" fontId="115" fillId="68" borderId="0" applyNumberFormat="0" applyBorder="0" applyAlignment="0" applyProtection="0"/>
    <xf numFmtId="0" fontId="115" fillId="69" borderId="0" applyNumberFormat="0" applyBorder="0" applyAlignment="0" applyProtection="0"/>
    <xf numFmtId="0" fontId="115" fillId="70" borderId="0" applyNumberFormat="0" applyBorder="0" applyAlignment="0" applyProtection="0"/>
    <xf numFmtId="0" fontId="115" fillId="13" borderId="0" applyNumberFormat="0" applyBorder="0" applyAlignment="0" applyProtection="0"/>
    <xf numFmtId="0" fontId="115" fillId="20" borderId="0" applyNumberFormat="0" applyBorder="0" applyAlignment="0" applyProtection="0"/>
    <xf numFmtId="0" fontId="115" fillId="67" borderId="0" applyNumberFormat="0" applyBorder="0" applyAlignment="0" applyProtection="0"/>
    <xf numFmtId="0" fontId="115" fillId="70" borderId="0" applyNumberFormat="0" applyBorder="0" applyAlignment="0" applyProtection="0"/>
    <xf numFmtId="0" fontId="115" fillId="15" borderId="0" applyNumberFormat="0" applyBorder="0" applyAlignment="0" applyProtection="0"/>
    <xf numFmtId="0" fontId="118" fillId="71" borderId="0" applyNumberFormat="0" applyBorder="0" applyAlignment="0" applyProtection="0"/>
    <xf numFmtId="0" fontId="118" fillId="13" borderId="0" applyNumberFormat="0" applyBorder="0" applyAlignment="0" applyProtection="0"/>
    <xf numFmtId="0" fontId="118" fillId="20" borderId="0" applyNumberFormat="0" applyBorder="0" applyAlignment="0" applyProtection="0"/>
    <xf numFmtId="0" fontId="118" fillId="72" borderId="0" applyNumberFormat="0" applyBorder="0" applyAlignment="0" applyProtection="0"/>
    <xf numFmtId="0" fontId="118" fillId="73" borderId="0" applyNumberFormat="0" applyBorder="0" applyAlignment="0" applyProtection="0"/>
    <xf numFmtId="0" fontId="118" fillId="16" borderId="0" applyNumberFormat="0" applyBorder="0" applyAlignment="0" applyProtection="0"/>
    <xf numFmtId="0" fontId="118" fillId="74" borderId="0" applyNumberFormat="0" applyBorder="0" applyAlignment="0" applyProtection="0"/>
    <xf numFmtId="0" fontId="118" fillId="14" borderId="0" applyNumberFormat="0" applyBorder="0" applyAlignment="0" applyProtection="0"/>
    <xf numFmtId="0" fontId="118" fillId="18" borderId="0" applyNumberFormat="0" applyBorder="0" applyAlignment="0" applyProtection="0"/>
    <xf numFmtId="0" fontId="118" fillId="72" borderId="0" applyNumberFormat="0" applyBorder="0" applyAlignment="0" applyProtection="0"/>
    <xf numFmtId="0" fontId="118" fillId="73" borderId="0" applyNumberFormat="0" applyBorder="0" applyAlignment="0" applyProtection="0"/>
    <xf numFmtId="0" fontId="118" fillId="17" borderId="0" applyNumberFormat="0" applyBorder="0" applyAlignment="0" applyProtection="0"/>
    <xf numFmtId="0" fontId="119" fillId="12" borderId="0" applyNumberFormat="0" applyBorder="0" applyAlignment="0" applyProtection="0"/>
    <xf numFmtId="173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20" fillId="75" borderId="30" applyNumberFormat="0" applyAlignment="0" applyProtection="0"/>
    <xf numFmtId="0" fontId="120" fillId="75" borderId="30" applyNumberFormat="0" applyAlignment="0" applyProtection="0"/>
    <xf numFmtId="173" fontId="120" fillId="75" borderId="30" applyNumberFormat="0" applyAlignment="0" applyProtection="0"/>
    <xf numFmtId="0" fontId="121" fillId="76" borderId="31" applyNumberFormat="0" applyAlignment="0" applyProtection="0"/>
    <xf numFmtId="0" fontId="122" fillId="0" borderId="0" applyNumberFormat="0" applyFill="0" applyBorder="0" applyAlignment="0" applyProtection="0"/>
    <xf numFmtId="0" fontId="123" fillId="66" borderId="0" applyNumberFormat="0" applyBorder="0" applyAlignment="0" applyProtection="0"/>
    <xf numFmtId="0" fontId="124" fillId="0" borderId="32" applyNumberFormat="0" applyFill="0" applyAlignment="0" applyProtection="0"/>
    <xf numFmtId="0" fontId="125" fillId="0" borderId="33" applyNumberFormat="0" applyFill="0" applyAlignment="0" applyProtection="0"/>
    <xf numFmtId="0" fontId="126" fillId="0" borderId="34" applyNumberFormat="0" applyFill="0" applyAlignment="0" applyProtection="0"/>
    <xf numFmtId="0" fontId="126" fillId="0" borderId="0" applyNumberFormat="0" applyFill="0" applyBorder="0" applyAlignment="0" applyProtection="0"/>
    <xf numFmtId="173" fontId="127" fillId="69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173" fontId="127" fillId="69" borderId="30" applyNumberFormat="0" applyAlignment="0" applyProtection="0"/>
    <xf numFmtId="0" fontId="127" fillId="69" borderId="30" applyNumberFormat="0" applyAlignment="0" applyProtection="0"/>
    <xf numFmtId="173" fontId="127" fillId="69" borderId="30" applyNumberFormat="0" applyAlignment="0" applyProtection="0"/>
    <xf numFmtId="0" fontId="128" fillId="0" borderId="35" applyNumberFormat="0" applyFill="0" applyAlignment="0" applyProtection="0"/>
    <xf numFmtId="0" fontId="129" fillId="10" borderId="0" applyNumberFormat="0" applyBorder="0" applyAlignment="0" applyProtection="0"/>
    <xf numFmtId="0" fontId="13" fillId="0" borderId="0"/>
    <xf numFmtId="0" fontId="13" fillId="0" borderId="0"/>
    <xf numFmtId="173" fontId="20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173" fontId="20" fillId="0" borderId="0"/>
    <xf numFmtId="0" fontId="28" fillId="0" borderId="0"/>
    <xf numFmtId="173" fontId="20" fillId="0" borderId="0"/>
    <xf numFmtId="0" fontId="114" fillId="0" borderId="0"/>
    <xf numFmtId="173" fontId="134" fillId="0" borderId="0"/>
    <xf numFmtId="0" fontId="13" fillId="0" borderId="0"/>
    <xf numFmtId="173" fontId="13" fillId="0" borderId="0"/>
    <xf numFmtId="0" fontId="13" fillId="0" borderId="0"/>
    <xf numFmtId="0" fontId="114" fillId="0" borderId="0"/>
    <xf numFmtId="173" fontId="134" fillId="0" borderId="0"/>
    <xf numFmtId="0" fontId="114" fillId="0" borderId="0"/>
    <xf numFmtId="173" fontId="134" fillId="0" borderId="0"/>
    <xf numFmtId="0" fontId="13" fillId="0" borderId="0"/>
    <xf numFmtId="173" fontId="20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3" fillId="0" borderId="0"/>
    <xf numFmtId="173" fontId="20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14" fillId="0" borderId="0"/>
    <xf numFmtId="173" fontId="134" fillId="0" borderId="0"/>
    <xf numFmtId="0" fontId="114" fillId="0" borderId="0"/>
    <xf numFmtId="173" fontId="134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173" fontId="1" fillId="0" borderId="0"/>
    <xf numFmtId="0" fontId="1" fillId="0" borderId="0"/>
    <xf numFmtId="173" fontId="134" fillId="0" borderId="0"/>
    <xf numFmtId="0" fontId="114" fillId="0" borderId="0"/>
    <xf numFmtId="173" fontId="134" fillId="0" borderId="0"/>
    <xf numFmtId="0" fontId="114" fillId="0" borderId="0"/>
    <xf numFmtId="173" fontId="134" fillId="0" borderId="0"/>
    <xf numFmtId="0" fontId="13" fillId="0" borderId="0"/>
    <xf numFmtId="173" fontId="20" fillId="0" borderId="0"/>
    <xf numFmtId="0" fontId="13" fillId="0" borderId="0"/>
    <xf numFmtId="173" fontId="20" fillId="0" borderId="0"/>
    <xf numFmtId="0" fontId="114" fillId="0" borderId="0"/>
    <xf numFmtId="173" fontId="134" fillId="0" borderId="0"/>
    <xf numFmtId="0" fontId="13" fillId="0" borderId="0"/>
    <xf numFmtId="173" fontId="20" fillId="0" borderId="0"/>
    <xf numFmtId="0" fontId="114" fillId="0" borderId="0"/>
    <xf numFmtId="173" fontId="134" fillId="0" borderId="0"/>
    <xf numFmtId="0" fontId="114" fillId="0" borderId="0"/>
    <xf numFmtId="173" fontId="134" fillId="0" borderId="0"/>
    <xf numFmtId="0" fontId="114" fillId="0" borderId="0"/>
    <xf numFmtId="173" fontId="134" fillId="0" borderId="0"/>
    <xf numFmtId="0" fontId="114" fillId="0" borderId="0"/>
    <xf numFmtId="173" fontId="134" fillId="0" borderId="0"/>
    <xf numFmtId="0" fontId="114" fillId="0" borderId="0"/>
    <xf numFmtId="173" fontId="134" fillId="0" borderId="0"/>
    <xf numFmtId="0" fontId="114" fillId="0" borderId="0"/>
    <xf numFmtId="173" fontId="134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3" fillId="0" borderId="0"/>
    <xf numFmtId="173" fontId="20" fillId="0" borderId="0"/>
    <xf numFmtId="0" fontId="1" fillId="0" borderId="0"/>
    <xf numFmtId="0" fontId="1" fillId="0" borderId="0"/>
    <xf numFmtId="173" fontId="115" fillId="0" borderId="0"/>
    <xf numFmtId="173" fontId="13" fillId="0" borderId="0"/>
    <xf numFmtId="0" fontId="13" fillId="0" borderId="0"/>
    <xf numFmtId="0" fontId="1" fillId="0" borderId="0"/>
    <xf numFmtId="173" fontId="115" fillId="0" borderId="0"/>
    <xf numFmtId="173" fontId="1" fillId="0" borderId="0"/>
    <xf numFmtId="0" fontId="1" fillId="0" borderId="0"/>
    <xf numFmtId="173" fontId="13" fillId="0" borderId="0"/>
    <xf numFmtId="0" fontId="13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0" fontId="1" fillId="0" borderId="0"/>
    <xf numFmtId="0" fontId="1" fillId="0" borderId="0"/>
    <xf numFmtId="173" fontId="115" fillId="0" borderId="0"/>
    <xf numFmtId="173" fontId="19" fillId="0" borderId="0"/>
    <xf numFmtId="0" fontId="19" fillId="0" borderId="0"/>
    <xf numFmtId="0" fontId="19" fillId="0" borderId="0"/>
    <xf numFmtId="173" fontId="115" fillId="0" borderId="0"/>
    <xf numFmtId="173" fontId="19" fillId="0" borderId="0"/>
    <xf numFmtId="0" fontId="19" fillId="0" borderId="0"/>
    <xf numFmtId="0" fontId="19" fillId="0" borderId="0"/>
    <xf numFmtId="173" fontId="115" fillId="0" borderId="0"/>
    <xf numFmtId="173" fontId="19" fillId="0" borderId="0"/>
    <xf numFmtId="0" fontId="19" fillId="0" borderId="0"/>
    <xf numFmtId="0" fontId="19" fillId="0" borderId="0"/>
    <xf numFmtId="173" fontId="115" fillId="0" borderId="0"/>
    <xf numFmtId="173" fontId="19" fillId="0" borderId="0"/>
    <xf numFmtId="0" fontId="19" fillId="0" borderId="0"/>
    <xf numFmtId="0" fontId="19" fillId="0" borderId="0"/>
    <xf numFmtId="173" fontId="115" fillId="0" borderId="0"/>
    <xf numFmtId="173" fontId="19" fillId="0" borderId="0"/>
    <xf numFmtId="0" fontId="19" fillId="0" borderId="0"/>
    <xf numFmtId="0" fontId="19" fillId="0" borderId="0"/>
    <xf numFmtId="173" fontId="115" fillId="0" borderId="0"/>
    <xf numFmtId="173" fontId="19" fillId="0" borderId="0"/>
    <xf numFmtId="0" fontId="19" fillId="0" borderId="0"/>
    <xf numFmtId="0" fontId="19" fillId="0" borderId="0"/>
    <xf numFmtId="173" fontId="115" fillId="0" borderId="0"/>
    <xf numFmtId="173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173" fontId="20" fillId="77" borderId="36" applyNumberFormat="0" applyFont="0" applyAlignment="0" applyProtection="0"/>
    <xf numFmtId="173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173" fontId="20" fillId="77" borderId="36" applyNumberFormat="0" applyFont="0" applyAlignment="0" applyProtection="0"/>
    <xf numFmtId="0" fontId="13" fillId="77" borderId="36" applyNumberFormat="0" applyFont="0" applyAlignment="0" applyProtection="0"/>
    <xf numFmtId="173" fontId="20" fillId="77" borderId="36" applyNumberFormat="0" applyFont="0" applyAlignment="0" applyProtection="0"/>
    <xf numFmtId="173" fontId="130" fillId="75" borderId="37" applyNumberForma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173" fontId="130" fillId="75" borderId="37" applyNumberFormat="0" applyAlignment="0" applyProtection="0"/>
    <xf numFmtId="0" fontId="130" fillId="75" borderId="37" applyNumberFormat="0" applyAlignment="0" applyProtection="0"/>
    <xf numFmtId="173" fontId="130" fillId="75" borderId="37" applyNumberFormat="0" applyAlignment="0" applyProtection="0"/>
    <xf numFmtId="9" fontId="13" fillId="0" borderId="0" applyFont="0" applyFill="0" applyBorder="0" applyAlignment="0" applyProtection="0"/>
    <xf numFmtId="0" fontId="131" fillId="0" borderId="0" applyNumberFormat="0" applyFill="0" applyBorder="0" applyAlignment="0" applyProtection="0"/>
    <xf numFmtId="173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173" fontId="114" fillId="0" borderId="0"/>
    <xf numFmtId="173" fontId="13" fillId="0" borderId="0"/>
    <xf numFmtId="173" fontId="114" fillId="0" borderId="0"/>
    <xf numFmtId="173" fontId="1" fillId="0" borderId="0"/>
    <xf numFmtId="173" fontId="13" fillId="0" borderId="0"/>
    <xf numFmtId="173" fontId="13" fillId="0" borderId="0"/>
    <xf numFmtId="173" fontId="1" fillId="0" borderId="0"/>
    <xf numFmtId="173" fontId="1" fillId="0" borderId="0"/>
    <xf numFmtId="173" fontId="19" fillId="0" borderId="0"/>
    <xf numFmtId="173" fontId="13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3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9" fillId="0" borderId="0"/>
    <xf numFmtId="173" fontId="19" fillId="0" borderId="0"/>
    <xf numFmtId="173" fontId="19" fillId="0" borderId="0"/>
    <xf numFmtId="173" fontId="1" fillId="0" borderId="0"/>
    <xf numFmtId="173" fontId="1" fillId="0" borderId="0"/>
    <xf numFmtId="173" fontId="1" fillId="0" borderId="0"/>
    <xf numFmtId="173" fontId="19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3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9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" fillId="0" borderId="0"/>
    <xf numFmtId="173" fontId="13" fillId="0" borderId="0"/>
    <xf numFmtId="173" fontId="28" fillId="0" borderId="0"/>
    <xf numFmtId="173" fontId="19" fillId="0" borderId="0"/>
    <xf numFmtId="173" fontId="19" fillId="0" borderId="0"/>
    <xf numFmtId="173" fontId="19" fillId="0" borderId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9" fillId="0" borderId="0"/>
    <xf numFmtId="173" fontId="19" fillId="0" borderId="0"/>
    <xf numFmtId="173" fontId="19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1" fillId="0" borderId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9" fillId="0" borderId="0"/>
    <xf numFmtId="173" fontId="13" fillId="77" borderId="36" applyNumberFormat="0" applyFont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9" fillId="0" borderId="0"/>
    <xf numFmtId="173" fontId="19" fillId="0" borderId="0"/>
    <xf numFmtId="173" fontId="19" fillId="0" borderId="0"/>
    <xf numFmtId="173" fontId="132" fillId="0" borderId="38" applyNumberFormat="0" applyFill="0" applyAlignment="0" applyProtection="0"/>
    <xf numFmtId="173" fontId="19" fillId="0" borderId="0"/>
    <xf numFmtId="173" fontId="19" fillId="0" borderId="0"/>
    <xf numFmtId="173" fontId="19" fillId="0" borderId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9" fillId="0" borderId="0"/>
    <xf numFmtId="173" fontId="19" fillId="0" borderId="0"/>
    <xf numFmtId="173" fontId="19" fillId="0" borderId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9" fillId="0" borderId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9" fillId="0" borderId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9" fillId="0" borderId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" fillId="0" borderId="0"/>
    <xf numFmtId="173" fontId="120" fillId="75" borderId="30" applyNumberFormat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0" fontId="13" fillId="0" borderId="0"/>
    <xf numFmtId="0" fontId="13" fillId="0" borderId="0"/>
    <xf numFmtId="173" fontId="120" fillId="75" borderId="30" applyNumberFormat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9" fillId="0" borderId="0"/>
    <xf numFmtId="0" fontId="120" fillId="75" borderId="30" applyNumberFormat="0" applyAlignment="0" applyProtection="0"/>
    <xf numFmtId="173" fontId="19" fillId="0" borderId="0"/>
    <xf numFmtId="0" fontId="127" fillId="69" borderId="30" applyNumberFormat="0" applyAlignment="0" applyProtection="0"/>
    <xf numFmtId="0" fontId="114" fillId="0" borderId="0"/>
    <xf numFmtId="0" fontId="127" fillId="69" borderId="30" applyNumberFormat="0" applyAlignment="0" applyProtection="0"/>
    <xf numFmtId="173" fontId="19" fillId="0" borderId="0"/>
    <xf numFmtId="0" fontId="13" fillId="0" borderId="0"/>
    <xf numFmtId="0" fontId="13" fillId="0" borderId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14" fillId="0" borderId="0"/>
    <xf numFmtId="173" fontId="19" fillId="0" borderId="0"/>
    <xf numFmtId="173" fontId="19" fillId="0" borderId="0"/>
    <xf numFmtId="0" fontId="114" fillId="0" borderId="0"/>
    <xf numFmtId="173" fontId="19" fillId="0" borderId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9" fillId="0" borderId="0"/>
    <xf numFmtId="173" fontId="19" fillId="0" borderId="0"/>
    <xf numFmtId="173" fontId="19" fillId="0" borderId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0" fillId="75" borderId="30" applyNumberFormat="0" applyAlignment="0" applyProtection="0"/>
    <xf numFmtId="173" fontId="120" fillId="75" borderId="30" applyNumberFormat="0" applyAlignment="0" applyProtection="0"/>
    <xf numFmtId="0" fontId="19" fillId="0" borderId="0"/>
    <xf numFmtId="0" fontId="13" fillId="77" borderId="36" applyNumberFormat="0" applyFont="0" applyAlignment="0" applyProtection="0"/>
    <xf numFmtId="0" fontId="132" fillId="0" borderId="38" applyNumberFormat="0" applyFill="0" applyAlignment="0" applyProtection="0"/>
    <xf numFmtId="173" fontId="127" fillId="69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173" fontId="127" fillId="69" borderId="30" applyNumberFormat="0" applyAlignment="0" applyProtection="0"/>
    <xf numFmtId="0" fontId="19" fillId="0" borderId="0"/>
    <xf numFmtId="0" fontId="13" fillId="77" borderId="36" applyNumberFormat="0" applyFon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9" fillId="0" borderId="0"/>
    <xf numFmtId="0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9" fillId="0" borderId="0"/>
    <xf numFmtId="0" fontId="19" fillId="0" borderId="0"/>
    <xf numFmtId="0" fontId="130" fillId="75" borderId="37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9" fillId="0" borderId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14" fillId="0" borderId="0"/>
    <xf numFmtId="0" fontId="13" fillId="0" borderId="0"/>
    <xf numFmtId="0" fontId="13" fillId="0" borderId="0"/>
    <xf numFmtId="9" fontId="11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0" fontId="1" fillId="0" borderId="0"/>
    <xf numFmtId="0" fontId="13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173" fontId="114" fillId="0" borderId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173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14" fillId="0" borderId="0"/>
    <xf numFmtId="173" fontId="114" fillId="0" borderId="0"/>
    <xf numFmtId="173" fontId="114" fillId="0" borderId="0"/>
    <xf numFmtId="173" fontId="13" fillId="0" borderId="0"/>
    <xf numFmtId="173" fontId="114" fillId="0" borderId="0"/>
    <xf numFmtId="173" fontId="13" fillId="0" borderId="0"/>
    <xf numFmtId="173" fontId="13" fillId="0" borderId="0"/>
    <xf numFmtId="173" fontId="114" fillId="0" borderId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173" fontId="120" fillId="75" borderId="30" applyNumberFormat="0" applyAlignment="0" applyProtection="0"/>
    <xf numFmtId="173" fontId="132" fillId="0" borderId="38" applyNumberFormat="0" applyFill="0" applyAlignment="0" applyProtection="0"/>
    <xf numFmtId="0" fontId="130" fillId="75" borderId="37" applyNumberFormat="0" applyAlignment="0" applyProtection="0"/>
    <xf numFmtId="173" fontId="13" fillId="0" borderId="0"/>
    <xf numFmtId="0" fontId="13" fillId="77" borderId="36" applyNumberFormat="0" applyFont="0" applyAlignment="0" applyProtection="0"/>
    <xf numFmtId="173" fontId="120" fillId="75" borderId="30" applyNumberForma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173" fontId="13" fillId="0" borderId="0"/>
    <xf numFmtId="0" fontId="130" fillId="75" borderId="37" applyNumberFormat="0" applyAlignment="0" applyProtection="0"/>
    <xf numFmtId="173" fontId="13" fillId="0" borderId="0"/>
    <xf numFmtId="0" fontId="127" fillId="69" borderId="30" applyNumberFormat="0" applyAlignment="0" applyProtection="0"/>
    <xf numFmtId="173" fontId="13" fillId="0" borderId="0"/>
    <xf numFmtId="173" fontId="130" fillId="75" borderId="37" applyNumberFormat="0" applyAlignment="0" applyProtection="0"/>
    <xf numFmtId="173" fontId="19" fillId="0" borderId="0"/>
    <xf numFmtId="0" fontId="130" fillId="75" borderId="37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9" fillId="0" borderId="0"/>
    <xf numFmtId="0" fontId="132" fillId="0" borderId="38" applyNumberFormat="0" applyFill="0" applyAlignment="0" applyProtection="0"/>
    <xf numFmtId="173" fontId="19" fillId="0" borderId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173" fontId="114" fillId="0" borderId="0"/>
    <xf numFmtId="173" fontId="120" fillId="75" borderId="30" applyNumberFormat="0" applyAlignment="0" applyProtection="0"/>
    <xf numFmtId="173" fontId="19" fillId="0" borderId="0"/>
    <xf numFmtId="0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20" fillId="75" borderId="30" applyNumberFormat="0" applyAlignment="0" applyProtection="0"/>
    <xf numFmtId="173" fontId="13" fillId="77" borderId="36" applyNumberFormat="0" applyFont="0" applyAlignment="0" applyProtection="0"/>
    <xf numFmtId="173" fontId="13" fillId="0" borderId="0"/>
    <xf numFmtId="173" fontId="120" fillId="75" borderId="30" applyNumberFormat="0" applyAlignment="0" applyProtection="0"/>
    <xf numFmtId="0" fontId="120" fillId="75" borderId="30" applyNumberFormat="0" applyAlignment="0" applyProtection="0"/>
    <xf numFmtId="173" fontId="13" fillId="0" borderId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9" fillId="0" borderId="0"/>
    <xf numFmtId="173" fontId="19" fillId="0" borderId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0" borderId="0"/>
    <xf numFmtId="173" fontId="19" fillId="0" borderId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9" fillId="0" borderId="0"/>
    <xf numFmtId="173" fontId="19" fillId="0" borderId="0"/>
    <xf numFmtId="173" fontId="19" fillId="0" borderId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7" fillId="69" borderId="30" applyNumberForma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0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20" fillId="75" borderId="30" applyNumberFormat="0" applyAlignment="0" applyProtection="0"/>
    <xf numFmtId="173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20" fillId="75" borderId="30" applyNumberFormat="0" applyAlignment="0" applyProtection="0"/>
    <xf numFmtId="173" fontId="13" fillId="0" borderId="0"/>
    <xf numFmtId="0" fontId="127" fillId="69" borderId="30" applyNumberFormat="0" applyAlignment="0" applyProtection="0"/>
    <xf numFmtId="0" fontId="127" fillId="69" borderId="30" applyNumberFormat="0" applyAlignment="0" applyProtection="0"/>
    <xf numFmtId="173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14" fillId="0" borderId="0"/>
    <xf numFmtId="173" fontId="120" fillId="75" borderId="30" applyNumberFormat="0" applyAlignment="0" applyProtection="0"/>
    <xf numFmtId="173" fontId="13" fillId="0" borderId="0"/>
    <xf numFmtId="173" fontId="114" fillId="0" borderId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" fillId="77" borderId="36" applyNumberFormat="0" applyFont="0" applyAlignment="0" applyProtection="0"/>
    <xf numFmtId="173" fontId="19" fillId="0" borderId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" fillId="0" borderId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173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9" fillId="0" borderId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9" fillId="0" borderId="0"/>
    <xf numFmtId="173" fontId="130" fillId="75" borderId="37" applyNumberFormat="0" applyAlignment="0" applyProtection="0"/>
    <xf numFmtId="173" fontId="19" fillId="0" borderId="0"/>
    <xf numFmtId="173" fontId="120" fillId="75" borderId="30" applyNumberFormat="0" applyAlignment="0" applyProtection="0"/>
    <xf numFmtId="0" fontId="120" fillId="75" borderId="30" applyNumberForma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30" fillId="75" borderId="37" applyNumberFormat="0" applyAlignment="0" applyProtection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" fillId="0" borderId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" fillId="77" borderId="36" applyNumberFormat="0" applyFont="0" applyAlignment="0" applyProtection="0"/>
    <xf numFmtId="173" fontId="19" fillId="0" borderId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173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0" borderId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9" fillId="0" borderId="0"/>
    <xf numFmtId="173" fontId="19" fillId="0" borderId="0"/>
    <xf numFmtId="173" fontId="130" fillId="75" borderId="37" applyNumberFormat="0" applyAlignment="0" applyProtection="0"/>
    <xf numFmtId="173" fontId="19" fillId="0" borderId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9" fillId="0" borderId="0"/>
    <xf numFmtId="173" fontId="19" fillId="0" borderId="0"/>
    <xf numFmtId="173" fontId="19" fillId="0" borderId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9" fillId="0" borderId="0"/>
    <xf numFmtId="173" fontId="19" fillId="0" borderId="0"/>
    <xf numFmtId="173" fontId="19" fillId="0" borderId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30" fillId="75" borderId="37" applyNumberFormat="0" applyAlignment="0" applyProtection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0" fillId="75" borderId="37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20" fillId="75" borderId="30" applyNumberFormat="0" applyAlignment="0" applyProtection="0"/>
    <xf numFmtId="173" fontId="114" fillId="0" borderId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" fillId="77" borderId="36" applyNumberFormat="0" applyFont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173" fontId="127" fillId="69" borderId="30" applyNumberForma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0" borderId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27" fillId="69" borderId="30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20" fillId="75" borderId="30" applyNumberFormat="0" applyAlignment="0" applyProtection="0"/>
    <xf numFmtId="173" fontId="13" fillId="0" borderId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" fillId="77" borderId="36" applyNumberFormat="0" applyFont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173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173" fontId="13" fillId="0" borderId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30" fillId="75" borderId="37" applyNumberFormat="0" applyAlignment="0" applyProtection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32" fillId="0" borderId="38" applyNumberFormat="0" applyFill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0" borderId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27" fillId="69" borderId="30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" fillId="77" borderId="36" applyNumberFormat="0" applyFont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173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30" fillId="75" borderId="37" applyNumberFormat="0" applyAlignment="0" applyProtection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0" fillId="75" borderId="37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27" fillId="69" borderId="30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" fillId="77" borderId="36" applyNumberFormat="0" applyFont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173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30" fillId="75" borderId="37" applyNumberFormat="0" applyAlignment="0" applyProtection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0" fillId="75" borderId="37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173" fontId="114" fillId="0" borderId="0"/>
    <xf numFmtId="0" fontId="114" fillId="0" borderId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0" fontId="120" fillId="75" borderId="30" applyNumberFormat="0" applyAlignment="0" applyProtection="0"/>
    <xf numFmtId="173" fontId="120" fillId="75" borderId="30" applyNumberFormat="0" applyAlignment="0" applyProtection="0"/>
    <xf numFmtId="0" fontId="130" fillId="75" borderId="37" applyNumberFormat="0" applyAlignment="0" applyProtection="0"/>
    <xf numFmtId="0" fontId="13" fillId="77" borderId="36" applyNumberFormat="0" applyFont="0" applyAlignment="0" applyProtection="0"/>
    <xf numFmtId="173" fontId="120" fillId="75" borderId="30" applyNumberForma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0" fontId="130" fillId="75" borderId="37" applyNumberFormat="0" applyAlignment="0" applyProtection="0"/>
    <xf numFmtId="0" fontId="127" fillId="69" borderId="30" applyNumberFormat="0" applyAlignment="0" applyProtection="0"/>
    <xf numFmtId="173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0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20" fillId="75" borderId="30" applyNumberFormat="0" applyAlignment="0" applyProtection="0"/>
    <xf numFmtId="173" fontId="13" fillId="77" borderId="36" applyNumberFormat="0" applyFont="0" applyAlignment="0" applyProtection="0"/>
    <xf numFmtId="173" fontId="120" fillId="75" borderId="30" applyNumberFormat="0" applyAlignment="0" applyProtection="0"/>
    <xf numFmtId="0" fontId="120" fillId="75" borderId="30" applyNumberFormat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0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20" fillId="75" borderId="30" applyNumberFormat="0" applyAlignment="0" applyProtection="0"/>
    <xf numFmtId="173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27" fillId="69" borderId="30" applyNumberFormat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0" fontId="13" fillId="77" borderId="36" applyNumberFormat="0" applyFon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27" fillId="69" borderId="30" applyNumberFormat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" fillId="77" borderId="36" applyNumberFormat="0" applyFont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173" fontId="127" fillId="69" borderId="30" applyNumberForma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27" fillId="69" borderId="30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" fillId="77" borderId="36" applyNumberFormat="0" applyFont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173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30" fillId="75" borderId="37" applyNumberFormat="0" applyAlignment="0" applyProtection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32" fillId="0" borderId="38" applyNumberFormat="0" applyFill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27" fillId="69" borderId="30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" fillId="77" borderId="36" applyNumberFormat="0" applyFont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173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30" fillId="75" borderId="37" applyNumberFormat="0" applyAlignment="0" applyProtection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0" fillId="75" borderId="37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27" fillId="69" borderId="30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" fillId="77" borderId="36" applyNumberFormat="0" applyFont="0" applyAlignment="0" applyProtection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173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30" fillId="75" borderId="37" applyNumberFormat="0" applyAlignment="0" applyProtection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0" fillId="75" borderId="37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14" fillId="0" borderId="0"/>
    <xf numFmtId="0" fontId="114" fillId="0" borderId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9" fillId="0" borderId="0"/>
    <xf numFmtId="173" fontId="19" fillId="0" borderId="0"/>
    <xf numFmtId="173" fontId="19" fillId="0" borderId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9" fillId="0" borderId="0"/>
    <xf numFmtId="173" fontId="19" fillId="0" borderId="0"/>
    <xf numFmtId="173" fontId="19" fillId="0" borderId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9" fillId="0" borderId="0"/>
    <xf numFmtId="173" fontId="19" fillId="0" borderId="0"/>
    <xf numFmtId="173" fontId="19" fillId="0" borderId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0" fontId="13" fillId="77" borderId="36" applyNumberFormat="0" applyFont="0" applyAlignment="0" applyProtection="0"/>
    <xf numFmtId="173" fontId="13" fillId="77" borderId="36" applyNumberFormat="0" applyFon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9" fillId="0" borderId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173" fontId="120" fillId="75" borderId="30" applyNumberFormat="0" applyAlignment="0" applyProtection="0"/>
    <xf numFmtId="0" fontId="19" fillId="0" borderId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9" fillId="0" borderId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3" fillId="77" borderId="36" applyNumberFormat="0" applyFont="0" applyAlignment="0" applyProtection="0"/>
    <xf numFmtId="173" fontId="19" fillId="0" borderId="0"/>
    <xf numFmtId="173" fontId="120" fillId="75" borderId="30" applyNumberFormat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2" fillId="0" borderId="38" applyNumberFormat="0" applyFill="0" applyAlignment="0" applyProtection="0"/>
    <xf numFmtId="173" fontId="127" fillId="69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9" fillId="0" borderId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9" fillId="0" borderId="0"/>
    <xf numFmtId="173" fontId="19" fillId="0" borderId="0"/>
    <xf numFmtId="173" fontId="130" fillId="75" borderId="37" applyNumberFormat="0" applyAlignment="0" applyProtection="0"/>
    <xf numFmtId="173" fontId="19" fillId="0" borderId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30" fillId="75" borderId="37" applyNumberFormat="0" applyAlignment="0" applyProtection="0"/>
    <xf numFmtId="0" fontId="120" fillId="75" borderId="30" applyNumberFormat="0" applyAlignment="0" applyProtection="0"/>
    <xf numFmtId="173" fontId="127" fillId="69" borderId="30" applyNumberFormat="0" applyAlignment="0" applyProtection="0"/>
    <xf numFmtId="173" fontId="130" fillId="75" borderId="37" applyNumberFormat="0" applyAlignment="0" applyProtection="0"/>
    <xf numFmtId="173" fontId="19" fillId="0" borderId="0"/>
    <xf numFmtId="173" fontId="19" fillId="0" borderId="0"/>
    <xf numFmtId="173" fontId="19" fillId="0" borderId="0"/>
    <xf numFmtId="173" fontId="120" fillId="75" borderId="30" applyNumberFormat="0" applyAlignment="0" applyProtection="0"/>
    <xf numFmtId="173" fontId="120" fillId="75" borderId="30" applyNumberFormat="0" applyAlignment="0" applyProtection="0"/>
    <xf numFmtId="173" fontId="127" fillId="69" borderId="30" applyNumberFormat="0" applyAlignment="0" applyProtection="0"/>
    <xf numFmtId="173" fontId="127" fillId="69" borderId="30" applyNumberFormat="0" applyAlignment="0" applyProtection="0"/>
    <xf numFmtId="173" fontId="19" fillId="0" borderId="0"/>
    <xf numFmtId="173" fontId="19" fillId="0" borderId="0"/>
    <xf numFmtId="173" fontId="19" fillId="0" borderId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20" fillId="75" borderId="30" applyNumberFormat="0" applyAlignment="0" applyProtection="0"/>
    <xf numFmtId="173" fontId="13" fillId="77" borderId="36" applyNumberFormat="0" applyFont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173" fontId="127" fillId="69" borderId="30" applyNumberFormat="0" applyAlignment="0" applyProtection="0"/>
    <xf numFmtId="0" fontId="130" fillId="75" borderId="37" applyNumberFormat="0" applyAlignment="0" applyProtection="0"/>
    <xf numFmtId="0" fontId="127" fillId="69" borderId="30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" fillId="77" borderId="36" applyNumberFormat="0" applyFont="0" applyAlignment="0" applyProtection="0"/>
    <xf numFmtId="0" fontId="127" fillId="69" borderId="30" applyNumberForma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" fillId="77" borderId="36" applyNumberFormat="0" applyFont="0" applyAlignment="0" applyProtection="0"/>
    <xf numFmtId="173" fontId="130" fillId="75" borderId="37" applyNumberFormat="0" applyAlignment="0" applyProtection="0"/>
    <xf numFmtId="173" fontId="132" fillId="0" borderId="38" applyNumberFormat="0" applyFill="0" applyAlignment="0" applyProtection="0"/>
    <xf numFmtId="173" fontId="132" fillId="0" borderId="38" applyNumberFormat="0" applyFill="0" applyAlignment="0" applyProtection="0"/>
    <xf numFmtId="173" fontId="130" fillId="75" borderId="37" applyNumberFormat="0" applyAlignment="0" applyProtection="0"/>
    <xf numFmtId="0" fontId="132" fillId="0" borderId="38" applyNumberFormat="0" applyFill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0" fillId="75" borderId="30" applyNumberFormat="0" applyAlignment="0" applyProtection="0"/>
    <xf numFmtId="0" fontId="127" fillId="69" borderId="30" applyNumberFormat="0" applyAlignment="0" applyProtection="0"/>
    <xf numFmtId="0" fontId="127" fillId="69" borderId="30" applyNumberFormat="0" applyAlignment="0" applyProtection="0"/>
    <xf numFmtId="0" fontId="13" fillId="77" borderId="36" applyNumberFormat="0" applyFont="0" applyAlignment="0" applyProtection="0"/>
    <xf numFmtId="0" fontId="13" fillId="77" borderId="36" applyNumberFormat="0" applyFont="0" applyAlignment="0" applyProtection="0"/>
    <xf numFmtId="0" fontId="130" fillId="75" borderId="37" applyNumberFormat="0" applyAlignment="0" applyProtection="0"/>
    <xf numFmtId="0" fontId="130" fillId="75" borderId="37" applyNumberFormat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43" fontId="114" fillId="0" borderId="0" applyFont="0" applyFill="0" applyBorder="0" applyAlignment="0" applyProtection="0"/>
    <xf numFmtId="173" fontId="114" fillId="0" borderId="0"/>
    <xf numFmtId="0" fontId="114" fillId="0" borderId="0"/>
    <xf numFmtId="0" fontId="114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9" fontId="114" fillId="0" borderId="0" applyFont="0" applyFill="0" applyBorder="0" applyAlignment="0" applyProtection="0"/>
    <xf numFmtId="0" fontId="114" fillId="0" borderId="0"/>
    <xf numFmtId="0" fontId="1" fillId="0" borderId="0"/>
    <xf numFmtId="0" fontId="114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9" fillId="0" borderId="0"/>
    <xf numFmtId="173" fontId="19" fillId="0" borderId="0"/>
    <xf numFmtId="0" fontId="19" fillId="0" borderId="0"/>
    <xf numFmtId="0" fontId="1" fillId="0" borderId="0"/>
  </cellStyleXfs>
  <cellXfs count="112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/>
    <xf numFmtId="0" fontId="0" fillId="2" borderId="0" xfId="0" applyFill="1"/>
    <xf numFmtId="0" fontId="9" fillId="3" borderId="0" xfId="0" applyFont="1" applyFill="1" applyAlignment="1">
      <alignment horizontal="right" wrapText="1"/>
    </xf>
    <xf numFmtId="0" fontId="0" fillId="0" borderId="2" xfId="0" applyBorder="1"/>
    <xf numFmtId="3" fontId="10" fillId="4" borderId="2" xfId="0" applyNumberFormat="1" applyFont="1" applyFill="1" applyBorder="1" applyAlignment="1">
      <alignment horizontal="center" vertical="center" wrapText="1"/>
    </xf>
    <xf numFmtId="3" fontId="10" fillId="4" borderId="2" xfId="0" quotePrefix="1" applyNumberFormat="1" applyFont="1" applyFill="1" applyBorder="1" applyAlignment="1">
      <alignment horizontal="center" vertical="center" wrapText="1"/>
    </xf>
    <xf numFmtId="3" fontId="10" fillId="4" borderId="3" xfId="0" applyNumberFormat="1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3" fontId="11" fillId="5" borderId="2" xfId="0" applyNumberFormat="1" applyFont="1" applyFill="1" applyBorder="1" applyAlignment="1">
      <alignment horizontal="center" vertical="center" wrapText="1"/>
    </xf>
    <xf numFmtId="3" fontId="11" fillId="5" borderId="3" xfId="0" applyNumberFormat="1" applyFont="1" applyFill="1" applyBorder="1" applyAlignment="1">
      <alignment horizontal="center" vertical="center" wrapText="1"/>
    </xf>
    <xf numFmtId="0" fontId="0" fillId="5" borderId="0" xfId="0" applyFill="1"/>
    <xf numFmtId="3" fontId="11" fillId="5" borderId="4" xfId="0" applyNumberFormat="1" applyFont="1" applyFill="1" applyBorder="1" applyAlignment="1">
      <alignment horizontal="center" vertical="center" wrapText="1"/>
    </xf>
    <xf numFmtId="3" fontId="11" fillId="5" borderId="5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wrapText="1"/>
    </xf>
    <xf numFmtId="3" fontId="12" fillId="6" borderId="3" xfId="0" quotePrefix="1" applyNumberFormat="1" applyFont="1" applyFill="1" applyBorder="1" applyAlignment="1">
      <alignment horizontal="center"/>
    </xf>
    <xf numFmtId="3" fontId="12" fillId="6" borderId="3" xfId="0" quotePrefix="1" applyNumberFormat="1" applyFont="1" applyFill="1" applyBorder="1" applyAlignment="1">
      <alignment horizontal="center" wrapText="1"/>
    </xf>
    <xf numFmtId="3" fontId="12" fillId="6" borderId="2" xfId="0" applyNumberFormat="1" applyFont="1" applyFill="1" applyBorder="1" applyAlignment="1">
      <alignment horizontal="center" wrapText="1"/>
    </xf>
    <xf numFmtId="0" fontId="0" fillId="6" borderId="0" xfId="0" applyFill="1"/>
    <xf numFmtId="0" fontId="12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wrapText="1"/>
    </xf>
    <xf numFmtId="3" fontId="15" fillId="6" borderId="2" xfId="0" applyNumberFormat="1" applyFont="1" applyFill="1" applyBorder="1" applyAlignment="1">
      <alignment horizontal="center" wrapText="1"/>
    </xf>
    <xf numFmtId="3" fontId="16" fillId="7" borderId="2" xfId="1" applyNumberFormat="1" applyFont="1" applyFill="1" applyBorder="1"/>
    <xf numFmtId="0" fontId="12" fillId="6" borderId="2" xfId="0" applyFont="1" applyFill="1" applyBorder="1" applyAlignment="1">
      <alignment horizontal="center" wrapText="1"/>
    </xf>
    <xf numFmtId="0" fontId="12" fillId="6" borderId="2" xfId="0" applyFont="1" applyFill="1" applyBorder="1" applyAlignment="1">
      <alignment horizontal="right" wrapText="1"/>
    </xf>
    <xf numFmtId="0" fontId="12" fillId="0" borderId="4" xfId="0" applyFont="1" applyBorder="1" applyAlignment="1">
      <alignment wrapText="1"/>
    </xf>
    <xf numFmtId="0" fontId="12" fillId="6" borderId="4" xfId="0" applyFont="1" applyFill="1" applyBorder="1" applyAlignment="1">
      <alignment horizontal="right" wrapText="1"/>
    </xf>
    <xf numFmtId="3" fontId="12" fillId="0" borderId="2" xfId="0" applyNumberFormat="1" applyFont="1" applyFill="1" applyBorder="1" applyAlignment="1">
      <alignment horizontal="center" wrapText="1"/>
    </xf>
    <xf numFmtId="0" fontId="17" fillId="0" borderId="2" xfId="2" applyFont="1" applyBorder="1" applyAlignment="1">
      <alignment horizontal="right" vertical="center" wrapText="1"/>
    </xf>
    <xf numFmtId="0" fontId="12" fillId="5" borderId="2" xfId="0" applyFont="1" applyFill="1" applyBorder="1" applyAlignment="1">
      <alignment horizontal="center" wrapText="1"/>
    </xf>
    <xf numFmtId="0" fontId="12" fillId="5" borderId="4" xfId="0" applyFont="1" applyFill="1" applyBorder="1" applyAlignment="1">
      <alignment horizontal="right" wrapText="1"/>
    </xf>
    <xf numFmtId="3" fontId="18" fillId="5" borderId="4" xfId="0" applyNumberFormat="1" applyFont="1" applyFill="1" applyBorder="1" applyAlignment="1">
      <alignment horizontal="center"/>
    </xf>
    <xf numFmtId="3" fontId="18" fillId="5" borderId="5" xfId="0" applyNumberFormat="1" applyFont="1" applyFill="1" applyBorder="1" applyAlignment="1">
      <alignment horizontal="center" wrapText="1"/>
    </xf>
    <xf numFmtId="3" fontId="18" fillId="5" borderId="2" xfId="0" applyNumberFormat="1" applyFont="1" applyFill="1" applyBorder="1" applyAlignment="1">
      <alignment horizontal="center" wrapText="1"/>
    </xf>
    <xf numFmtId="3" fontId="12" fillId="6" borderId="2" xfId="0" applyNumberFormat="1" applyFont="1" applyFill="1" applyBorder="1" applyAlignment="1">
      <alignment horizontal="center"/>
    </xf>
    <xf numFmtId="3" fontId="12" fillId="6" borderId="3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3" fillId="0" borderId="0" xfId="8" applyAlignment="1"/>
    <xf numFmtId="0" fontId="13" fillId="0" borderId="0" xfId="8" applyBorder="1" applyAlignment="1"/>
    <xf numFmtId="164" fontId="13" fillId="0" borderId="0" xfId="8" applyNumberFormat="1" applyAlignment="1"/>
    <xf numFmtId="0" fontId="13" fillId="0" borderId="0" xfId="8" applyFill="1"/>
    <xf numFmtId="0" fontId="20" fillId="0" borderId="2" xfId="8" applyNumberFormat="1" applyFont="1" applyFill="1" applyBorder="1" applyAlignment="1">
      <alignment horizontal="right" vertical="center" wrapText="1"/>
    </xf>
    <xf numFmtId="3" fontId="13" fillId="0" borderId="2" xfId="8" applyNumberFormat="1" applyFont="1" applyFill="1" applyBorder="1" applyAlignment="1">
      <alignment horizontal="center" vertical="center"/>
    </xf>
    <xf numFmtId="3" fontId="14" fillId="0" borderId="2" xfId="8" applyNumberFormat="1" applyFont="1" applyFill="1" applyBorder="1" applyAlignment="1">
      <alignment horizontal="center" vertical="center"/>
    </xf>
    <xf numFmtId="165" fontId="20" fillId="0" borderId="2" xfId="8" applyNumberFormat="1" applyFont="1" applyFill="1" applyBorder="1" applyAlignment="1">
      <alignment horizontal="center" vertical="center" wrapText="1"/>
    </xf>
    <xf numFmtId="165" fontId="21" fillId="0" borderId="2" xfId="8" applyNumberFormat="1" applyFont="1" applyFill="1" applyBorder="1" applyAlignment="1">
      <alignment horizontal="center" vertical="center" wrapText="1"/>
    </xf>
    <xf numFmtId="0" fontId="20" fillId="0" borderId="2" xfId="8" applyFont="1" applyFill="1" applyBorder="1" applyAlignment="1">
      <alignment horizontal="center" vertical="center" wrapText="1"/>
    </xf>
    <xf numFmtId="0" fontId="20" fillId="0" borderId="2" xfId="8" applyFont="1" applyFill="1" applyBorder="1" applyAlignment="1">
      <alignment horizontal="right" vertical="center" wrapText="1" readingOrder="2"/>
    </xf>
    <xf numFmtId="165" fontId="13" fillId="0" borderId="2" xfId="15" applyNumberFormat="1" applyFont="1" applyFill="1" applyBorder="1" applyAlignment="1">
      <alignment horizontal="right" vertical="center" wrapText="1"/>
    </xf>
    <xf numFmtId="0" fontId="13" fillId="0" borderId="2" xfId="8" applyFill="1" applyBorder="1" applyAlignment="1">
      <alignment horizontal="center" vertical="center"/>
    </xf>
    <xf numFmtId="0" fontId="21" fillId="0" borderId="2" xfId="8" applyNumberFormat="1" applyFont="1" applyFill="1" applyBorder="1" applyAlignment="1">
      <alignment horizontal="center" vertical="center" wrapText="1"/>
    </xf>
    <xf numFmtId="0" fontId="20" fillId="0" borderId="2" xfId="8" applyFont="1" applyFill="1" applyBorder="1" applyAlignment="1">
      <alignment horizontal="right" vertical="center" wrapText="1"/>
    </xf>
    <xf numFmtId="0" fontId="13" fillId="0" borderId="2" xfId="16" applyNumberFormat="1" applyFont="1" applyFill="1" applyBorder="1" applyAlignment="1">
      <alignment horizontal="center" vertical="center" wrapText="1"/>
    </xf>
    <xf numFmtId="165" fontId="20" fillId="0" borderId="2" xfId="15" applyNumberFormat="1" applyFont="1" applyFill="1" applyBorder="1" applyAlignment="1">
      <alignment horizontal="right" vertical="center" wrapText="1"/>
    </xf>
    <xf numFmtId="166" fontId="13" fillId="0" borderId="2" xfId="8" applyNumberFormat="1" applyFont="1" applyFill="1" applyBorder="1" applyAlignment="1">
      <alignment horizontal="center" vertical="center"/>
    </xf>
    <xf numFmtId="3" fontId="13" fillId="0" borderId="2" xfId="8" applyNumberFormat="1" applyFill="1" applyBorder="1" applyAlignment="1">
      <alignment horizontal="center" vertical="center"/>
    </xf>
    <xf numFmtId="165" fontId="23" fillId="0" borderId="2" xfId="8" applyNumberFormat="1" applyFont="1" applyFill="1" applyBorder="1" applyAlignment="1">
      <alignment horizontal="center" vertical="center" wrapText="1"/>
    </xf>
    <xf numFmtId="3" fontId="13" fillId="0" borderId="2" xfId="8" quotePrefix="1" applyNumberFormat="1" applyFill="1" applyBorder="1" applyAlignment="1">
      <alignment horizontal="right" vertical="center" wrapText="1"/>
    </xf>
    <xf numFmtId="0" fontId="13" fillId="0" borderId="0" xfId="8" applyFill="1" applyAlignment="1"/>
    <xf numFmtId="0" fontId="14" fillId="0" borderId="2" xfId="8" applyFont="1" applyFill="1" applyBorder="1" applyAlignment="1">
      <alignment horizontal="right"/>
    </xf>
    <xf numFmtId="0" fontId="13" fillId="0" borderId="2" xfId="8" applyFont="1" applyFill="1" applyBorder="1" applyAlignment="1">
      <alignment horizontal="right"/>
    </xf>
    <xf numFmtId="0" fontId="24" fillId="0" borderId="2" xfId="8" applyFont="1" applyFill="1" applyBorder="1" applyAlignment="1">
      <alignment horizontal="right" vertical="center" readingOrder="2"/>
    </xf>
    <xf numFmtId="0" fontId="20" fillId="0" borderId="2" xfId="8" applyNumberFormat="1" applyFont="1" applyFill="1" applyBorder="1" applyAlignment="1">
      <alignment horizontal="center" vertical="center"/>
    </xf>
    <xf numFmtId="165" fontId="13" fillId="0" borderId="2" xfId="17" applyNumberFormat="1" applyFont="1" applyFill="1" applyBorder="1" applyAlignment="1">
      <alignment horizontal="right" vertical="center" wrapText="1"/>
    </xf>
    <xf numFmtId="0" fontId="13" fillId="0" borderId="2" xfId="8" applyFont="1" applyFill="1" applyBorder="1" applyAlignment="1">
      <alignment vertical="center" wrapText="1" readingOrder="2"/>
    </xf>
    <xf numFmtId="165" fontId="14" fillId="0" borderId="2" xfId="17" applyNumberFormat="1" applyFont="1" applyFill="1" applyBorder="1" applyAlignment="1">
      <alignment horizontal="right" vertical="center" wrapText="1"/>
    </xf>
    <xf numFmtId="0" fontId="13" fillId="0" borderId="2" xfId="8" applyFill="1" applyBorder="1" applyAlignment="1">
      <alignment horizontal="right" vertical="center" wrapText="1" readingOrder="2"/>
    </xf>
    <xf numFmtId="3" fontId="14" fillId="0" borderId="2" xfId="8" applyNumberFormat="1" applyFont="1" applyFill="1" applyBorder="1" applyAlignment="1">
      <alignment horizontal="right" vertical="center" wrapText="1"/>
    </xf>
    <xf numFmtId="0" fontId="13" fillId="0" borderId="2" xfId="8" applyFill="1" applyBorder="1" applyAlignment="1">
      <alignment horizontal="right" vertical="center" wrapText="1"/>
    </xf>
    <xf numFmtId="3" fontId="14" fillId="8" borderId="2" xfId="8" applyNumberFormat="1" applyFont="1" applyFill="1" applyBorder="1" applyAlignment="1">
      <alignment horizontal="right" vertical="center" wrapText="1"/>
    </xf>
    <xf numFmtId="3" fontId="13" fillId="9" borderId="2" xfId="8" applyNumberFormat="1" applyFont="1" applyFill="1" applyBorder="1" applyAlignment="1">
      <alignment horizontal="center" vertical="center"/>
    </xf>
    <xf numFmtId="3" fontId="25" fillId="0" borderId="2" xfId="8" applyNumberFormat="1" applyFont="1" applyFill="1" applyBorder="1" applyAlignment="1">
      <alignment horizontal="right" vertical="center" wrapText="1"/>
    </xf>
    <xf numFmtId="0" fontId="13" fillId="0" borderId="2" xfId="8" applyNumberFormat="1" applyFont="1" applyFill="1" applyBorder="1" applyAlignment="1">
      <alignment horizontal="right" vertical="center" wrapText="1"/>
    </xf>
    <xf numFmtId="166" fontId="13" fillId="0" borderId="2" xfId="8" applyNumberFormat="1" applyFont="1" applyFill="1" applyBorder="1" applyAlignment="1">
      <alignment horizontal="right" vertical="center" wrapText="1" readingOrder="2"/>
    </xf>
    <xf numFmtId="0" fontId="14" fillId="8" borderId="2" xfId="8" applyNumberFormat="1" applyFont="1" applyFill="1" applyBorder="1" applyAlignment="1">
      <alignment horizontal="right" vertical="center" wrapText="1"/>
    </xf>
    <xf numFmtId="3" fontId="13" fillId="0" borderId="2" xfId="8" applyNumberFormat="1" applyFont="1" applyFill="1" applyBorder="1" applyAlignment="1">
      <alignment horizontal="right" vertical="center" wrapText="1"/>
    </xf>
    <xf numFmtId="164" fontId="13" fillId="0" borderId="2" xfId="8" applyNumberFormat="1" applyFont="1" applyFill="1" applyBorder="1" applyAlignment="1">
      <alignment horizontal="right" vertical="center" wrapText="1"/>
    </xf>
    <xf numFmtId="3" fontId="13" fillId="0" borderId="2" xfId="8" applyNumberFormat="1" applyFill="1" applyBorder="1" applyAlignment="1">
      <alignment horizontal="right" vertical="center" wrapText="1"/>
    </xf>
    <xf numFmtId="0" fontId="13" fillId="0" borderId="2" xfId="8" applyFill="1" applyBorder="1"/>
    <xf numFmtId="0" fontId="13" fillId="0" borderId="2" xfId="8" applyFill="1" applyBorder="1" applyAlignment="1">
      <alignment horizontal="center" vertical="center" wrapText="1"/>
    </xf>
    <xf numFmtId="3" fontId="14" fillId="0" borderId="2" xfId="8" applyNumberFormat="1" applyFont="1" applyFill="1" applyBorder="1" applyAlignment="1">
      <alignment horizontal="center" vertical="center" wrapText="1"/>
    </xf>
    <xf numFmtId="0" fontId="20" fillId="0" borderId="2" xfId="8" applyNumberFormat="1" applyFont="1" applyFill="1" applyBorder="1" applyAlignment="1">
      <alignment horizontal="right" vertical="center" wrapText="1" readingOrder="2"/>
    </xf>
    <xf numFmtId="0" fontId="20" fillId="0" borderId="2" xfId="8" quotePrefix="1" applyNumberFormat="1" applyFont="1" applyFill="1" applyBorder="1" applyAlignment="1">
      <alignment horizontal="right" vertical="center" wrapText="1" readingOrder="2"/>
    </xf>
    <xf numFmtId="0" fontId="14" fillId="8" borderId="2" xfId="8" applyNumberFormat="1" applyFont="1" applyFill="1" applyBorder="1" applyAlignment="1">
      <alignment horizontal="right" vertical="center" wrapText="1" readingOrder="2"/>
    </xf>
    <xf numFmtId="0" fontId="13" fillId="0" borderId="2" xfId="8" applyFont="1" applyFill="1" applyBorder="1" applyAlignment="1">
      <alignment horizontal="right" vertical="center" wrapText="1"/>
    </xf>
    <xf numFmtId="165" fontId="14" fillId="8" borderId="2" xfId="17" applyNumberFormat="1" applyFont="1" applyFill="1" applyBorder="1" applyAlignment="1">
      <alignment horizontal="right" vertical="center" wrapText="1"/>
    </xf>
    <xf numFmtId="0" fontId="13" fillId="0" borderId="2" xfId="8" applyFont="1" applyFill="1" applyBorder="1" applyAlignment="1">
      <alignment horizontal="center" vertical="center" wrapText="1" shrinkToFit="1"/>
    </xf>
    <xf numFmtId="0" fontId="13" fillId="8" borderId="2" xfId="8" applyFont="1" applyFill="1" applyBorder="1" applyAlignment="1">
      <alignment horizontal="right" vertical="center" wrapText="1"/>
    </xf>
    <xf numFmtId="0" fontId="13" fillId="0" borderId="2" xfId="8" applyFont="1" applyFill="1" applyBorder="1" applyAlignment="1">
      <alignment horizontal="right" vertical="center" wrapText="1" readingOrder="2"/>
    </xf>
    <xf numFmtId="0" fontId="20" fillId="0" borderId="0" xfId="8" applyNumberFormat="1" applyFont="1" applyFill="1" applyBorder="1" applyAlignment="1">
      <alignment horizontal="right" vertical="center" wrapText="1"/>
    </xf>
    <xf numFmtId="0" fontId="13" fillId="0" borderId="0" xfId="8" applyFont="1" applyFill="1" applyAlignment="1"/>
    <xf numFmtId="0" fontId="13" fillId="0" borderId="2" xfId="8" applyNumberFormat="1" applyFont="1" applyFill="1" applyBorder="1" applyAlignment="1">
      <alignment horizontal="right" vertical="center" wrapText="1" readingOrder="2"/>
    </xf>
    <xf numFmtId="0" fontId="20" fillId="0" borderId="2" xfId="8" applyNumberFormat="1" applyFont="1" applyFill="1" applyBorder="1" applyAlignment="1">
      <alignment horizontal="center" vertical="center" wrapText="1"/>
    </xf>
    <xf numFmtId="0" fontId="13" fillId="0" borderId="0" xfId="8" applyFill="1" applyBorder="1"/>
    <xf numFmtId="0" fontId="13" fillId="0" borderId="0" xfId="8" applyFont="1" applyFill="1" applyBorder="1" applyAlignment="1"/>
    <xf numFmtId="0" fontId="13" fillId="0" borderId="0" xfId="8" applyFont="1" applyAlignment="1"/>
    <xf numFmtId="0" fontId="13" fillId="0" borderId="0" xfId="8" applyFont="1" applyBorder="1" applyAlignment="1"/>
    <xf numFmtId="3" fontId="20" fillId="0" borderId="2" xfId="8" applyNumberFormat="1" applyFont="1" applyFill="1" applyBorder="1" applyAlignment="1">
      <alignment horizontal="center" vertical="center" wrapText="1"/>
    </xf>
    <xf numFmtId="0" fontId="20" fillId="5" borderId="2" xfId="15" applyFont="1" applyFill="1" applyBorder="1" applyAlignment="1">
      <alignment horizontal="center" vertical="center" wrapText="1" readingOrder="2"/>
    </xf>
    <xf numFmtId="0" fontId="20" fillId="5" borderId="2" xfId="8" applyFont="1" applyFill="1" applyBorder="1" applyAlignment="1">
      <alignment horizontal="center" vertical="center" wrapText="1" readingOrder="2"/>
    </xf>
    <xf numFmtId="0" fontId="20" fillId="5" borderId="2" xfId="18" applyFont="1" applyFill="1" applyBorder="1" applyAlignment="1">
      <alignment horizontal="center" vertical="center" wrapText="1" readingOrder="2"/>
    </xf>
    <xf numFmtId="0" fontId="20" fillId="0" borderId="2" xfId="8" applyFont="1" applyFill="1" applyBorder="1" applyAlignment="1">
      <alignment horizontal="center" vertical="center" wrapText="1" readingOrder="2"/>
    </xf>
    <xf numFmtId="0" fontId="13" fillId="0" borderId="2" xfId="8" applyFont="1" applyFill="1" applyBorder="1" applyAlignment="1">
      <alignment horizontal="center" vertical="center" wrapText="1" readingOrder="2"/>
    </xf>
    <xf numFmtId="3" fontId="37" fillId="0" borderId="2" xfId="8" applyNumberFormat="1" applyFont="1" applyFill="1" applyBorder="1" applyAlignment="1">
      <alignment horizontal="right" vertical="center" wrapText="1"/>
    </xf>
    <xf numFmtId="0" fontId="14" fillId="0" borderId="2" xfId="8" applyFont="1" applyFill="1" applyBorder="1" applyAlignment="1">
      <alignment horizontal="center" vertical="center" wrapText="1"/>
    </xf>
    <xf numFmtId="49" fontId="13" fillId="0" borderId="2" xfId="1" applyNumberFormat="1" applyFill="1" applyBorder="1" applyAlignment="1">
      <alignment horizontal="right" vertical="center" wrapText="1" readingOrder="2"/>
    </xf>
    <xf numFmtId="0" fontId="14" fillId="0" borderId="7" xfId="1" applyNumberFormat="1" applyFont="1" applyFill="1" applyBorder="1" applyAlignment="1">
      <alignment horizontal="center" vertical="center" wrapText="1" readingOrder="2"/>
    </xf>
    <xf numFmtId="0" fontId="14" fillId="0" borderId="2" xfId="1" applyNumberFormat="1" applyFont="1" applyFill="1" applyBorder="1" applyAlignment="1">
      <alignment horizontal="center" vertical="center" wrapText="1" readingOrder="2"/>
    </xf>
    <xf numFmtId="0" fontId="14" fillId="0" borderId="2" xfId="8" applyFont="1" applyFill="1" applyBorder="1" applyAlignment="1">
      <alignment horizontal="center" vertical="center" wrapText="1" readingOrder="2"/>
    </xf>
    <xf numFmtId="3" fontId="11" fillId="4" borderId="2" xfId="0" applyNumberFormat="1" applyFont="1" applyFill="1" applyBorder="1" applyAlignment="1">
      <alignment horizontal="center" vertical="center" wrapText="1"/>
    </xf>
    <xf numFmtId="166" fontId="13" fillId="0" borderId="0" xfId="8" applyNumberFormat="1" applyBorder="1" applyAlignment="1"/>
    <xf numFmtId="166" fontId="13" fillId="0" borderId="0" xfId="8" applyNumberFormat="1" applyAlignment="1"/>
    <xf numFmtId="166" fontId="13" fillId="0" borderId="0" xfId="8" applyNumberFormat="1" applyFont="1" applyAlignment="1"/>
    <xf numFmtId="164" fontId="13" fillId="0" borderId="0" xfId="8" applyNumberFormat="1" applyFont="1" applyAlignment="1"/>
    <xf numFmtId="166" fontId="13" fillId="0" borderId="2" xfId="8" applyNumberFormat="1" applyFont="1" applyFill="1" applyBorder="1" applyAlignment="1">
      <alignment horizontal="right" vertical="center" wrapText="1"/>
    </xf>
    <xf numFmtId="3" fontId="13" fillId="0" borderId="4" xfId="8" applyNumberFormat="1" applyFont="1" applyFill="1" applyBorder="1" applyAlignment="1">
      <alignment horizontal="center" vertical="center"/>
    </xf>
    <xf numFmtId="3" fontId="26" fillId="0" borderId="2" xfId="8" applyNumberFormat="1" applyFont="1" applyFill="1" applyBorder="1" applyAlignment="1">
      <alignment horizontal="right" vertical="center" wrapText="1"/>
    </xf>
    <xf numFmtId="0" fontId="13" fillId="0" borderId="0" xfId="8" applyFill="1" applyBorder="1" applyAlignment="1"/>
    <xf numFmtId="166" fontId="14" fillId="0" borderId="2" xfId="8" applyNumberFormat="1" applyFont="1" applyFill="1" applyBorder="1" applyAlignment="1">
      <alignment horizontal="right" vertical="center" wrapText="1"/>
    </xf>
    <xf numFmtId="165" fontId="40" fillId="0" borderId="2" xfId="8" applyNumberFormat="1" applyFont="1" applyFill="1" applyBorder="1" applyAlignment="1">
      <alignment horizontal="center" vertical="center" wrapText="1"/>
    </xf>
    <xf numFmtId="167" fontId="20" fillId="0" borderId="2" xfId="72" applyNumberFormat="1" applyFont="1" applyFill="1" applyBorder="1" applyAlignment="1">
      <alignment horizontal="center" vertical="center" wrapText="1"/>
    </xf>
    <xf numFmtId="0" fontId="13" fillId="0" borderId="4" xfId="8" applyFont="1" applyFill="1" applyBorder="1" applyAlignment="1">
      <alignment horizontal="right" vertical="center" wrapText="1"/>
    </xf>
    <xf numFmtId="0" fontId="20" fillId="0" borderId="4" xfId="8" applyFont="1" applyFill="1" applyBorder="1" applyAlignment="1">
      <alignment horizontal="center" vertical="center" wrapText="1"/>
    </xf>
    <xf numFmtId="165" fontId="13" fillId="0" borderId="2" xfId="73" applyNumberFormat="1" applyFont="1" applyFill="1" applyBorder="1" applyAlignment="1">
      <alignment horizontal="right" vertical="center" wrapText="1"/>
    </xf>
    <xf numFmtId="164" fontId="13" fillId="0" borderId="2" xfId="73" applyNumberFormat="1" applyFont="1" applyFill="1" applyBorder="1" applyAlignment="1">
      <alignment horizontal="right" vertical="center" wrapText="1"/>
    </xf>
    <xf numFmtId="49" fontId="13" fillId="0" borderId="2" xfId="15" applyNumberFormat="1" applyFont="1" applyFill="1" applyBorder="1" applyAlignment="1">
      <alignment horizontal="right" vertical="center" wrapText="1"/>
    </xf>
    <xf numFmtId="0" fontId="41" fillId="0" borderId="2" xfId="8" applyFont="1" applyFill="1" applyBorder="1" applyAlignment="1">
      <alignment horizontal="center" vertical="center"/>
    </xf>
    <xf numFmtId="166" fontId="13" fillId="0" borderId="4" xfId="8" applyNumberFormat="1" applyFont="1" applyFill="1" applyBorder="1" applyAlignment="1">
      <alignment horizontal="right" vertical="center" wrapText="1"/>
    </xf>
    <xf numFmtId="165" fontId="20" fillId="0" borderId="4" xfId="8" applyNumberFormat="1" applyFont="1" applyFill="1" applyBorder="1" applyAlignment="1">
      <alignment horizontal="center" vertical="center" wrapText="1"/>
    </xf>
    <xf numFmtId="165" fontId="40" fillId="0" borderId="4" xfId="8" applyNumberFormat="1" applyFont="1" applyFill="1" applyBorder="1" applyAlignment="1">
      <alignment horizontal="center" vertical="center" wrapText="1"/>
    </xf>
    <xf numFmtId="0" fontId="20" fillId="0" borderId="4" xfId="8" applyFont="1" applyFill="1" applyBorder="1" applyAlignment="1">
      <alignment horizontal="right" vertical="center" wrapText="1"/>
    </xf>
    <xf numFmtId="0" fontId="14" fillId="0" borderId="4" xfId="8" applyFont="1" applyFill="1" applyBorder="1" applyAlignment="1">
      <alignment horizontal="right" vertical="center" wrapText="1"/>
    </xf>
    <xf numFmtId="0" fontId="20" fillId="0" borderId="4" xfId="8" applyFont="1" applyFill="1" applyBorder="1" applyAlignment="1">
      <alignment horizontal="right" vertical="center" wrapText="1" readingOrder="2"/>
    </xf>
    <xf numFmtId="166" fontId="25" fillId="0" borderId="2" xfId="8" applyNumberFormat="1" applyFont="1" applyFill="1" applyBorder="1" applyAlignment="1">
      <alignment horizontal="right" vertical="center" wrapText="1"/>
    </xf>
    <xf numFmtId="166" fontId="26" fillId="0" borderId="2" xfId="8" applyNumberFormat="1" applyFont="1" applyFill="1" applyBorder="1" applyAlignment="1">
      <alignment horizontal="right" vertical="center" wrapText="1"/>
    </xf>
    <xf numFmtId="49" fontId="20" fillId="0" borderId="2" xfId="8" applyNumberFormat="1" applyFont="1" applyFill="1" applyBorder="1" applyAlignment="1">
      <alignment horizontal="right" vertical="center" wrapText="1" readingOrder="2"/>
    </xf>
    <xf numFmtId="166" fontId="25" fillId="0" borderId="4" xfId="8" applyNumberFormat="1" applyFont="1" applyFill="1" applyBorder="1" applyAlignment="1">
      <alignment horizontal="right" vertical="center" wrapText="1"/>
    </xf>
    <xf numFmtId="0" fontId="41" fillId="0" borderId="4" xfId="8" applyFont="1" applyFill="1" applyBorder="1" applyAlignment="1">
      <alignment horizontal="center" vertical="center"/>
    </xf>
    <xf numFmtId="0" fontId="13" fillId="8" borderId="2" xfId="8" applyFont="1" applyFill="1" applyBorder="1" applyAlignment="1">
      <alignment horizontal="center" vertical="center" wrapText="1" readingOrder="2"/>
    </xf>
    <xf numFmtId="166" fontId="13" fillId="0" borderId="8" xfId="8" applyNumberFormat="1" applyFont="1" applyFill="1" applyBorder="1" applyAlignment="1">
      <alignment horizontal="right"/>
    </xf>
    <xf numFmtId="0" fontId="13" fillId="0" borderId="9" xfId="8" applyFont="1" applyFill="1" applyBorder="1" applyAlignment="1">
      <alignment horizontal="center"/>
    </xf>
    <xf numFmtId="0" fontId="24" fillId="0" borderId="3" xfId="8" applyFont="1" applyFill="1" applyBorder="1" applyAlignment="1">
      <alignment horizontal="right" vertical="center" readingOrder="2"/>
    </xf>
    <xf numFmtId="3" fontId="20" fillId="5" borderId="2" xfId="8" applyNumberFormat="1" applyFont="1" applyFill="1" applyBorder="1" applyAlignment="1">
      <alignment horizontal="center" vertical="center" wrapText="1"/>
    </xf>
    <xf numFmtId="3" fontId="13" fillId="5" borderId="2" xfId="8" applyNumberFormat="1" applyFont="1" applyFill="1" applyBorder="1" applyAlignment="1">
      <alignment horizontal="center" vertical="center" wrapText="1" readingOrder="2"/>
    </xf>
    <xf numFmtId="0" fontId="13" fillId="5" borderId="2" xfId="8" applyFont="1" applyFill="1" applyBorder="1" applyAlignment="1">
      <alignment horizontal="center" vertical="center" wrapText="1" readingOrder="2"/>
    </xf>
    <xf numFmtId="3" fontId="13" fillId="9" borderId="2" xfId="8" applyNumberFormat="1" applyFont="1" applyFill="1" applyBorder="1" applyAlignment="1">
      <alignment horizontal="center" vertical="center" wrapText="1" readingOrder="2"/>
    </xf>
    <xf numFmtId="3" fontId="13" fillId="0" borderId="2" xfId="8" applyNumberFormat="1" applyFont="1" applyFill="1" applyBorder="1" applyAlignment="1">
      <alignment horizontal="center" vertical="center" wrapText="1" readingOrder="2"/>
    </xf>
    <xf numFmtId="165" fontId="43" fillId="0" borderId="2" xfId="8" applyNumberFormat="1" applyFont="1" applyFill="1" applyBorder="1" applyAlignment="1">
      <alignment horizontal="center" vertical="center" wrapText="1"/>
    </xf>
    <xf numFmtId="0" fontId="13" fillId="0" borderId="9" xfId="8" applyFill="1" applyBorder="1" applyAlignment="1"/>
    <xf numFmtId="0" fontId="13" fillId="0" borderId="9" xfId="8" applyFont="1" applyFill="1" applyBorder="1" applyAlignment="1">
      <alignment horizontal="right"/>
    </xf>
    <xf numFmtId="0" fontId="13" fillId="0" borderId="0" xfId="4" applyAlignment="1"/>
    <xf numFmtId="1" fontId="20" fillId="0" borderId="2" xfId="4" applyNumberFormat="1" applyFont="1" applyBorder="1" applyAlignment="1"/>
    <xf numFmtId="0" fontId="20" fillId="0" borderId="2" xfId="4" applyFont="1" applyBorder="1" applyAlignment="1"/>
    <xf numFmtId="0" fontId="39" fillId="29" borderId="2" xfId="4" applyFont="1" applyFill="1" applyBorder="1" applyAlignment="1">
      <alignment horizontal="center" wrapText="1"/>
    </xf>
    <xf numFmtId="0" fontId="20" fillId="0" borderId="0" xfId="4" applyFont="1" applyAlignment="1"/>
    <xf numFmtId="0" fontId="11" fillId="4" borderId="7" xfId="4" applyFont="1" applyFill="1" applyBorder="1" applyAlignment="1">
      <alignment horizontal="center" vertical="center" wrapText="1"/>
    </xf>
    <xf numFmtId="3" fontId="10" fillId="4" borderId="10" xfId="4" applyNumberFormat="1" applyFont="1" applyFill="1" applyBorder="1" applyAlignment="1">
      <alignment horizontal="center" vertical="center" wrapText="1"/>
    </xf>
    <xf numFmtId="3" fontId="10" fillId="29" borderId="10" xfId="4" applyNumberFormat="1" applyFont="1" applyFill="1" applyBorder="1" applyAlignment="1">
      <alignment horizontal="center" vertical="center" wrapText="1"/>
    </xf>
    <xf numFmtId="3" fontId="11" fillId="4" borderId="2" xfId="4" applyNumberFormat="1" applyFont="1" applyFill="1" applyBorder="1" applyAlignment="1">
      <alignment horizontal="center" vertical="center" wrapText="1"/>
    </xf>
    <xf numFmtId="0" fontId="13" fillId="0" borderId="0" xfId="4"/>
    <xf numFmtId="3" fontId="12" fillId="0" borderId="2" xfId="4" applyNumberFormat="1" applyFont="1" applyBorder="1" applyAlignment="1">
      <alignment horizontal="center" wrapText="1"/>
    </xf>
    <xf numFmtId="0" fontId="12" fillId="5" borderId="2" xfId="4" applyFont="1" applyFill="1" applyBorder="1" applyAlignment="1">
      <alignment horizontal="center" vertical="center" wrapText="1" readingOrder="2"/>
    </xf>
    <xf numFmtId="0" fontId="12" fillId="5" borderId="2" xfId="4" applyFont="1" applyFill="1" applyBorder="1" applyAlignment="1">
      <alignment horizontal="right" vertical="center" wrapText="1" readingOrder="2"/>
    </xf>
    <xf numFmtId="3" fontId="18" fillId="5" borderId="2" xfId="4" applyNumberFormat="1" applyFont="1" applyFill="1" applyBorder="1" applyAlignment="1">
      <alignment horizontal="center"/>
    </xf>
    <xf numFmtId="3" fontId="18" fillId="29" borderId="2" xfId="4" applyNumberFormat="1" applyFont="1" applyFill="1" applyBorder="1" applyAlignment="1">
      <alignment horizontal="center"/>
    </xf>
    <xf numFmtId="3" fontId="12" fillId="0" borderId="8" xfId="4" applyNumberFormat="1" applyFont="1" applyBorder="1" applyAlignment="1">
      <alignment horizontal="center" wrapText="1"/>
    </xf>
    <xf numFmtId="3" fontId="12" fillId="6" borderId="2" xfId="4" applyNumberFormat="1" applyFont="1" applyFill="1" applyBorder="1" applyAlignment="1">
      <alignment horizontal="center" wrapText="1"/>
    </xf>
    <xf numFmtId="0" fontId="14" fillId="0" borderId="2" xfId="8" applyFont="1" applyFill="1" applyBorder="1" applyAlignment="1">
      <alignment horizontal="center" vertical="center"/>
    </xf>
    <xf numFmtId="3" fontId="13" fillId="29" borderId="2" xfId="69" applyNumberFormat="1" applyFill="1" applyBorder="1" applyAlignment="1">
      <alignment horizontal="center" vertical="center" wrapText="1"/>
    </xf>
    <xf numFmtId="3" fontId="28" fillId="0" borderId="2" xfId="79" applyNumberFormat="1" applyFont="1" applyBorder="1" applyAlignment="1">
      <alignment horizontal="center" vertical="center"/>
    </xf>
    <xf numFmtId="3" fontId="12" fillId="6" borderId="8" xfId="4" applyNumberFormat="1" applyFont="1" applyFill="1" applyBorder="1" applyAlignment="1">
      <alignment horizontal="center" wrapText="1"/>
    </xf>
    <xf numFmtId="3" fontId="12" fillId="0" borderId="11" xfId="4" applyNumberFormat="1" applyFont="1" applyBorder="1" applyAlignment="1">
      <alignment horizontal="center" wrapText="1"/>
    </xf>
    <xf numFmtId="3" fontId="12" fillId="0" borderId="0" xfId="4" applyNumberFormat="1" applyFont="1" applyBorder="1" applyAlignment="1">
      <alignment horizontal="center" wrapText="1"/>
    </xf>
    <xf numFmtId="3" fontId="13" fillId="0" borderId="0" xfId="4" applyNumberFormat="1" applyAlignment="1"/>
    <xf numFmtId="3" fontId="20" fillId="0" borderId="2" xfId="4" applyNumberFormat="1" applyFont="1" applyBorder="1" applyAlignment="1"/>
    <xf numFmtId="3" fontId="20" fillId="0" borderId="0" xfId="4" applyNumberFormat="1" applyFont="1" applyAlignment="1"/>
    <xf numFmtId="0" fontId="13" fillId="0" borderId="9" xfId="8" applyFont="1" applyBorder="1" applyAlignment="1">
      <alignment horizontal="right"/>
    </xf>
    <xf numFmtId="0" fontId="13" fillId="0" borderId="8" xfId="8" applyFont="1" applyFill="1" applyBorder="1" applyAlignment="1"/>
    <xf numFmtId="0" fontId="20" fillId="0" borderId="2" xfId="8" applyFont="1" applyFill="1" applyBorder="1" applyAlignment="1">
      <alignment horizontal="center" vertical="center"/>
    </xf>
    <xf numFmtId="0" fontId="20" fillId="0" borderId="0" xfId="8" applyFont="1" applyFill="1" applyBorder="1" applyAlignment="1">
      <alignment horizontal="center" vertical="center"/>
    </xf>
    <xf numFmtId="165" fontId="20" fillId="0" borderId="7" xfId="8" applyNumberFormat="1" applyFont="1" applyFill="1" applyBorder="1" applyAlignment="1">
      <alignment horizontal="center" vertical="center" wrapText="1"/>
    </xf>
    <xf numFmtId="3" fontId="13" fillId="0" borderId="12" xfId="8" applyNumberFormat="1" applyFont="1" applyFill="1" applyBorder="1" applyAlignment="1">
      <alignment horizontal="center" vertical="center"/>
    </xf>
    <xf numFmtId="3" fontId="13" fillId="0" borderId="5" xfId="8" applyNumberFormat="1" applyFont="1" applyFill="1" applyBorder="1" applyAlignment="1">
      <alignment horizontal="center" vertical="center"/>
    </xf>
    <xf numFmtId="3" fontId="13" fillId="0" borderId="0" xfId="8" applyNumberFormat="1" applyFont="1" applyFill="1" applyBorder="1" applyAlignment="1">
      <alignment horizontal="center" vertical="center"/>
    </xf>
    <xf numFmtId="0" fontId="20" fillId="0" borderId="4" xfId="8" applyFont="1" applyFill="1" applyBorder="1" applyAlignment="1">
      <alignment horizontal="center" vertical="center"/>
    </xf>
    <xf numFmtId="165" fontId="21" fillId="0" borderId="4" xfId="8" applyNumberFormat="1" applyFont="1" applyFill="1" applyBorder="1" applyAlignment="1">
      <alignment horizontal="center" vertical="center" wrapText="1"/>
    </xf>
    <xf numFmtId="0" fontId="20" fillId="0" borderId="7" xfId="8" applyFont="1" applyFill="1" applyBorder="1" applyAlignment="1">
      <alignment horizontal="right" vertical="center" wrapText="1" readingOrder="2"/>
    </xf>
    <xf numFmtId="0" fontId="20" fillId="0" borderId="7" xfId="8" applyFont="1" applyFill="1" applyBorder="1" applyAlignment="1">
      <alignment horizontal="right" vertical="center" wrapText="1"/>
    </xf>
    <xf numFmtId="0" fontId="20" fillId="0" borderId="13" xfId="8" applyFont="1" applyFill="1" applyBorder="1" applyAlignment="1">
      <alignment horizontal="center" vertical="center" wrapText="1"/>
    </xf>
    <xf numFmtId="165" fontId="20" fillId="0" borderId="13" xfId="8" applyNumberFormat="1" applyFont="1" applyFill="1" applyBorder="1" applyAlignment="1">
      <alignment horizontal="center" vertical="center" wrapText="1"/>
    </xf>
    <xf numFmtId="3" fontId="13" fillId="0" borderId="7" xfId="8" applyNumberFormat="1" applyFont="1" applyFill="1" applyBorder="1" applyAlignment="1">
      <alignment horizontal="center" vertical="center"/>
    </xf>
    <xf numFmtId="0" fontId="12" fillId="0" borderId="2" xfId="4" applyFont="1" applyBorder="1" applyAlignment="1">
      <alignment horizontal="center" wrapText="1"/>
    </xf>
    <xf numFmtId="165" fontId="12" fillId="0" borderId="2" xfId="4" applyNumberFormat="1" applyFont="1" applyBorder="1" applyAlignment="1">
      <alignment horizontal="center" wrapText="1"/>
    </xf>
    <xf numFmtId="0" fontId="12" fillId="2" borderId="2" xfId="4" applyFont="1" applyFill="1" applyBorder="1" applyAlignment="1">
      <alignment horizontal="center" wrapText="1"/>
    </xf>
    <xf numFmtId="3" fontId="45" fillId="0" borderId="1" xfId="4" applyNumberFormat="1" applyFont="1" applyBorder="1" applyAlignment="1">
      <alignment horizontal="center" wrapText="1"/>
    </xf>
    <xf numFmtId="0" fontId="46" fillId="0" borderId="1" xfId="4" applyFont="1" applyBorder="1" applyAlignment="1">
      <alignment wrapText="1"/>
    </xf>
    <xf numFmtId="3" fontId="11" fillId="4" borderId="4" xfId="4" applyNumberFormat="1" applyFont="1" applyFill="1" applyBorder="1" applyAlignment="1">
      <alignment horizontal="center" vertical="center" wrapText="1"/>
    </xf>
    <xf numFmtId="0" fontId="13" fillId="2" borderId="0" xfId="4" applyFill="1"/>
    <xf numFmtId="0" fontId="10" fillId="5" borderId="2" xfId="4" applyFont="1" applyFill="1" applyBorder="1" applyAlignment="1">
      <alignment horizontal="center" vertical="center" wrapText="1"/>
    </xf>
    <xf numFmtId="0" fontId="11" fillId="5" borderId="2" xfId="4" applyFont="1" applyFill="1" applyBorder="1" applyAlignment="1">
      <alignment horizontal="right" vertical="center" wrapText="1"/>
    </xf>
    <xf numFmtId="3" fontId="11" fillId="5" borderId="2" xfId="4" applyNumberFormat="1" applyFont="1" applyFill="1" applyBorder="1" applyAlignment="1">
      <alignment horizontal="center" vertical="center" wrapText="1"/>
    </xf>
    <xf numFmtId="3" fontId="47" fillId="5" borderId="2" xfId="4" applyNumberFormat="1" applyFont="1" applyFill="1" applyBorder="1" applyAlignment="1">
      <alignment horizontal="center" vertical="center" wrapText="1"/>
    </xf>
    <xf numFmtId="3" fontId="11" fillId="28" borderId="2" xfId="4" applyNumberFormat="1" applyFont="1" applyFill="1" applyBorder="1" applyAlignment="1">
      <alignment horizontal="center" vertical="center" wrapText="1"/>
    </xf>
    <xf numFmtId="0" fontId="13" fillId="5" borderId="0" xfId="4" applyFill="1"/>
    <xf numFmtId="0" fontId="12" fillId="0" borderId="2" xfId="4" applyFont="1" applyBorder="1" applyAlignment="1">
      <alignment horizontal="center" vertical="center" wrapText="1"/>
    </xf>
    <xf numFmtId="0" fontId="49" fillId="6" borderId="2" xfId="4" applyFont="1" applyFill="1" applyBorder="1" applyAlignment="1">
      <alignment horizontal="right" wrapText="1"/>
    </xf>
    <xf numFmtId="0" fontId="50" fillId="2" borderId="0" xfId="4" applyFont="1" applyFill="1" applyBorder="1" applyAlignment="1">
      <alignment horizontal="center" vertical="center" wrapText="1"/>
    </xf>
    <xf numFmtId="3" fontId="14" fillId="0" borderId="2" xfId="81" applyNumberFormat="1" applyFont="1" applyFill="1" applyBorder="1" applyAlignment="1">
      <alignment horizontal="center" vertical="center" wrapText="1" readingOrder="2"/>
    </xf>
    <xf numFmtId="0" fontId="50" fillId="0" borderId="0" xfId="4" applyFont="1" applyBorder="1" applyAlignment="1">
      <alignment horizontal="center" vertical="center" wrapText="1"/>
    </xf>
    <xf numFmtId="0" fontId="12" fillId="6" borderId="2" xfId="4" applyFont="1" applyFill="1" applyBorder="1" applyAlignment="1">
      <alignment horizontal="center" vertical="center" wrapText="1"/>
    </xf>
    <xf numFmtId="0" fontId="50" fillId="6" borderId="0" xfId="4" applyFont="1" applyFill="1" applyBorder="1" applyAlignment="1">
      <alignment horizontal="center" vertical="center" wrapText="1"/>
    </xf>
    <xf numFmtId="3" fontId="17" fillId="0" borderId="2" xfId="79" applyNumberFormat="1" applyFont="1" applyBorder="1" applyAlignment="1">
      <alignment horizontal="center" vertical="center"/>
    </xf>
    <xf numFmtId="3" fontId="13" fillId="0" borderId="2" xfId="4" applyNumberFormat="1" applyFont="1" applyBorder="1" applyAlignment="1">
      <alignment horizontal="center" wrapText="1"/>
    </xf>
    <xf numFmtId="0" fontId="50" fillId="2" borderId="3" xfId="4" applyFont="1" applyFill="1" applyBorder="1" applyAlignment="1">
      <alignment horizontal="center" wrapText="1"/>
    </xf>
    <xf numFmtId="0" fontId="50" fillId="0" borderId="2" xfId="4" applyFont="1" applyBorder="1" applyAlignment="1">
      <alignment horizontal="center" wrapText="1"/>
    </xf>
    <xf numFmtId="0" fontId="50" fillId="2" borderId="3" xfId="4" applyFont="1" applyFill="1" applyBorder="1" applyAlignment="1">
      <alignment horizontal="center" vertical="center" wrapText="1"/>
    </xf>
    <xf numFmtId="0" fontId="50" fillId="0" borderId="2" xfId="4" applyFont="1" applyBorder="1" applyAlignment="1">
      <alignment horizontal="center" vertical="center" wrapText="1"/>
    </xf>
    <xf numFmtId="0" fontId="50" fillId="2" borderId="2" xfId="4" applyFont="1" applyFill="1" applyBorder="1" applyAlignment="1">
      <alignment horizontal="center" vertical="center" wrapText="1"/>
    </xf>
    <xf numFmtId="0" fontId="50" fillId="6" borderId="2" xfId="4" applyFont="1" applyFill="1" applyBorder="1" applyAlignment="1">
      <alignment horizontal="center" vertical="center" wrapText="1"/>
    </xf>
    <xf numFmtId="0" fontId="20" fillId="0" borderId="2" xfId="4" applyFont="1" applyFill="1" applyBorder="1" applyAlignment="1">
      <alignment horizontal="right" vertical="center" wrapText="1"/>
    </xf>
    <xf numFmtId="49" fontId="12" fillId="0" borderId="7" xfId="4" applyNumberFormat="1" applyFont="1" applyBorder="1" applyAlignment="1">
      <alignment horizontal="center" wrapText="1"/>
    </xf>
    <xf numFmtId="0" fontId="20" fillId="0" borderId="2" xfId="4" applyFont="1" applyBorder="1" applyAlignment="1">
      <alignment horizontal="right" wrapText="1" readingOrder="2"/>
    </xf>
    <xf numFmtId="0" fontId="50" fillId="2" borderId="0" xfId="4" applyFont="1" applyFill="1" applyBorder="1" applyAlignment="1">
      <alignment horizontal="center" wrapText="1"/>
    </xf>
    <xf numFmtId="0" fontId="50" fillId="0" borderId="0" xfId="4" applyFont="1" applyBorder="1" applyAlignment="1">
      <alignment horizontal="center" wrapText="1"/>
    </xf>
    <xf numFmtId="0" fontId="50" fillId="5" borderId="0" xfId="4" applyFont="1" applyFill="1" applyBorder="1" applyAlignment="1">
      <alignment horizontal="center" vertical="center" wrapText="1"/>
    </xf>
    <xf numFmtId="0" fontId="51" fillId="5" borderId="3" xfId="4" applyFont="1" applyFill="1" applyBorder="1" applyAlignment="1">
      <alignment horizontal="center" vertical="center" wrapText="1"/>
    </xf>
    <xf numFmtId="3" fontId="52" fillId="0" borderId="2" xfId="4" applyNumberFormat="1" applyFont="1" applyBorder="1" applyAlignment="1">
      <alignment horizontal="center" wrapText="1"/>
    </xf>
    <xf numFmtId="0" fontId="12" fillId="6" borderId="2" xfId="4" applyFont="1" applyFill="1" applyBorder="1" applyAlignment="1">
      <alignment horizontal="center" wrapText="1"/>
    </xf>
    <xf numFmtId="0" fontId="50" fillId="2" borderId="2" xfId="4" applyFont="1" applyFill="1" applyBorder="1" applyAlignment="1">
      <alignment horizontal="center" wrapText="1"/>
    </xf>
    <xf numFmtId="3" fontId="30" fillId="7" borderId="2" xfId="1" applyNumberFormat="1" applyFont="1" applyFill="1" applyBorder="1"/>
    <xf numFmtId="3" fontId="13" fillId="6" borderId="2" xfId="4" applyNumberFormat="1" applyFont="1" applyFill="1" applyBorder="1" applyAlignment="1">
      <alignment horizontal="center" wrapText="1"/>
    </xf>
    <xf numFmtId="0" fontId="14" fillId="0" borderId="2" xfId="4" applyFont="1" applyFill="1" applyBorder="1" applyAlignment="1">
      <alignment horizontal="center" vertical="center"/>
    </xf>
    <xf numFmtId="3" fontId="12" fillId="0" borderId="2" xfId="4" applyNumberFormat="1" applyFont="1" applyBorder="1" applyAlignment="1">
      <alignment horizontal="center"/>
    </xf>
    <xf numFmtId="1" fontId="14" fillId="0" borderId="2" xfId="1" applyNumberFormat="1" applyFont="1" applyFill="1" applyBorder="1" applyAlignment="1">
      <alignment horizontal="center" vertical="center" wrapText="1" readingOrder="2"/>
    </xf>
    <xf numFmtId="3" fontId="48" fillId="5" borderId="3" xfId="4" applyNumberFormat="1" applyFont="1" applyFill="1" applyBorder="1" applyAlignment="1">
      <alignment horizontal="center" vertical="center" wrapText="1"/>
    </xf>
    <xf numFmtId="3" fontId="10" fillId="5" borderId="2" xfId="4" applyNumberFormat="1" applyFont="1" applyFill="1" applyBorder="1" applyAlignment="1">
      <alignment horizontal="center" vertical="center" wrapText="1"/>
    </xf>
    <xf numFmtId="0" fontId="12" fillId="0" borderId="0" xfId="4" applyFont="1" applyBorder="1" applyAlignment="1">
      <alignment horizontal="center" wrapText="1"/>
    </xf>
    <xf numFmtId="0" fontId="53" fillId="6" borderId="2" xfId="4" applyFont="1" applyFill="1" applyBorder="1" applyAlignment="1">
      <alignment horizontal="right" wrapText="1"/>
    </xf>
    <xf numFmtId="0" fontId="12" fillId="0" borderId="2" xfId="4" applyFont="1" applyBorder="1" applyAlignment="1">
      <alignment horizontal="right" wrapText="1"/>
    </xf>
    <xf numFmtId="0" fontId="14" fillId="0" borderId="9" xfId="8" applyFont="1" applyFill="1" applyBorder="1" applyAlignment="1">
      <alignment horizontal="right"/>
    </xf>
    <xf numFmtId="0" fontId="13" fillId="0" borderId="8" xfId="8" applyFont="1" applyFill="1" applyBorder="1" applyAlignment="1">
      <alignment horizontal="right"/>
    </xf>
    <xf numFmtId="166" fontId="14" fillId="8" borderId="2" xfId="8" applyNumberFormat="1" applyFont="1" applyFill="1" applyBorder="1" applyAlignment="1">
      <alignment horizontal="right" vertical="center" wrapText="1" readingOrder="2"/>
    </xf>
    <xf numFmtId="1" fontId="40" fillId="0" borderId="2" xfId="8" applyNumberFormat="1" applyFont="1" applyFill="1" applyBorder="1" applyAlignment="1">
      <alignment horizontal="center" vertical="center" wrapText="1" readingOrder="2"/>
    </xf>
    <xf numFmtId="3" fontId="54" fillId="0" borderId="2" xfId="8" applyNumberFormat="1" applyFont="1" applyFill="1" applyBorder="1" applyAlignment="1">
      <alignment horizontal="right" vertical="center" wrapText="1"/>
    </xf>
    <xf numFmtId="3" fontId="13" fillId="0" borderId="2" xfId="8" applyNumberFormat="1" applyFont="1" applyFill="1" applyBorder="1" applyAlignment="1">
      <alignment horizontal="right" vertical="center" wrapText="1" readingOrder="2"/>
    </xf>
    <xf numFmtId="1" fontId="13" fillId="0" borderId="2" xfId="8" applyNumberFormat="1" applyFont="1" applyFill="1" applyBorder="1" applyAlignment="1">
      <alignment horizontal="center" vertical="center" wrapText="1" readingOrder="2"/>
    </xf>
    <xf numFmtId="1" fontId="13" fillId="0" borderId="4" xfId="8" applyNumberFormat="1" applyFont="1" applyFill="1" applyBorder="1" applyAlignment="1">
      <alignment horizontal="center" vertical="center" wrapText="1" readingOrder="2"/>
    </xf>
    <xf numFmtId="0" fontId="28" fillId="0" borderId="2" xfId="8" applyFont="1" applyFill="1" applyBorder="1" applyAlignment="1">
      <alignment horizontal="center" vertical="center"/>
    </xf>
    <xf numFmtId="0" fontId="13" fillId="0" borderId="2" xfId="8" applyFont="1" applyFill="1" applyBorder="1" applyAlignment="1">
      <alignment horizontal="right" wrapText="1" readingOrder="2"/>
    </xf>
    <xf numFmtId="164" fontId="14" fillId="0" borderId="2" xfId="15" applyNumberFormat="1" applyFont="1" applyFill="1" applyBorder="1" applyAlignment="1">
      <alignment horizontal="right" vertical="center" wrapText="1"/>
    </xf>
    <xf numFmtId="49" fontId="20" fillId="0" borderId="2" xfId="15" applyNumberFormat="1" applyFont="1" applyFill="1" applyBorder="1" applyAlignment="1">
      <alignment horizontal="right" vertical="center" wrapText="1"/>
    </xf>
    <xf numFmtId="0" fontId="55" fillId="0" borderId="2" xfId="8" applyFont="1" applyFill="1" applyBorder="1" applyAlignment="1">
      <alignment horizontal="right" vertical="center" wrapText="1" readingOrder="2"/>
    </xf>
    <xf numFmtId="3" fontId="13" fillId="0" borderId="0" xfId="8" applyNumberFormat="1" applyFill="1"/>
    <xf numFmtId="0" fontId="20" fillId="0" borderId="15" xfId="8" applyFont="1" applyFill="1" applyBorder="1" applyAlignment="1">
      <alignment horizontal="right" vertical="center" wrapText="1" readingOrder="2"/>
    </xf>
    <xf numFmtId="0" fontId="20" fillId="0" borderId="15" xfId="8" applyFont="1" applyFill="1" applyBorder="1" applyAlignment="1">
      <alignment horizontal="center" vertical="center" wrapText="1"/>
    </xf>
    <xf numFmtId="165" fontId="20" fillId="0" borderId="15" xfId="8" applyNumberFormat="1" applyFont="1" applyFill="1" applyBorder="1" applyAlignment="1">
      <alignment horizontal="center" vertical="center" wrapText="1"/>
    </xf>
    <xf numFmtId="3" fontId="13" fillId="0" borderId="15" xfId="8" applyNumberFormat="1" applyFont="1" applyFill="1" applyBorder="1" applyAlignment="1">
      <alignment horizontal="center" vertical="center"/>
    </xf>
    <xf numFmtId="3" fontId="13" fillId="0" borderId="4" xfId="78" applyNumberFormat="1" applyFill="1" applyBorder="1" applyAlignment="1">
      <alignment horizontal="center" vertical="center" wrapText="1"/>
    </xf>
    <xf numFmtId="165" fontId="14" fillId="0" borderId="2" xfId="73" applyNumberFormat="1" applyFont="1" applyFill="1" applyBorder="1" applyAlignment="1">
      <alignment horizontal="right" vertical="center" wrapText="1"/>
    </xf>
    <xf numFmtId="49" fontId="13" fillId="0" borderId="2" xfId="15" applyNumberFormat="1" applyFont="1" applyFill="1" applyBorder="1" applyAlignment="1">
      <alignment horizontal="right" vertical="center" wrapText="1" readingOrder="2"/>
    </xf>
    <xf numFmtId="49" fontId="20" fillId="0" borderId="2" xfId="15" applyNumberFormat="1" applyFont="1" applyFill="1" applyBorder="1" applyAlignment="1">
      <alignment horizontal="center" vertical="center" wrapText="1"/>
    </xf>
    <xf numFmtId="0" fontId="20" fillId="0" borderId="7" xfId="8" applyFont="1" applyFill="1" applyBorder="1" applyAlignment="1">
      <alignment horizontal="center" vertical="center" wrapText="1"/>
    </xf>
    <xf numFmtId="165" fontId="21" fillId="0" borderId="7" xfId="8" applyNumberFormat="1" applyFont="1" applyFill="1" applyBorder="1" applyAlignment="1">
      <alignment horizontal="center" vertical="center" wrapText="1"/>
    </xf>
    <xf numFmtId="3" fontId="25" fillId="0" borderId="4" xfId="8" applyNumberFormat="1" applyFont="1" applyFill="1" applyBorder="1" applyAlignment="1">
      <alignment horizontal="right" vertical="center" wrapText="1"/>
    </xf>
    <xf numFmtId="1" fontId="43" fillId="0" borderId="2" xfId="74" applyNumberFormat="1" applyFont="1" applyFill="1" applyBorder="1" applyAlignment="1">
      <alignment horizontal="center" vertical="center" wrapText="1"/>
    </xf>
    <xf numFmtId="3" fontId="20" fillId="0" borderId="7" xfId="8" applyNumberFormat="1" applyFont="1" applyFill="1" applyBorder="1" applyAlignment="1">
      <alignment horizontal="center" vertical="center" wrapText="1"/>
    </xf>
    <xf numFmtId="3" fontId="13" fillId="0" borderId="10" xfId="8" applyNumberFormat="1" applyFont="1" applyFill="1" applyBorder="1" applyAlignment="1">
      <alignment horizontal="center" vertical="center"/>
    </xf>
    <xf numFmtId="164" fontId="14" fillId="0" borderId="2" xfId="73" applyNumberFormat="1" applyFont="1" applyFill="1" applyBorder="1" applyAlignment="1">
      <alignment horizontal="right" vertical="center" wrapText="1"/>
    </xf>
    <xf numFmtId="3" fontId="20" fillId="0" borderId="2" xfId="8" applyNumberFormat="1" applyFont="1" applyFill="1" applyBorder="1" applyAlignment="1">
      <alignment horizontal="center" vertical="center"/>
    </xf>
    <xf numFmtId="3" fontId="20" fillId="0" borderId="4" xfId="8" applyNumberFormat="1" applyFont="1" applyFill="1" applyBorder="1" applyAlignment="1">
      <alignment horizontal="center" vertical="center"/>
    </xf>
    <xf numFmtId="165" fontId="13" fillId="0" borderId="4" xfId="73" applyNumberFormat="1" applyFont="1" applyFill="1" applyBorder="1" applyAlignment="1">
      <alignment horizontal="right" vertical="center" wrapText="1"/>
    </xf>
    <xf numFmtId="1" fontId="43" fillId="0" borderId="2" xfId="8" applyNumberFormat="1" applyFont="1" applyFill="1" applyBorder="1" applyAlignment="1">
      <alignment horizontal="center" vertical="center" wrapText="1" readingOrder="2"/>
    </xf>
    <xf numFmtId="1" fontId="43" fillId="0" borderId="4" xfId="8" applyNumberFormat="1" applyFont="1" applyFill="1" applyBorder="1" applyAlignment="1">
      <alignment horizontal="center" vertical="center" wrapText="1" readingOrder="2"/>
    </xf>
    <xf numFmtId="168" fontId="13" fillId="0" borderId="2" xfId="8" applyNumberFormat="1" applyFont="1" applyFill="1" applyBorder="1" applyAlignment="1">
      <alignment horizontal="right" vertical="center" wrapText="1" readingOrder="2"/>
    </xf>
    <xf numFmtId="168" fontId="13" fillId="0" borderId="4" xfId="8" applyNumberFormat="1" applyFont="1" applyFill="1" applyBorder="1" applyAlignment="1">
      <alignment horizontal="right" vertical="center" wrapText="1"/>
    </xf>
    <xf numFmtId="0" fontId="13" fillId="0" borderId="4" xfId="8" applyFont="1" applyFill="1" applyBorder="1" applyAlignment="1">
      <alignment horizontal="right" vertical="center" wrapText="1" readingOrder="2"/>
    </xf>
    <xf numFmtId="165" fontId="43" fillId="0" borderId="4" xfId="8" applyNumberFormat="1" applyFont="1" applyFill="1" applyBorder="1" applyAlignment="1">
      <alignment horizontal="center" vertical="center" wrapText="1"/>
    </xf>
    <xf numFmtId="169" fontId="13" fillId="0" borderId="0" xfId="8" applyNumberFormat="1" applyFont="1" applyAlignment="1"/>
    <xf numFmtId="4" fontId="13" fillId="0" borderId="0" xfId="8" applyNumberFormat="1" applyAlignment="1"/>
    <xf numFmtId="0" fontId="13" fillId="0" borderId="9" xfId="8" applyFill="1" applyBorder="1" applyAlignment="1">
      <alignment horizontal="right"/>
    </xf>
    <xf numFmtId="3" fontId="13" fillId="0" borderId="2" xfId="8" applyNumberFormat="1" applyFont="1" applyFill="1" applyBorder="1" applyAlignment="1">
      <alignment horizontal="center" vertical="center" wrapText="1"/>
    </xf>
    <xf numFmtId="3" fontId="13" fillId="9" borderId="2" xfId="8" applyNumberFormat="1" applyFill="1" applyBorder="1" applyAlignment="1">
      <alignment horizontal="center" vertical="center"/>
    </xf>
    <xf numFmtId="166" fontId="14" fillId="8" borderId="2" xfId="8" applyNumberFormat="1" applyFont="1" applyFill="1" applyBorder="1" applyAlignment="1">
      <alignment horizontal="right" vertical="center" wrapText="1"/>
    </xf>
    <xf numFmtId="3" fontId="20" fillId="0" borderId="0" xfId="8" applyNumberFormat="1" applyFont="1" applyFill="1" applyBorder="1" applyAlignment="1">
      <alignment horizontal="center" vertical="center"/>
    </xf>
    <xf numFmtId="0" fontId="13" fillId="0" borderId="0" xfId="8" applyFill="1" applyBorder="1" applyAlignment="1">
      <alignment horizontal="center" vertical="center"/>
    </xf>
    <xf numFmtId="0" fontId="20" fillId="0" borderId="0" xfId="8" applyFont="1" applyFill="1" applyBorder="1" applyAlignment="1">
      <alignment horizontal="right" vertical="center" wrapText="1"/>
    </xf>
    <xf numFmtId="0" fontId="20" fillId="0" borderId="0" xfId="8" applyFont="1" applyFill="1" applyBorder="1" applyAlignment="1">
      <alignment horizontal="center" vertical="center" wrapText="1"/>
    </xf>
    <xf numFmtId="0" fontId="29" fillId="0" borderId="2" xfId="79" applyFont="1" applyFill="1" applyBorder="1" applyAlignment="1">
      <alignment horizontal="right" vertical="center" wrapText="1" readingOrder="2"/>
    </xf>
    <xf numFmtId="0" fontId="29" fillId="0" borderId="2" xfId="79" applyFont="1" applyFill="1" applyBorder="1" applyAlignment="1">
      <alignment horizontal="center" vertical="center" readingOrder="1"/>
    </xf>
    <xf numFmtId="0" fontId="40" fillId="0" borderId="2" xfId="79" applyFont="1" applyFill="1" applyBorder="1" applyAlignment="1">
      <alignment horizontal="center" vertical="center" wrapText="1" readingOrder="1"/>
    </xf>
    <xf numFmtId="0" fontId="29" fillId="0" borderId="2" xfId="79" applyFont="1" applyFill="1" applyBorder="1" applyAlignment="1">
      <alignment horizontal="center" vertical="center" wrapText="1" readingOrder="1"/>
    </xf>
    <xf numFmtId="3" fontId="59" fillId="0" borderId="2" xfId="79" applyNumberFormat="1" applyFont="1" applyFill="1" applyBorder="1" applyAlignment="1">
      <alignment horizontal="center" vertical="center" readingOrder="1"/>
    </xf>
    <xf numFmtId="3" fontId="29" fillId="0" borderId="2" xfId="79" applyNumberFormat="1" applyFont="1" applyFill="1" applyBorder="1" applyAlignment="1">
      <alignment horizontal="center" vertical="center" readingOrder="1"/>
    </xf>
    <xf numFmtId="3" fontId="13" fillId="0" borderId="4" xfId="8" applyNumberFormat="1" applyFont="1" applyFill="1" applyBorder="1" applyAlignment="1">
      <alignment horizontal="center" vertical="center" wrapText="1"/>
    </xf>
    <xf numFmtId="0" fontId="13" fillId="0" borderId="2" xfId="8" applyFill="1" applyBorder="1" applyAlignment="1"/>
    <xf numFmtId="1" fontId="13" fillId="0" borderId="2" xfId="8" applyNumberFormat="1" applyFont="1" applyFill="1" applyBorder="1" applyAlignment="1">
      <alignment horizontal="center" vertical="center"/>
    </xf>
    <xf numFmtId="166" fontId="20" fillId="0" borderId="2" xfId="8" applyNumberFormat="1" applyFont="1" applyFill="1" applyBorder="1" applyAlignment="1">
      <alignment horizontal="right" vertical="center" wrapText="1"/>
    </xf>
    <xf numFmtId="166" fontId="13" fillId="0" borderId="2" xfId="8" applyNumberFormat="1" applyFill="1" applyBorder="1" applyAlignment="1">
      <alignment horizontal="center" vertical="center" wrapText="1"/>
    </xf>
    <xf numFmtId="3" fontId="29" fillId="0" borderId="4" xfId="79" applyNumberFormat="1" applyFont="1" applyFill="1" applyBorder="1" applyAlignment="1">
      <alignment horizontal="center" vertical="center" readingOrder="1"/>
    </xf>
    <xf numFmtId="166" fontId="20" fillId="0" borderId="2" xfId="8" applyNumberFormat="1" applyFont="1" applyFill="1" applyBorder="1" applyAlignment="1">
      <alignment horizontal="right" vertical="center" wrapText="1" readingOrder="2"/>
    </xf>
    <xf numFmtId="49" fontId="20" fillId="0" borderId="2" xfId="8" applyNumberFormat="1" applyFont="1" applyFill="1" applyBorder="1" applyAlignment="1">
      <alignment horizontal="center" vertical="center" wrapText="1"/>
    </xf>
    <xf numFmtId="165" fontId="20" fillId="0" borderId="2" xfId="15" applyNumberFormat="1" applyFont="1" applyFill="1" applyBorder="1" applyAlignment="1">
      <alignment horizontal="center" vertical="center" wrapText="1"/>
    </xf>
    <xf numFmtId="166" fontId="12" fillId="0" borderId="2" xfId="8" applyNumberFormat="1" applyFont="1" applyFill="1" applyBorder="1" applyAlignment="1">
      <alignment horizontal="center" vertical="center" wrapText="1"/>
    </xf>
    <xf numFmtId="3" fontId="13" fillId="0" borderId="16" xfId="8" applyNumberFormat="1" applyFont="1" applyFill="1" applyBorder="1" applyAlignment="1">
      <alignment horizontal="center" vertical="center"/>
    </xf>
    <xf numFmtId="3" fontId="13" fillId="0" borderId="7" xfId="8" applyNumberFormat="1" applyFont="1" applyFill="1" applyBorder="1" applyAlignment="1">
      <alignment horizontal="center" vertical="center" wrapText="1"/>
    </xf>
    <xf numFmtId="3" fontId="13" fillId="0" borderId="11" xfId="8" applyNumberFormat="1" applyFont="1" applyFill="1" applyBorder="1" applyAlignment="1">
      <alignment horizontal="center" vertical="center"/>
    </xf>
    <xf numFmtId="166" fontId="13" fillId="0" borderId="7" xfId="8" applyNumberFormat="1" applyFont="1" applyFill="1" applyBorder="1" applyAlignment="1">
      <alignment horizontal="right" vertical="center" wrapText="1"/>
    </xf>
    <xf numFmtId="3" fontId="20" fillId="0" borderId="17" xfId="8" applyNumberFormat="1" applyFont="1" applyFill="1" applyBorder="1" applyAlignment="1">
      <alignment horizontal="center" vertical="center"/>
    </xf>
    <xf numFmtId="3" fontId="20" fillId="0" borderId="18" xfId="8" applyNumberFormat="1" applyFont="1" applyFill="1" applyBorder="1" applyAlignment="1">
      <alignment horizontal="center" vertical="center"/>
    </xf>
    <xf numFmtId="3" fontId="20" fillId="0" borderId="3" xfId="8" applyNumberFormat="1" applyFont="1" applyFill="1" applyBorder="1" applyAlignment="1">
      <alignment horizontal="center" vertical="center" wrapText="1"/>
    </xf>
    <xf numFmtId="166" fontId="13" fillId="0" borderId="2" xfId="8" applyNumberFormat="1" applyFill="1" applyBorder="1" applyAlignment="1">
      <alignment horizontal="right" vertical="center" wrapText="1"/>
    </xf>
    <xf numFmtId="0" fontId="14" fillId="0" borderId="2" xfId="8" applyFont="1" applyFill="1" applyBorder="1" applyAlignment="1">
      <alignment horizontal="right" vertical="center" wrapText="1" readingOrder="2"/>
    </xf>
    <xf numFmtId="0" fontId="13" fillId="0" borderId="0" xfId="9" applyFill="1" applyAlignment="1"/>
    <xf numFmtId="0" fontId="20" fillId="0" borderId="2" xfId="9" applyFont="1" applyFill="1" applyBorder="1" applyAlignment="1">
      <alignment horizontal="right" vertical="center" wrapText="1" readingOrder="2"/>
    </xf>
    <xf numFmtId="0" fontId="20" fillId="0" borderId="2" xfId="9" applyFont="1" applyFill="1" applyBorder="1" applyAlignment="1">
      <alignment horizontal="center" vertical="center" wrapText="1"/>
    </xf>
    <xf numFmtId="165" fontId="20" fillId="0" borderId="2" xfId="9" applyNumberFormat="1" applyFont="1" applyFill="1" applyBorder="1" applyAlignment="1">
      <alignment horizontal="center" vertical="center" wrapText="1"/>
    </xf>
    <xf numFmtId="3" fontId="13" fillId="0" borderId="3" xfId="8" applyNumberFormat="1" applyFont="1" applyFill="1" applyBorder="1" applyAlignment="1">
      <alignment horizontal="center" vertical="center"/>
    </xf>
    <xf numFmtId="166" fontId="13" fillId="0" borderId="2" xfId="8" applyNumberFormat="1" applyFill="1" applyBorder="1" applyAlignment="1"/>
    <xf numFmtId="0" fontId="6" fillId="0" borderId="0" xfId="79"/>
    <xf numFmtId="0" fontId="13" fillId="30" borderId="2" xfId="4" applyFill="1" applyBorder="1"/>
    <xf numFmtId="0" fontId="10" fillId="4" borderId="2" xfId="4" applyFont="1" applyFill="1" applyBorder="1" applyAlignment="1">
      <alignment horizontal="center" vertical="center" wrapText="1"/>
    </xf>
    <xf numFmtId="0" fontId="11" fillId="4" borderId="2" xfId="4" applyFont="1" applyFill="1" applyBorder="1" applyAlignment="1">
      <alignment horizontal="right" vertical="center" wrapText="1"/>
    </xf>
    <xf numFmtId="3" fontId="60" fillId="5" borderId="2" xfId="4" applyNumberFormat="1" applyFont="1" applyFill="1" applyBorder="1" applyAlignment="1">
      <alignment horizontal="center" vertical="center" wrapText="1"/>
    </xf>
    <xf numFmtId="3" fontId="61" fillId="5" borderId="2" xfId="4" applyNumberFormat="1" applyFont="1" applyFill="1" applyBorder="1" applyAlignment="1">
      <alignment horizontal="center" vertical="center" wrapText="1"/>
    </xf>
    <xf numFmtId="0" fontId="13" fillId="30" borderId="7" xfId="4" applyFill="1" applyBorder="1"/>
    <xf numFmtId="3" fontId="60" fillId="5" borderId="7" xfId="4" applyNumberFormat="1" applyFont="1" applyFill="1" applyBorder="1" applyAlignment="1">
      <alignment horizontal="center" vertical="center" wrapText="1"/>
    </xf>
    <xf numFmtId="0" fontId="13" fillId="6" borderId="2" xfId="4" applyFill="1" applyBorder="1"/>
    <xf numFmtId="3" fontId="53" fillId="6" borderId="2" xfId="4" applyNumberFormat="1" applyFont="1" applyFill="1" applyBorder="1" applyAlignment="1">
      <alignment horizontal="center"/>
    </xf>
    <xf numFmtId="3" fontId="15" fillId="0" borderId="2" xfId="4" applyNumberFormat="1" applyFont="1" applyBorder="1" applyAlignment="1">
      <alignment horizontal="center" wrapText="1"/>
    </xf>
    <xf numFmtId="3" fontId="14" fillId="0" borderId="2" xfId="4" applyNumberFormat="1" applyFont="1" applyBorder="1" applyAlignment="1">
      <alignment horizontal="center" vertical="center"/>
    </xf>
    <xf numFmtId="3" fontId="53" fillId="6" borderId="2" xfId="4" applyNumberFormat="1" applyFont="1" applyFill="1" applyBorder="1" applyAlignment="1">
      <alignment horizontal="center" vertical="center"/>
    </xf>
    <xf numFmtId="3" fontId="30" fillId="7" borderId="0" xfId="1" applyNumberFormat="1" applyFont="1" applyFill="1" applyBorder="1"/>
    <xf numFmtId="3" fontId="53" fillId="6" borderId="2" xfId="4" applyNumberFormat="1" applyFont="1" applyFill="1" applyBorder="1" applyAlignment="1">
      <alignment horizontal="center" vertical="center" wrapText="1"/>
    </xf>
    <xf numFmtId="0" fontId="17" fillId="0" borderId="2" xfId="12" applyFont="1" applyFill="1" applyBorder="1" applyAlignment="1">
      <alignment horizontal="center" vertical="center"/>
    </xf>
    <xf numFmtId="0" fontId="13" fillId="5" borderId="2" xfId="4" applyFill="1" applyBorder="1"/>
    <xf numFmtId="0" fontId="62" fillId="5" borderId="2" xfId="4" applyFont="1" applyFill="1" applyBorder="1"/>
    <xf numFmtId="3" fontId="64" fillId="5" borderId="2" xfId="4" applyNumberFormat="1" applyFont="1" applyFill="1" applyBorder="1" applyAlignment="1">
      <alignment horizontal="right"/>
    </xf>
    <xf numFmtId="0" fontId="12" fillId="0" borderId="2" xfId="4" applyFont="1" applyFill="1" applyBorder="1" applyAlignment="1">
      <alignment horizontal="center" vertical="center" wrapText="1" readingOrder="2"/>
    </xf>
    <xf numFmtId="0" fontId="13" fillId="0" borderId="0" xfId="4" applyAlignment="1">
      <alignment horizontal="center"/>
    </xf>
    <xf numFmtId="0" fontId="13" fillId="0" borderId="0" xfId="4" applyAlignment="1">
      <alignment horizontal="right"/>
    </xf>
    <xf numFmtId="0" fontId="13" fillId="30" borderId="0" xfId="4" applyFill="1"/>
    <xf numFmtId="0" fontId="38" fillId="0" borderId="0" xfId="4" applyFont="1" applyAlignment="1">
      <alignment horizontal="center"/>
    </xf>
    <xf numFmtId="3" fontId="65" fillId="5" borderId="4" xfId="4" applyNumberFormat="1" applyFont="1" applyFill="1" applyBorder="1" applyAlignment="1">
      <alignment horizontal="right"/>
    </xf>
    <xf numFmtId="3" fontId="65" fillId="30" borderId="4" xfId="4" applyNumberFormat="1" applyFont="1" applyFill="1" applyBorder="1" applyAlignment="1">
      <alignment horizontal="right"/>
    </xf>
    <xf numFmtId="0" fontId="13" fillId="0" borderId="0" xfId="4" applyFill="1"/>
    <xf numFmtId="0" fontId="20" fillId="0" borderId="4" xfId="8" applyFont="1" applyFill="1" applyBorder="1" applyAlignment="1">
      <alignment horizontal="center" vertical="center" wrapText="1" readingOrder="2"/>
    </xf>
    <xf numFmtId="0" fontId="12" fillId="30" borderId="0" xfId="4" applyFont="1" applyFill="1" applyBorder="1" applyAlignment="1">
      <alignment horizontal="center" wrapText="1"/>
    </xf>
    <xf numFmtId="3" fontId="66" fillId="4" borderId="2" xfId="4" applyNumberFormat="1" applyFont="1" applyFill="1" applyBorder="1" applyAlignment="1">
      <alignment horizontal="center" vertical="center" wrapText="1"/>
    </xf>
    <xf numFmtId="3" fontId="67" fillId="5" borderId="2" xfId="4" applyNumberFormat="1" applyFont="1" applyFill="1" applyBorder="1" applyAlignment="1">
      <alignment horizontal="center" vertical="center" wrapText="1"/>
    </xf>
    <xf numFmtId="3" fontId="68" fillId="5" borderId="2" xfId="4" applyNumberFormat="1" applyFont="1" applyFill="1" applyBorder="1" applyAlignment="1">
      <alignment horizontal="center" vertical="center" wrapText="1"/>
    </xf>
    <xf numFmtId="0" fontId="13" fillId="0" borderId="2" xfId="4" applyBorder="1"/>
    <xf numFmtId="3" fontId="14" fillId="0" borderId="2" xfId="71" applyNumberFormat="1" applyFont="1" applyFill="1" applyBorder="1" applyAlignment="1">
      <alignment horizontal="center" vertical="center" wrapText="1"/>
    </xf>
    <xf numFmtId="0" fontId="13" fillId="0" borderId="2" xfId="4" applyFill="1" applyBorder="1"/>
    <xf numFmtId="3" fontId="13" fillId="0" borderId="2" xfId="68" applyNumberFormat="1" applyFill="1" applyBorder="1" applyAlignment="1">
      <alignment horizontal="center" vertical="center" wrapText="1"/>
    </xf>
    <xf numFmtId="3" fontId="14" fillId="6" borderId="2" xfId="4" applyNumberFormat="1" applyFont="1" applyFill="1" applyBorder="1" applyAlignment="1">
      <alignment horizontal="center" wrapText="1"/>
    </xf>
    <xf numFmtId="0" fontId="13" fillId="6" borderId="0" xfId="4" applyFill="1"/>
    <xf numFmtId="3" fontId="62" fillId="31" borderId="2" xfId="4" applyNumberFormat="1" applyFont="1" applyFill="1" applyBorder="1" applyAlignment="1">
      <alignment horizontal="center" wrapText="1"/>
    </xf>
    <xf numFmtId="3" fontId="18" fillId="31" borderId="2" xfId="4" applyNumberFormat="1" applyFont="1" applyFill="1" applyBorder="1" applyAlignment="1">
      <alignment horizontal="center" wrapText="1"/>
    </xf>
    <xf numFmtId="0" fontId="13" fillId="31" borderId="0" xfId="4" applyFill="1"/>
    <xf numFmtId="3" fontId="69" fillId="5" borderId="2" xfId="4" applyNumberFormat="1" applyFont="1" applyFill="1" applyBorder="1" applyAlignment="1">
      <alignment horizontal="center" wrapText="1"/>
    </xf>
    <xf numFmtId="3" fontId="65" fillId="5" borderId="2" xfId="4" applyNumberFormat="1" applyFont="1" applyFill="1" applyBorder="1" applyAlignment="1">
      <alignment horizontal="center" wrapText="1"/>
    </xf>
    <xf numFmtId="0" fontId="49" fillId="6" borderId="2" xfId="4" quotePrefix="1" applyFont="1" applyFill="1" applyBorder="1" applyAlignment="1">
      <alignment horizontal="right" wrapText="1"/>
    </xf>
    <xf numFmtId="3" fontId="12" fillId="6" borderId="2" xfId="4" applyNumberFormat="1" applyFont="1" applyFill="1" applyBorder="1" applyAlignment="1">
      <alignment horizontal="right" wrapText="1"/>
    </xf>
    <xf numFmtId="0" fontId="20" fillId="0" borderId="2" xfId="4" applyFont="1" applyFill="1" applyBorder="1" applyAlignment="1">
      <alignment horizontal="right" vertical="center" wrapText="1" readingOrder="2"/>
    </xf>
    <xf numFmtId="49" fontId="13" fillId="0" borderId="2" xfId="71" applyNumberFormat="1" applyFill="1" applyBorder="1" applyAlignment="1">
      <alignment horizontal="right" vertical="center" wrapText="1"/>
    </xf>
    <xf numFmtId="3" fontId="66" fillId="5" borderId="7" xfId="4" applyNumberFormat="1" applyFont="1" applyFill="1" applyBorder="1" applyAlignment="1">
      <alignment horizontal="center" vertical="center" wrapText="1"/>
    </xf>
    <xf numFmtId="3" fontId="11" fillId="5" borderId="7" xfId="4" applyNumberFormat="1" applyFont="1" applyFill="1" applyBorder="1" applyAlignment="1">
      <alignment horizontal="center" vertical="center" wrapText="1"/>
    </xf>
    <xf numFmtId="0" fontId="14" fillId="0" borderId="0" xfId="4" applyFont="1" applyFill="1" applyAlignment="1">
      <alignment horizontal="center"/>
    </xf>
    <xf numFmtId="0" fontId="14" fillId="0" borderId="0" xfId="4" applyFont="1" applyFill="1"/>
    <xf numFmtId="0" fontId="13" fillId="0" borderId="0" xfId="4" applyFill="1" applyAlignment="1">
      <alignment horizontal="center"/>
    </xf>
    <xf numFmtId="3" fontId="20" fillId="5" borderId="8" xfId="8" applyNumberFormat="1" applyFont="1" applyFill="1" applyBorder="1" applyAlignment="1">
      <alignment horizontal="center" vertical="center" wrapText="1"/>
    </xf>
    <xf numFmtId="168" fontId="14" fillId="8" borderId="2" xfId="8" applyNumberFormat="1" applyFont="1" applyFill="1" applyBorder="1" applyAlignment="1">
      <alignment horizontal="right" vertical="center" wrapText="1"/>
    </xf>
    <xf numFmtId="0" fontId="13" fillId="0" borderId="8" xfId="8" applyFont="1" applyFill="1" applyBorder="1" applyAlignment="1">
      <alignment horizontal="right" vertical="center" wrapText="1"/>
    </xf>
    <xf numFmtId="3" fontId="13" fillId="0" borderId="8" xfId="8" applyNumberFormat="1" applyFont="1" applyFill="1" applyBorder="1" applyAlignment="1">
      <alignment horizontal="right" vertical="center" wrapText="1"/>
    </xf>
    <xf numFmtId="3" fontId="25" fillId="0" borderId="8" xfId="8" applyNumberFormat="1" applyFont="1" applyFill="1" applyBorder="1" applyAlignment="1">
      <alignment horizontal="right" vertical="center" wrapText="1"/>
    </xf>
    <xf numFmtId="0" fontId="20" fillId="0" borderId="0" xfId="8" applyFont="1" applyFill="1"/>
    <xf numFmtId="3" fontId="13" fillId="0" borderId="8" xfId="8" applyNumberFormat="1" applyFont="1" applyFill="1" applyBorder="1" applyAlignment="1">
      <alignment horizontal="right" vertical="center" wrapText="1" readingOrder="2"/>
    </xf>
    <xf numFmtId="3" fontId="13" fillId="0" borderId="8" xfId="8" applyNumberFormat="1" applyFill="1" applyBorder="1" applyAlignment="1">
      <alignment horizontal="right" vertical="center" wrapText="1"/>
    </xf>
    <xf numFmtId="3" fontId="20" fillId="0" borderId="4" xfId="8" applyNumberFormat="1" applyFont="1" applyFill="1" applyBorder="1" applyAlignment="1">
      <alignment horizontal="center" vertical="center" wrapText="1"/>
    </xf>
    <xf numFmtId="49" fontId="20" fillId="0" borderId="8" xfId="8" applyNumberFormat="1" applyFont="1" applyFill="1" applyBorder="1" applyAlignment="1">
      <alignment horizontal="center" vertical="center" wrapText="1"/>
    </xf>
    <xf numFmtId="3" fontId="20" fillId="0" borderId="13" xfId="8" applyNumberFormat="1" applyFont="1" applyFill="1" applyBorder="1" applyAlignment="1">
      <alignment horizontal="right" vertical="center" wrapText="1"/>
    </xf>
    <xf numFmtId="0" fontId="13" fillId="7" borderId="0" xfId="8" applyFill="1" applyAlignment="1"/>
    <xf numFmtId="49" fontId="13" fillId="0" borderId="8" xfId="15" applyNumberFormat="1" applyFont="1" applyFill="1" applyBorder="1" applyAlignment="1">
      <alignment horizontal="right" vertical="center" wrapText="1"/>
    </xf>
    <xf numFmtId="49" fontId="20" fillId="0" borderId="8" xfId="15" applyNumberFormat="1" applyFont="1" applyFill="1" applyBorder="1" applyAlignment="1">
      <alignment horizontal="center" vertical="center" wrapText="1"/>
    </xf>
    <xf numFmtId="0" fontId="22" fillId="0" borderId="0" xfId="15" applyFill="1" applyAlignment="1"/>
    <xf numFmtId="0" fontId="20" fillId="0" borderId="2" xfId="15" applyFont="1" applyFill="1" applyBorder="1" applyAlignment="1">
      <alignment horizontal="center" vertical="center" wrapText="1"/>
    </xf>
    <xf numFmtId="165" fontId="21" fillId="0" borderId="2" xfId="15" applyNumberFormat="1" applyFont="1" applyFill="1" applyBorder="1" applyAlignment="1">
      <alignment horizontal="center" vertical="center" wrapText="1"/>
    </xf>
    <xf numFmtId="0" fontId="20" fillId="0" borderId="2" xfId="15" applyFont="1" applyFill="1" applyBorder="1" applyAlignment="1">
      <alignment horizontal="right" vertical="center" wrapText="1"/>
    </xf>
    <xf numFmtId="3" fontId="13" fillId="0" borderId="2" xfId="15" applyNumberFormat="1" applyFont="1" applyFill="1" applyBorder="1" applyAlignment="1">
      <alignment horizontal="center" vertical="center"/>
    </xf>
    <xf numFmtId="168" fontId="13" fillId="0" borderId="2" xfId="8" applyNumberFormat="1" applyFont="1" applyFill="1" applyBorder="1" applyAlignment="1">
      <alignment horizontal="right" vertical="center" wrapText="1"/>
    </xf>
    <xf numFmtId="168" fontId="20" fillId="0" borderId="2" xfId="8" applyNumberFormat="1" applyFont="1" applyFill="1" applyBorder="1" applyAlignment="1">
      <alignment horizontal="right" vertical="center" wrapText="1"/>
    </xf>
    <xf numFmtId="4" fontId="13" fillId="0" borderId="0" xfId="8" applyNumberFormat="1" applyFont="1" applyAlignment="1"/>
    <xf numFmtId="42" fontId="39" fillId="0" borderId="1" xfId="82" applyNumberFormat="1" applyFont="1" applyBorder="1" applyAlignment="1">
      <alignment horizontal="center" wrapText="1"/>
    </xf>
    <xf numFmtId="42" fontId="39" fillId="2" borderId="0" xfId="82" applyNumberFormat="1" applyFont="1" applyFill="1" applyBorder="1" applyAlignment="1">
      <alignment horizontal="center" wrapText="1"/>
    </xf>
    <xf numFmtId="0" fontId="14" fillId="0" borderId="0" xfId="4" applyFont="1" applyBorder="1" applyAlignment="1">
      <alignment horizontal="center" wrapText="1"/>
    </xf>
    <xf numFmtId="0" fontId="12" fillId="2" borderId="2" xfId="4" applyFont="1" applyFill="1" applyBorder="1" applyAlignment="1">
      <alignment horizontal="right" wrapText="1"/>
    </xf>
    <xf numFmtId="3" fontId="11" fillId="5" borderId="2" xfId="4" applyNumberFormat="1" applyFont="1" applyFill="1" applyBorder="1" applyAlignment="1">
      <alignment vertical="center" wrapText="1"/>
    </xf>
    <xf numFmtId="3" fontId="12" fillId="0" borderId="2" xfId="4" applyNumberFormat="1" applyFont="1" applyBorder="1" applyAlignment="1"/>
    <xf numFmtId="0" fontId="14" fillId="0" borderId="2" xfId="4" applyFont="1" applyFill="1" applyBorder="1" applyAlignment="1">
      <alignment horizontal="center"/>
    </xf>
    <xf numFmtId="0" fontId="12" fillId="6" borderId="2" xfId="4" applyFont="1" applyFill="1" applyBorder="1" applyAlignment="1">
      <alignment horizontal="right" wrapText="1"/>
    </xf>
    <xf numFmtId="0" fontId="14" fillId="6" borderId="2" xfId="4" applyFont="1" applyFill="1" applyBorder="1" applyAlignment="1">
      <alignment horizontal="center"/>
    </xf>
    <xf numFmtId="0" fontId="12" fillId="6" borderId="0" xfId="4" applyFont="1" applyFill="1" applyBorder="1" applyAlignment="1">
      <alignment horizontal="right" wrapText="1"/>
    </xf>
    <xf numFmtId="0" fontId="53" fillId="5" borderId="2" xfId="4" applyFont="1" applyFill="1" applyBorder="1" applyAlignment="1">
      <alignment horizontal="right" wrapText="1"/>
    </xf>
    <xf numFmtId="3" fontId="65" fillId="5" borderId="2" xfId="4" applyNumberFormat="1" applyFont="1" applyFill="1" applyBorder="1" applyAlignment="1"/>
    <xf numFmtId="3" fontId="65" fillId="5" borderId="2" xfId="4" applyNumberFormat="1" applyFont="1" applyFill="1" applyBorder="1" applyAlignment="1">
      <alignment horizontal="center"/>
    </xf>
    <xf numFmtId="0" fontId="14" fillId="0" borderId="2" xfId="4" applyFont="1" applyBorder="1" applyAlignment="1">
      <alignment horizontal="right" wrapText="1"/>
    </xf>
    <xf numFmtId="0" fontId="12" fillId="0" borderId="7" xfId="4" applyFont="1" applyBorder="1" applyAlignment="1">
      <alignment horizontal="center" wrapText="1"/>
    </xf>
    <xf numFmtId="0" fontId="13" fillId="0" borderId="9" xfId="8" applyFont="1" applyFill="1" applyBorder="1" applyAlignment="1">
      <alignment horizontal="center" vertical="center"/>
    </xf>
    <xf numFmtId="165" fontId="20" fillId="0" borderId="2" xfId="73" applyNumberFormat="1" applyFont="1" applyFill="1" applyBorder="1" applyAlignment="1">
      <alignment horizontal="center" vertical="center" wrapText="1"/>
    </xf>
    <xf numFmtId="165" fontId="71" fillId="0" borderId="2" xfId="73" applyNumberFormat="1" applyFont="1" applyFill="1" applyBorder="1" applyAlignment="1">
      <alignment horizontal="right" vertical="center" wrapText="1"/>
    </xf>
    <xf numFmtId="165" fontId="20" fillId="0" borderId="4" xfId="73" applyNumberFormat="1" applyFont="1" applyFill="1" applyBorder="1" applyAlignment="1">
      <alignment horizontal="center" vertical="center" wrapText="1"/>
    </xf>
    <xf numFmtId="3" fontId="13" fillId="0" borderId="4" xfId="8" applyNumberFormat="1" applyFont="1" applyFill="1" applyBorder="1" applyAlignment="1">
      <alignment horizontal="right" vertical="center" wrapText="1"/>
    </xf>
    <xf numFmtId="0" fontId="40" fillId="0" borderId="2" xfId="15" applyFont="1" applyFill="1" applyBorder="1" applyAlignment="1">
      <alignment horizontal="center" vertical="center"/>
    </xf>
    <xf numFmtId="164" fontId="13" fillId="0" borderId="2" xfId="73" applyNumberFormat="1" applyFont="1" applyFill="1" applyBorder="1" applyAlignment="1">
      <alignment horizontal="center" vertical="center" wrapText="1" readingOrder="2"/>
    </xf>
    <xf numFmtId="0" fontId="40" fillId="0" borderId="2" xfId="8" applyNumberFormat="1" applyFont="1" applyFill="1" applyBorder="1" applyAlignment="1">
      <alignment horizontal="center" vertical="center" wrapText="1"/>
    </xf>
    <xf numFmtId="164" fontId="20" fillId="0" borderId="2" xfId="73" applyNumberFormat="1" applyFont="1" applyFill="1" applyBorder="1" applyAlignment="1">
      <alignment horizontal="center" vertical="center" wrapText="1" readingOrder="2"/>
    </xf>
    <xf numFmtId="164" fontId="20" fillId="0" borderId="2" xfId="73" applyNumberFormat="1" applyFont="1" applyFill="1" applyBorder="1" applyAlignment="1">
      <alignment horizontal="center" vertical="center" wrapText="1"/>
    </xf>
    <xf numFmtId="165" fontId="20" fillId="0" borderId="2" xfId="73" applyNumberFormat="1" applyFont="1" applyFill="1" applyBorder="1" applyAlignment="1">
      <alignment horizontal="right" vertical="center" wrapText="1"/>
    </xf>
    <xf numFmtId="164" fontId="13" fillId="0" borderId="2" xfId="73" applyNumberFormat="1" applyFont="1" applyFill="1" applyBorder="1" applyAlignment="1">
      <alignment horizontal="right" vertical="center" wrapText="1" readingOrder="2"/>
    </xf>
    <xf numFmtId="0" fontId="13" fillId="0" borderId="0" xfId="8" applyFill="1" applyAlignment="1">
      <alignment horizontal="center" vertical="center"/>
    </xf>
    <xf numFmtId="3" fontId="13" fillId="0" borderId="0" xfId="4" applyNumberFormat="1"/>
    <xf numFmtId="0" fontId="11" fillId="4" borderId="2" xfId="4" applyFont="1" applyFill="1" applyBorder="1" applyAlignment="1">
      <alignment horizontal="center" vertical="center" wrapText="1"/>
    </xf>
    <xf numFmtId="0" fontId="72" fillId="5" borderId="2" xfId="4" applyFont="1" applyFill="1" applyBorder="1" applyAlignment="1">
      <alignment horizontal="center" vertical="center" wrapText="1"/>
    </xf>
    <xf numFmtId="3" fontId="72" fillId="5" borderId="2" xfId="4" applyNumberFormat="1" applyFont="1" applyFill="1" applyBorder="1" applyAlignment="1">
      <alignment horizontal="center" vertical="center" wrapText="1"/>
    </xf>
    <xf numFmtId="0" fontId="21" fillId="30" borderId="0" xfId="4" applyFont="1" applyFill="1"/>
    <xf numFmtId="3" fontId="21" fillId="5" borderId="0" xfId="4" applyNumberFormat="1" applyFont="1" applyFill="1"/>
    <xf numFmtId="0" fontId="21" fillId="5" borderId="0" xfId="4" applyFont="1" applyFill="1"/>
    <xf numFmtId="0" fontId="11" fillId="5" borderId="2" xfId="4" applyFont="1" applyFill="1" applyBorder="1" applyAlignment="1">
      <alignment horizontal="center" vertical="center" wrapText="1"/>
    </xf>
    <xf numFmtId="0" fontId="14" fillId="0" borderId="2" xfId="4" applyFont="1" applyFill="1" applyBorder="1" applyAlignment="1">
      <alignment horizontal="right" vertical="center" wrapText="1"/>
    </xf>
    <xf numFmtId="3" fontId="12" fillId="0" borderId="2" xfId="4" applyNumberFormat="1" applyFont="1" applyBorder="1" applyAlignment="1">
      <alignment horizontal="center" vertical="center"/>
    </xf>
    <xf numFmtId="3" fontId="14" fillId="0" borderId="2" xfId="4" applyNumberFormat="1" applyFont="1" applyBorder="1" applyAlignment="1">
      <alignment horizontal="center"/>
    </xf>
    <xf numFmtId="3" fontId="12" fillId="6" borderId="2" xfId="4" applyNumberFormat="1" applyFont="1" applyFill="1" applyBorder="1" applyAlignment="1">
      <alignment horizontal="center"/>
    </xf>
    <xf numFmtId="0" fontId="14" fillId="0" borderId="2" xfId="8" applyFont="1" applyFill="1" applyBorder="1" applyAlignment="1">
      <alignment horizontal="right" vertical="center" wrapText="1"/>
    </xf>
    <xf numFmtId="0" fontId="13" fillId="0" borderId="2" xfId="8" quotePrefix="1" applyNumberFormat="1" applyFont="1" applyFill="1" applyBorder="1" applyAlignment="1">
      <alignment horizontal="right" vertical="center" wrapText="1" readingOrder="2"/>
    </xf>
    <xf numFmtId="166" fontId="13" fillId="0" borderId="4" xfId="8" applyNumberFormat="1" applyFont="1" applyFill="1" applyBorder="1" applyAlignment="1">
      <alignment horizontal="center" vertical="center" wrapText="1"/>
    </xf>
    <xf numFmtId="3" fontId="29" fillId="0" borderId="2" xfId="8" applyNumberFormat="1" applyFont="1" applyFill="1" applyBorder="1" applyAlignment="1">
      <alignment horizontal="right" vertical="center" wrapText="1"/>
    </xf>
    <xf numFmtId="49" fontId="14" fillId="0" borderId="2" xfId="15" applyNumberFormat="1" applyFont="1" applyFill="1" applyBorder="1" applyAlignment="1">
      <alignment horizontal="right" vertical="center" wrapText="1"/>
    </xf>
    <xf numFmtId="3" fontId="14" fillId="0" borderId="0" xfId="4" applyNumberFormat="1" applyFont="1" applyAlignment="1">
      <alignment horizontal="center" vertical="center"/>
    </xf>
    <xf numFmtId="0" fontId="14" fillId="0" borderId="0" xfId="4" applyFont="1" applyAlignment="1">
      <alignment horizontal="center" vertical="center"/>
    </xf>
    <xf numFmtId="3" fontId="11" fillId="5" borderId="4" xfId="4" applyNumberFormat="1" applyFont="1" applyFill="1" applyBorder="1" applyAlignment="1">
      <alignment horizontal="center" vertical="center" wrapText="1"/>
    </xf>
    <xf numFmtId="0" fontId="12" fillId="0" borderId="2" xfId="4" applyFont="1" applyBorder="1" applyAlignment="1">
      <alignment horizontal="center"/>
    </xf>
    <xf numFmtId="0" fontId="14" fillId="0" borderId="2" xfId="4" applyFont="1" applyBorder="1" applyAlignment="1">
      <alignment horizontal="center" vertical="center"/>
    </xf>
    <xf numFmtId="0" fontId="12" fillId="6" borderId="2" xfId="4" applyFont="1" applyFill="1" applyBorder="1" applyAlignment="1">
      <alignment horizontal="center"/>
    </xf>
    <xf numFmtId="0" fontId="14" fillId="6" borderId="2" xfId="4" applyFont="1" applyFill="1" applyBorder="1" applyAlignment="1">
      <alignment horizontal="center" vertical="center"/>
    </xf>
    <xf numFmtId="0" fontId="73" fillId="6" borderId="2" xfId="4" applyFont="1" applyFill="1" applyBorder="1" applyAlignment="1">
      <alignment horizontal="center" vertical="center" wrapText="1"/>
    </xf>
    <xf numFmtId="3" fontId="52" fillId="0" borderId="2" xfId="8" applyNumberFormat="1" applyFont="1" applyFill="1" applyBorder="1" applyAlignment="1">
      <alignment horizontal="center" vertical="center" wrapText="1"/>
    </xf>
    <xf numFmtId="0" fontId="12" fillId="0" borderId="0" xfId="4" applyFont="1" applyBorder="1" applyAlignment="1">
      <alignment horizontal="center"/>
    </xf>
    <xf numFmtId="0" fontId="13" fillId="0" borderId="0" xfId="4" applyBorder="1"/>
    <xf numFmtId="0" fontId="14" fillId="0" borderId="2" xfId="4" applyFont="1" applyBorder="1" applyAlignment="1">
      <alignment horizontal="center" vertical="center" wrapText="1"/>
    </xf>
    <xf numFmtId="0" fontId="13" fillId="30" borderId="0" xfId="4" applyFill="1" applyBorder="1"/>
    <xf numFmtId="0" fontId="13" fillId="0" borderId="7" xfId="4" applyBorder="1"/>
    <xf numFmtId="3" fontId="12" fillId="0" borderId="3" xfId="4" applyNumberFormat="1" applyFont="1" applyFill="1" applyBorder="1" applyAlignment="1">
      <alignment horizontal="center" wrapText="1"/>
    </xf>
    <xf numFmtId="0" fontId="17" fillId="0" borderId="2" xfId="79" applyFont="1" applyBorder="1" applyAlignment="1">
      <alignment horizontal="center" vertical="center"/>
    </xf>
    <xf numFmtId="0" fontId="28" fillId="0" borderId="2" xfId="79" applyFont="1" applyBorder="1" applyAlignment="1">
      <alignment horizontal="right" vertical="center"/>
    </xf>
    <xf numFmtId="0" fontId="28" fillId="0" borderId="2" xfId="79" applyFont="1" applyBorder="1" applyAlignment="1">
      <alignment horizontal="right" vertical="center" wrapText="1"/>
    </xf>
    <xf numFmtId="0" fontId="55" fillId="5" borderId="2" xfId="4" applyFont="1" applyFill="1" applyBorder="1"/>
    <xf numFmtId="3" fontId="65" fillId="5" borderId="2" xfId="4" applyNumberFormat="1" applyFont="1" applyFill="1" applyBorder="1" applyAlignment="1">
      <alignment horizontal="right"/>
    </xf>
    <xf numFmtId="0" fontId="14" fillId="5" borderId="2" xfId="4" applyFont="1" applyFill="1" applyBorder="1" applyAlignment="1">
      <alignment horizontal="center" vertical="center"/>
    </xf>
    <xf numFmtId="3" fontId="65" fillId="5" borderId="2" xfId="4" applyNumberFormat="1" applyFont="1" applyFill="1" applyBorder="1" applyAlignment="1">
      <alignment horizontal="center" vertical="center"/>
    </xf>
    <xf numFmtId="0" fontId="49" fillId="6" borderId="4" xfId="4" applyFont="1" applyFill="1" applyBorder="1" applyAlignment="1">
      <alignment horizontal="right" wrapText="1"/>
    </xf>
    <xf numFmtId="0" fontId="12" fillId="0" borderId="13" xfId="4" applyFont="1" applyBorder="1" applyAlignment="1">
      <alignment horizontal="center" wrapText="1"/>
    </xf>
    <xf numFmtId="0" fontId="49" fillId="6" borderId="10" xfId="4" applyFont="1" applyFill="1" applyBorder="1" applyAlignment="1">
      <alignment horizontal="right" wrapText="1"/>
    </xf>
    <xf numFmtId="0" fontId="14" fillId="0" borderId="4" xfId="4" applyFont="1" applyFill="1" applyBorder="1" applyAlignment="1">
      <alignment horizontal="center" vertical="center"/>
    </xf>
    <xf numFmtId="0" fontId="13" fillId="0" borderId="4" xfId="4" applyBorder="1"/>
    <xf numFmtId="3" fontId="14" fillId="0" borderId="4" xfId="4" applyNumberFormat="1" applyFont="1" applyBorder="1" applyAlignment="1">
      <alignment horizontal="center" vertical="center"/>
    </xf>
    <xf numFmtId="0" fontId="12" fillId="0" borderId="4" xfId="4" applyFont="1" applyBorder="1" applyAlignment="1">
      <alignment horizontal="center" wrapText="1"/>
    </xf>
    <xf numFmtId="170" fontId="13" fillId="0" borderId="19" xfId="8" applyNumberFormat="1" applyFont="1" applyFill="1" applyBorder="1" applyAlignment="1">
      <alignment horizontal="right"/>
    </xf>
    <xf numFmtId="164" fontId="13" fillId="0" borderId="2" xfId="8" applyNumberFormat="1" applyFont="1" applyFill="1" applyBorder="1" applyAlignment="1">
      <alignment horizontal="center" vertical="center"/>
    </xf>
    <xf numFmtId="165" fontId="13" fillId="0" borderId="2" xfId="15" applyNumberFormat="1" applyFont="1" applyFill="1" applyBorder="1" applyAlignment="1">
      <alignment horizontal="right" vertical="center" wrapText="1" readingOrder="2"/>
    </xf>
    <xf numFmtId="164" fontId="13" fillId="0" borderId="2" xfId="15" applyNumberFormat="1" applyFont="1" applyFill="1" applyBorder="1" applyAlignment="1">
      <alignment horizontal="right" vertical="center" wrapText="1"/>
    </xf>
    <xf numFmtId="164" fontId="13" fillId="0" borderId="2" xfId="8" applyNumberFormat="1" applyFont="1" applyFill="1" applyBorder="1" applyAlignment="1">
      <alignment horizontal="right" vertical="center"/>
    </xf>
    <xf numFmtId="166" fontId="13" fillId="0" borderId="7" xfId="8" applyNumberFormat="1" applyFont="1" applyFill="1" applyBorder="1" applyAlignment="1">
      <alignment horizontal="right" vertical="center" wrapText="1" readingOrder="2"/>
    </xf>
    <xf numFmtId="3" fontId="13" fillId="0" borderId="2" xfId="15" applyNumberFormat="1" applyFont="1" applyFill="1" applyBorder="1" applyAlignment="1">
      <alignment horizontal="right" vertical="center" wrapText="1"/>
    </xf>
    <xf numFmtId="3" fontId="27" fillId="0" borderId="2" xfId="8" applyNumberFormat="1" applyFont="1" applyFill="1" applyBorder="1" applyAlignment="1">
      <alignment horizontal="right" vertical="center" wrapText="1" readingOrder="2"/>
    </xf>
    <xf numFmtId="166" fontId="13" fillId="0" borderId="4" xfId="8" applyNumberFormat="1" applyFont="1" applyFill="1" applyBorder="1" applyAlignment="1">
      <alignment horizontal="right" vertical="center" wrapText="1" readingOrder="2"/>
    </xf>
    <xf numFmtId="165" fontId="20" fillId="0" borderId="2" xfId="15" applyNumberFormat="1" applyFont="1" applyFill="1" applyBorder="1" applyAlignment="1">
      <alignment horizontal="right" vertical="center" wrapText="1" readingOrder="2"/>
    </xf>
    <xf numFmtId="165" fontId="20" fillId="0" borderId="4" xfId="15" applyNumberFormat="1" applyFont="1" applyFill="1" applyBorder="1" applyAlignment="1">
      <alignment horizontal="right" vertical="center" wrapText="1" readingOrder="2"/>
    </xf>
    <xf numFmtId="164" fontId="14" fillId="0" borderId="2" xfId="8" applyNumberFormat="1" applyFont="1" applyFill="1" applyBorder="1" applyAlignment="1">
      <alignment horizontal="right" vertical="center" wrapText="1"/>
    </xf>
    <xf numFmtId="0" fontId="13" fillId="0" borderId="0" xfId="4" applyAlignment="1">
      <alignment wrapText="1"/>
    </xf>
    <xf numFmtId="3" fontId="13" fillId="0" borderId="0" xfId="4" applyNumberFormat="1" applyAlignment="1">
      <alignment wrapText="1"/>
    </xf>
    <xf numFmtId="3" fontId="11" fillId="30" borderId="2" xfId="4" applyNumberFormat="1" applyFont="1" applyFill="1" applyBorder="1" applyAlignment="1">
      <alignment horizontal="center" vertical="center" wrapText="1"/>
    </xf>
    <xf numFmtId="3" fontId="11" fillId="30" borderId="0" xfId="4" applyNumberFormat="1" applyFont="1" applyFill="1" applyBorder="1" applyAlignment="1">
      <alignment horizontal="center" vertical="center" wrapText="1"/>
    </xf>
    <xf numFmtId="0" fontId="14" fillId="0" borderId="2" xfId="8" applyNumberFormat="1" applyFont="1" applyFill="1" applyBorder="1" applyAlignment="1">
      <alignment horizontal="center" vertical="center"/>
    </xf>
    <xf numFmtId="0" fontId="20" fillId="0" borderId="2" xfId="9" applyFont="1" applyFill="1" applyBorder="1" applyAlignment="1">
      <alignment horizontal="right" vertical="center" wrapText="1"/>
    </xf>
    <xf numFmtId="0" fontId="55" fillId="5" borderId="0" xfId="4" applyFont="1" applyFill="1"/>
    <xf numFmtId="3" fontId="51" fillId="5" borderId="2" xfId="4" applyNumberFormat="1" applyFont="1" applyFill="1" applyBorder="1" applyAlignment="1">
      <alignment horizontal="right"/>
    </xf>
    <xf numFmtId="3" fontId="51" fillId="5" borderId="2" xfId="4" applyNumberFormat="1" applyFont="1" applyFill="1" applyBorder="1" applyAlignment="1">
      <alignment horizontal="center"/>
    </xf>
    <xf numFmtId="3" fontId="51" fillId="5" borderId="2" xfId="4" applyNumberFormat="1" applyFont="1" applyFill="1" applyBorder="1" applyAlignment="1">
      <alignment horizontal="right" wrapText="1"/>
    </xf>
    <xf numFmtId="170" fontId="13" fillId="0" borderId="9" xfId="8" applyNumberFormat="1" applyFont="1" applyFill="1" applyBorder="1" applyAlignment="1">
      <alignment horizontal="right"/>
    </xf>
    <xf numFmtId="3" fontId="25" fillId="0" borderId="2" xfId="8" applyNumberFormat="1" applyFont="1" applyFill="1" applyBorder="1" applyAlignment="1">
      <alignment horizontal="right" vertical="center" wrapText="1" readingOrder="2"/>
    </xf>
    <xf numFmtId="165" fontId="21" fillId="0" borderId="2" xfId="9" applyNumberFormat="1" applyFont="1" applyFill="1" applyBorder="1" applyAlignment="1">
      <alignment horizontal="center" vertical="center" wrapText="1"/>
    </xf>
    <xf numFmtId="0" fontId="13" fillId="0" borderId="0" xfId="9" applyFill="1"/>
    <xf numFmtId="0" fontId="20" fillId="0" borderId="2" xfId="15" quotePrefix="1" applyNumberFormat="1" applyFont="1" applyFill="1" applyBorder="1" applyAlignment="1">
      <alignment horizontal="right" vertical="center" wrapText="1" readingOrder="2"/>
    </xf>
    <xf numFmtId="165" fontId="13" fillId="0" borderId="4" xfId="73" applyNumberFormat="1" applyFont="1" applyFill="1" applyBorder="1" applyAlignment="1">
      <alignment horizontal="right" vertical="center" wrapText="1" readingOrder="2"/>
    </xf>
    <xf numFmtId="0" fontId="39" fillId="2" borderId="1" xfId="4" applyFont="1" applyFill="1" applyBorder="1" applyAlignment="1">
      <alignment horizontal="center" wrapText="1"/>
    </xf>
    <xf numFmtId="3" fontId="13" fillId="5" borderId="2" xfId="4" applyNumberFormat="1" applyFill="1" applyBorder="1"/>
    <xf numFmtId="0" fontId="12" fillId="0" borderId="2" xfId="4" applyFont="1" applyBorder="1"/>
    <xf numFmtId="0" fontId="13" fillId="0" borderId="2" xfId="4" applyBorder="1" applyAlignment="1">
      <alignment wrapText="1"/>
    </xf>
    <xf numFmtId="0" fontId="13" fillId="2" borderId="2" xfId="4" applyFill="1" applyBorder="1"/>
    <xf numFmtId="0" fontId="12" fillId="0" borderId="0" xfId="4" applyFont="1" applyBorder="1"/>
    <xf numFmtId="0" fontId="12" fillId="0" borderId="4" xfId="4" applyFont="1" applyBorder="1" applyAlignment="1">
      <alignment horizontal="center" vertical="center" wrapText="1"/>
    </xf>
    <xf numFmtId="3" fontId="53" fillId="6" borderId="2" xfId="4" applyNumberFormat="1" applyFont="1" applyFill="1" applyBorder="1" applyAlignment="1">
      <alignment horizontal="right" wrapText="1"/>
    </xf>
    <xf numFmtId="0" fontId="13" fillId="0" borderId="2" xfId="4" applyFont="1" applyBorder="1"/>
    <xf numFmtId="43" fontId="20" fillId="0" borderId="2" xfId="19" applyNumberFormat="1" applyFont="1" applyFill="1" applyBorder="1" applyAlignment="1">
      <alignment horizontal="right" vertical="center" wrapText="1"/>
    </xf>
    <xf numFmtId="165" fontId="14" fillId="8" borderId="2" xfId="8" applyNumberFormat="1" applyFont="1" applyFill="1" applyBorder="1" applyAlignment="1">
      <alignment horizontal="center" vertical="center" wrapText="1"/>
    </xf>
    <xf numFmtId="3" fontId="14" fillId="0" borderId="4" xfId="8" applyNumberFormat="1" applyFont="1" applyFill="1" applyBorder="1" applyAlignment="1">
      <alignment horizontal="right" vertical="center" wrapText="1"/>
    </xf>
    <xf numFmtId="3" fontId="13" fillId="0" borderId="0" xfId="8" applyNumberFormat="1" applyFont="1" applyAlignment="1"/>
    <xf numFmtId="3" fontId="11" fillId="5" borderId="2" xfId="4" applyNumberFormat="1" applyFont="1" applyFill="1" applyBorder="1" applyAlignment="1">
      <alignment horizontal="right" vertical="center" wrapText="1"/>
    </xf>
    <xf numFmtId="3" fontId="14" fillId="0" borderId="2" xfId="4" applyNumberFormat="1" applyFont="1" applyBorder="1" applyAlignment="1">
      <alignment horizontal="center" wrapText="1"/>
    </xf>
    <xf numFmtId="0" fontId="12" fillId="0" borderId="4" xfId="4" applyFont="1" applyBorder="1" applyAlignment="1">
      <alignment horizontal="center"/>
    </xf>
    <xf numFmtId="0" fontId="53" fillId="6" borderId="4" xfId="4" applyFont="1" applyFill="1" applyBorder="1" applyAlignment="1">
      <alignment horizontal="right" wrapText="1"/>
    </xf>
    <xf numFmtId="0" fontId="12" fillId="0" borderId="2" xfId="4" applyFont="1" applyBorder="1" applyAlignment="1">
      <alignment horizontal="right" vertical="center" wrapText="1"/>
    </xf>
    <xf numFmtId="3" fontId="14" fillId="0" borderId="2" xfId="4" applyNumberFormat="1" applyFont="1" applyFill="1" applyBorder="1" applyAlignment="1">
      <alignment horizontal="center"/>
    </xf>
    <xf numFmtId="0" fontId="17" fillId="0" borderId="2" xfId="79" applyFont="1" applyBorder="1" applyAlignment="1">
      <alignment horizontal="right" vertical="center"/>
    </xf>
    <xf numFmtId="0" fontId="12" fillId="5" borderId="4" xfId="4" applyFont="1" applyFill="1" applyBorder="1" applyAlignment="1">
      <alignment horizontal="center"/>
    </xf>
    <xf numFmtId="0" fontId="18" fillId="5" borderId="2" xfId="4" applyFont="1" applyFill="1" applyBorder="1" applyAlignment="1">
      <alignment horizontal="center" wrapText="1"/>
    </xf>
    <xf numFmtId="0" fontId="14" fillId="0" borderId="5" xfId="9" applyFont="1" applyFill="1" applyBorder="1" applyAlignment="1">
      <alignment horizontal="right" vertical="center" wrapText="1"/>
    </xf>
    <xf numFmtId="0" fontId="14" fillId="0" borderId="2" xfId="9" applyFont="1" applyFill="1" applyBorder="1" applyAlignment="1">
      <alignment horizontal="center" vertical="center"/>
    </xf>
    <xf numFmtId="0" fontId="14" fillId="0" borderId="2" xfId="9" applyFont="1" applyFill="1" applyBorder="1" applyAlignment="1">
      <alignment horizontal="right" vertical="center" wrapText="1"/>
    </xf>
    <xf numFmtId="0" fontId="14" fillId="0" borderId="2" xfId="9" applyFont="1" applyFill="1" applyBorder="1" applyAlignment="1">
      <alignment horizontal="center" vertical="center" wrapText="1"/>
    </xf>
    <xf numFmtId="3" fontId="13" fillId="0" borderId="9" xfId="8" applyNumberFormat="1" applyFont="1" applyFill="1" applyBorder="1" applyAlignment="1">
      <alignment horizontal="right"/>
    </xf>
    <xf numFmtId="166" fontId="13" fillId="8" borderId="2" xfId="8" applyNumberFormat="1" applyFont="1" applyFill="1" applyBorder="1" applyAlignment="1">
      <alignment horizontal="center" vertical="center" wrapText="1" readingOrder="2"/>
    </xf>
    <xf numFmtId="166" fontId="14" fillId="8" borderId="2" xfId="8" applyNumberFormat="1" applyFont="1" applyFill="1" applyBorder="1" applyAlignment="1">
      <alignment horizontal="center" vertical="center" wrapText="1" readingOrder="2"/>
    </xf>
    <xf numFmtId="0" fontId="13" fillId="0" borderId="2" xfId="16" applyFont="1" applyFill="1" applyBorder="1" applyAlignment="1">
      <alignment horizontal="right" vertical="center" wrapText="1"/>
    </xf>
    <xf numFmtId="0" fontId="13" fillId="0" borderId="3" xfId="16" applyNumberFormat="1" applyFont="1" applyFill="1" applyBorder="1" applyAlignment="1">
      <alignment horizontal="center" vertical="center" wrapText="1"/>
    </xf>
    <xf numFmtId="0" fontId="40" fillId="0" borderId="2" xfId="76" applyFont="1" applyFill="1" applyBorder="1" applyAlignment="1">
      <alignment horizontal="center" vertical="center"/>
    </xf>
    <xf numFmtId="0" fontId="13" fillId="0" borderId="8" xfId="16" applyNumberFormat="1" applyFont="1" applyFill="1" applyBorder="1" applyAlignment="1">
      <alignment horizontal="center" vertical="center" wrapText="1"/>
    </xf>
    <xf numFmtId="171" fontId="13" fillId="0" borderId="2" xfId="8" applyNumberFormat="1" applyFont="1" applyFill="1" applyBorder="1" applyAlignment="1">
      <alignment horizontal="center" vertical="center" wrapText="1"/>
    </xf>
    <xf numFmtId="166" fontId="13" fillId="0" borderId="2" xfId="8" applyNumberFormat="1" applyFont="1" applyFill="1" applyBorder="1" applyAlignment="1"/>
    <xf numFmtId="0" fontId="20" fillId="0" borderId="3" xfId="8" applyFont="1" applyFill="1" applyBorder="1" applyAlignment="1">
      <alignment horizontal="center" vertical="center" wrapText="1"/>
    </xf>
    <xf numFmtId="0" fontId="40" fillId="0" borderId="2" xfId="75" applyFont="1" applyFill="1" applyBorder="1" applyAlignment="1">
      <alignment horizontal="center" vertical="center"/>
    </xf>
    <xf numFmtId="165" fontId="20" fillId="0" borderId="8" xfId="8" applyNumberFormat="1" applyFont="1" applyFill="1" applyBorder="1" applyAlignment="1">
      <alignment horizontal="center" vertical="center" wrapText="1"/>
    </xf>
    <xf numFmtId="3" fontId="13" fillId="0" borderId="2" xfId="15" applyNumberFormat="1" applyFont="1" applyFill="1" applyBorder="1" applyAlignment="1">
      <alignment horizontal="center" vertical="center" wrapText="1"/>
    </xf>
    <xf numFmtId="0" fontId="20" fillId="0" borderId="4" xfId="9" applyNumberFormat="1" applyFont="1" applyFill="1" applyBorder="1" applyAlignment="1">
      <alignment horizontal="right" vertical="center" wrapText="1" readingOrder="2"/>
    </xf>
    <xf numFmtId="0" fontId="20" fillId="0" borderId="5" xfId="9" applyNumberFormat="1" applyFont="1" applyFill="1" applyBorder="1" applyAlignment="1">
      <alignment horizontal="center" vertical="center"/>
    </xf>
    <xf numFmtId="165" fontId="20" fillId="0" borderId="12" xfId="9" applyNumberFormat="1" applyFont="1" applyFill="1" applyBorder="1" applyAlignment="1">
      <alignment horizontal="center" vertical="center" wrapText="1"/>
    </xf>
    <xf numFmtId="0" fontId="13" fillId="0" borderId="2" xfId="77" applyFill="1" applyBorder="1" applyAlignment="1">
      <alignment horizontal="right" vertical="center" wrapText="1"/>
    </xf>
    <xf numFmtId="0" fontId="13" fillId="0" borderId="3" xfId="77" applyNumberFormat="1" applyFill="1" applyBorder="1" applyAlignment="1">
      <alignment horizontal="center" vertical="center" wrapText="1"/>
    </xf>
    <xf numFmtId="0" fontId="13" fillId="0" borderId="8" xfId="77" applyNumberFormat="1" applyFill="1" applyBorder="1" applyAlignment="1">
      <alignment horizontal="center" vertical="center" wrapText="1"/>
    </xf>
    <xf numFmtId="0" fontId="13" fillId="0" borderId="3" xfId="76" applyFont="1" applyFill="1" applyBorder="1" applyAlignment="1">
      <alignment horizontal="center" vertical="center"/>
    </xf>
    <xf numFmtId="165" fontId="20" fillId="0" borderId="8" xfId="9" applyNumberFormat="1" applyFont="1" applyFill="1" applyBorder="1" applyAlignment="1">
      <alignment horizontal="center" vertical="center" wrapText="1"/>
    </xf>
    <xf numFmtId="0" fontId="13" fillId="0" borderId="2" xfId="16" applyFill="1" applyBorder="1" applyAlignment="1">
      <alignment horizontal="right" vertical="center" wrapText="1"/>
    </xf>
    <xf numFmtId="0" fontId="13" fillId="0" borderId="7" xfId="16" applyFont="1" applyFill="1" applyBorder="1" applyAlignment="1">
      <alignment horizontal="right" vertical="center" wrapText="1"/>
    </xf>
    <xf numFmtId="0" fontId="13" fillId="0" borderId="11" xfId="16" applyNumberFormat="1" applyFont="1" applyFill="1" applyBorder="1" applyAlignment="1">
      <alignment horizontal="center" vertical="center" wrapText="1"/>
    </xf>
    <xf numFmtId="0" fontId="20" fillId="0" borderId="3" xfId="9" applyFont="1" applyFill="1" applyBorder="1" applyAlignment="1">
      <alignment horizontal="center" vertical="center" wrapText="1"/>
    </xf>
    <xf numFmtId="166" fontId="20" fillId="0" borderId="2" xfId="8" applyNumberFormat="1" applyFont="1" applyFill="1" applyBorder="1" applyAlignment="1">
      <alignment horizontal="center" vertical="center" wrapText="1"/>
    </xf>
    <xf numFmtId="0" fontId="20" fillId="0" borderId="5" xfId="15" applyFont="1" applyFill="1" applyBorder="1" applyAlignment="1">
      <alignment horizontal="center" vertical="center" wrapText="1"/>
    </xf>
    <xf numFmtId="165" fontId="20" fillId="0" borderId="12" xfId="15" applyNumberFormat="1" applyFont="1" applyFill="1" applyBorder="1" applyAlignment="1">
      <alignment horizontal="center" vertical="center" wrapText="1"/>
    </xf>
    <xf numFmtId="3" fontId="13" fillId="0" borderId="4" xfId="15" applyNumberFormat="1" applyFont="1" applyFill="1" applyBorder="1" applyAlignment="1">
      <alignment horizontal="center" vertical="center" wrapText="1"/>
    </xf>
    <xf numFmtId="0" fontId="20" fillId="0" borderId="3" xfId="15" applyFont="1" applyFill="1" applyBorder="1" applyAlignment="1">
      <alignment horizontal="center" vertical="center" wrapText="1"/>
    </xf>
    <xf numFmtId="165" fontId="20" fillId="0" borderId="8" xfId="15" applyNumberFormat="1" applyFont="1" applyFill="1" applyBorder="1" applyAlignment="1">
      <alignment horizontal="center" vertical="center" wrapText="1"/>
    </xf>
    <xf numFmtId="166" fontId="13" fillId="0" borderId="4" xfId="8" applyNumberFormat="1" applyFont="1" applyFill="1" applyBorder="1" applyAlignment="1"/>
    <xf numFmtId="164" fontId="13" fillId="0" borderId="0" xfId="8" applyNumberFormat="1" applyFill="1" applyAlignment="1"/>
    <xf numFmtId="166" fontId="13" fillId="0" borderId="0" xfId="8" applyNumberFormat="1" applyFill="1" applyBorder="1" applyAlignment="1"/>
    <xf numFmtId="0" fontId="20" fillId="0" borderId="4" xfId="9" applyFont="1" applyFill="1" applyBorder="1" applyAlignment="1">
      <alignment horizontal="right" vertical="center" wrapText="1"/>
    </xf>
    <xf numFmtId="0" fontId="13" fillId="0" borderId="2" xfId="9" applyFont="1" applyFill="1" applyBorder="1" applyAlignment="1">
      <alignment horizontal="right" vertical="center" wrapText="1"/>
    </xf>
    <xf numFmtId="0" fontId="20" fillId="0" borderId="7" xfId="9" applyFont="1" applyFill="1" applyBorder="1" applyAlignment="1">
      <alignment horizontal="center" vertical="center" wrapText="1"/>
    </xf>
    <xf numFmtId="165" fontId="21" fillId="0" borderId="7" xfId="9" applyNumberFormat="1" applyFont="1" applyFill="1" applyBorder="1" applyAlignment="1">
      <alignment horizontal="center" vertical="center" wrapText="1"/>
    </xf>
    <xf numFmtId="165" fontId="20" fillId="0" borderId="7" xfId="9" applyNumberFormat="1" applyFont="1" applyFill="1" applyBorder="1" applyAlignment="1">
      <alignment horizontal="center" vertical="center" wrapText="1"/>
    </xf>
    <xf numFmtId="168" fontId="20" fillId="0" borderId="7" xfId="8" applyNumberFormat="1" applyFont="1" applyFill="1" applyBorder="1" applyAlignment="1">
      <alignment horizontal="right" vertical="center" wrapText="1"/>
    </xf>
    <xf numFmtId="0" fontId="13" fillId="0" borderId="2" xfId="9" applyFill="1" applyBorder="1" applyAlignment="1">
      <alignment horizontal="center" vertical="center"/>
    </xf>
    <xf numFmtId="168" fontId="13" fillId="0" borderId="2" xfId="9" applyNumberFormat="1" applyFont="1" applyFill="1" applyBorder="1" applyAlignment="1">
      <alignment horizontal="right" vertical="center" wrapText="1"/>
    </xf>
    <xf numFmtId="168" fontId="20" fillId="0" borderId="2" xfId="8" applyNumberFormat="1" applyFont="1" applyFill="1" applyBorder="1" applyAlignment="1">
      <alignment horizontal="right" vertical="center"/>
    </xf>
    <xf numFmtId="0" fontId="20" fillId="0" borderId="4" xfId="9" applyFont="1" applyFill="1" applyBorder="1" applyAlignment="1">
      <alignment horizontal="center" vertical="center" wrapText="1"/>
    </xf>
    <xf numFmtId="165" fontId="21" fillId="0" borderId="4" xfId="9" applyNumberFormat="1" applyFont="1" applyFill="1" applyBorder="1" applyAlignment="1">
      <alignment horizontal="center" vertical="center" wrapText="1"/>
    </xf>
    <xf numFmtId="165" fontId="20" fillId="0" borderId="4" xfId="9" applyNumberFormat="1" applyFont="1" applyFill="1" applyBorder="1" applyAlignment="1">
      <alignment horizontal="center" vertical="center" wrapText="1"/>
    </xf>
    <xf numFmtId="0" fontId="20" fillId="0" borderId="2" xfId="9" applyFont="1" applyFill="1" applyBorder="1" applyAlignment="1">
      <alignment horizontal="center" vertical="center" wrapText="1" readingOrder="2"/>
    </xf>
    <xf numFmtId="0" fontId="13" fillId="0" borderId="2" xfId="15" applyFont="1" applyFill="1" applyBorder="1" applyAlignment="1">
      <alignment horizontal="center" vertical="center" wrapText="1" readingOrder="2"/>
    </xf>
    <xf numFmtId="0" fontId="20" fillId="0" borderId="2" xfId="9" applyFont="1" applyFill="1" applyBorder="1" applyAlignment="1">
      <alignment horizontal="center" vertical="center"/>
    </xf>
    <xf numFmtId="0" fontId="43" fillId="0" borderId="2" xfId="77" applyNumberFormat="1" applyFont="1" applyFill="1" applyBorder="1" applyAlignment="1">
      <alignment horizontal="center" vertical="center" wrapText="1"/>
    </xf>
    <xf numFmtId="0" fontId="20" fillId="0" borderId="2" xfId="23" applyFont="1" applyFill="1" applyBorder="1" applyAlignment="1">
      <alignment horizontal="right" vertical="center" wrapText="1"/>
    </xf>
    <xf numFmtId="0" fontId="20" fillId="0" borderId="2" xfId="23" applyFont="1" applyFill="1" applyBorder="1" applyAlignment="1">
      <alignment horizontal="center" vertical="center"/>
    </xf>
    <xf numFmtId="165" fontId="21" fillId="0" borderId="2" xfId="23" applyNumberFormat="1" applyFont="1" applyFill="1" applyBorder="1" applyAlignment="1">
      <alignment horizontal="center" vertical="center" wrapText="1"/>
    </xf>
    <xf numFmtId="165" fontId="20" fillId="0" borderId="2" xfId="23" applyNumberFormat="1" applyFont="1" applyFill="1" applyBorder="1" applyAlignment="1">
      <alignment horizontal="center" vertical="center" wrapText="1"/>
    </xf>
    <xf numFmtId="49" fontId="20" fillId="0" borderId="2" xfId="8" applyNumberFormat="1" applyFont="1" applyFill="1" applyBorder="1" applyAlignment="1">
      <alignment horizontal="right" vertical="center" wrapText="1"/>
    </xf>
    <xf numFmtId="166" fontId="13" fillId="0" borderId="8" xfId="8" applyNumberFormat="1" applyFont="1" applyFill="1" applyBorder="1" applyAlignment="1">
      <alignment horizontal="right" vertical="center" wrapText="1" readingOrder="2"/>
    </xf>
    <xf numFmtId="0" fontId="13" fillId="0" borderId="4" xfId="9" applyFill="1" applyBorder="1" applyAlignment="1">
      <alignment horizontal="center" vertical="center"/>
    </xf>
    <xf numFmtId="1" fontId="21" fillId="0" borderId="2" xfId="9" applyNumberFormat="1" applyFont="1" applyFill="1" applyBorder="1" applyAlignment="1">
      <alignment horizontal="center" vertical="center" wrapText="1"/>
    </xf>
    <xf numFmtId="0" fontId="13" fillId="0" borderId="4" xfId="8" applyFill="1" applyBorder="1" applyAlignment="1">
      <alignment horizontal="center" vertical="center"/>
    </xf>
    <xf numFmtId="0" fontId="13" fillId="0" borderId="2" xfId="23" applyFont="1" applyFill="1" applyBorder="1" applyAlignment="1">
      <alignment horizontal="right" vertical="center" wrapText="1"/>
    </xf>
    <xf numFmtId="0" fontId="13" fillId="0" borderId="2" xfId="9" applyFill="1" applyBorder="1" applyAlignment="1">
      <alignment horizontal="right" vertical="center" wrapText="1"/>
    </xf>
    <xf numFmtId="3" fontId="13" fillId="0" borderId="12" xfId="8" applyNumberFormat="1" applyFont="1" applyFill="1" applyBorder="1" applyAlignment="1">
      <alignment horizontal="right" vertical="center" wrapText="1" readingOrder="2"/>
    </xf>
    <xf numFmtId="166" fontId="13" fillId="0" borderId="0" xfId="8" applyNumberFormat="1" applyFont="1" applyFill="1" applyBorder="1" applyAlignment="1">
      <alignment horizontal="center" vertical="center" wrapText="1"/>
    </xf>
    <xf numFmtId="166" fontId="13" fillId="0" borderId="2" xfId="8" applyNumberFormat="1" applyFont="1" applyFill="1" applyBorder="1" applyAlignment="1">
      <alignment horizontal="center" vertical="center" wrapText="1" readingOrder="2"/>
    </xf>
    <xf numFmtId="0" fontId="13" fillId="0" borderId="2" xfId="9" applyFill="1" applyBorder="1"/>
    <xf numFmtId="3" fontId="13" fillId="0" borderId="0" xfId="8" applyNumberFormat="1" applyAlignment="1"/>
    <xf numFmtId="0" fontId="14" fillId="0" borderId="8" xfId="8" applyFont="1" applyFill="1" applyBorder="1" applyAlignment="1">
      <alignment horizontal="right"/>
    </xf>
    <xf numFmtId="0" fontId="13" fillId="0" borderId="2" xfId="15" applyFont="1" applyFill="1" applyBorder="1" applyAlignment="1">
      <alignment horizontal="right" vertical="center" wrapText="1"/>
    </xf>
    <xf numFmtId="0" fontId="13" fillId="0" borderId="2" xfId="15" applyFont="1" applyFill="1" applyBorder="1" applyAlignment="1">
      <alignment horizontal="right" vertical="center" wrapText="1" readingOrder="2"/>
    </xf>
    <xf numFmtId="164" fontId="20" fillId="0" borderId="2" xfId="15" applyNumberFormat="1" applyFont="1" applyFill="1" applyBorder="1" applyAlignment="1">
      <alignment horizontal="center" vertical="center" wrapText="1"/>
    </xf>
    <xf numFmtId="3" fontId="13" fillId="0" borderId="2" xfId="8" applyNumberFormat="1" applyFill="1" applyBorder="1" applyAlignment="1">
      <alignment horizontal="right" vertical="center" wrapText="1" readingOrder="2"/>
    </xf>
    <xf numFmtId="166" fontId="13" fillId="0" borderId="4" xfId="8" applyNumberFormat="1" applyFont="1" applyFill="1" applyBorder="1" applyAlignment="1">
      <alignment horizontal="center" vertical="center" wrapText="1" readingOrder="2"/>
    </xf>
    <xf numFmtId="168" fontId="20" fillId="0" borderId="2" xfId="8" applyNumberFormat="1" applyFont="1" applyFill="1" applyBorder="1" applyAlignment="1">
      <alignment horizontal="center" vertical="center" wrapText="1" readingOrder="2"/>
    </xf>
    <xf numFmtId="0" fontId="28" fillId="0" borderId="2" xfId="83" applyFont="1" applyFill="1" applyBorder="1" applyAlignment="1">
      <alignment horizontal="right" vertical="center"/>
    </xf>
    <xf numFmtId="3" fontId="13" fillId="0" borderId="2" xfId="8" applyNumberFormat="1" applyFill="1" applyBorder="1" applyAlignment="1">
      <alignment horizontal="center" vertical="center" wrapText="1" readingOrder="2"/>
    </xf>
    <xf numFmtId="0" fontId="20" fillId="0" borderId="4" xfId="8" applyNumberFormat="1" applyFont="1" applyFill="1" applyBorder="1" applyAlignment="1">
      <alignment horizontal="center" vertical="center" wrapText="1"/>
    </xf>
    <xf numFmtId="0" fontId="13" fillId="32" borderId="0" xfId="4" applyFill="1"/>
    <xf numFmtId="0" fontId="39" fillId="0" borderId="0" xfId="4" applyFont="1" applyBorder="1" applyAlignment="1">
      <alignment horizontal="center"/>
    </xf>
    <xf numFmtId="3" fontId="12" fillId="6" borderId="2" xfId="4" quotePrefix="1" applyNumberFormat="1" applyFont="1" applyFill="1" applyBorder="1" applyAlignment="1">
      <alignment horizontal="center"/>
    </xf>
    <xf numFmtId="0" fontId="53" fillId="6" borderId="2" xfId="4" quotePrefix="1" applyFont="1" applyFill="1" applyBorder="1" applyAlignment="1">
      <alignment horizontal="right" wrapText="1"/>
    </xf>
    <xf numFmtId="3" fontId="12" fillId="0" borderId="2" xfId="4" applyNumberFormat="1" applyFont="1" applyFill="1" applyBorder="1" applyAlignment="1">
      <alignment horizontal="center"/>
    </xf>
    <xf numFmtId="164" fontId="14" fillId="0" borderId="0" xfId="8" applyNumberFormat="1" applyFont="1" applyFill="1" applyAlignment="1"/>
    <xf numFmtId="164" fontId="13" fillId="0" borderId="0" xfId="8" applyNumberFormat="1" applyFont="1" applyFill="1" applyAlignment="1"/>
    <xf numFmtId="0" fontId="40" fillId="0" borderId="2" xfId="8" applyFont="1" applyFill="1" applyBorder="1" applyAlignment="1">
      <alignment horizontal="center" vertical="center" wrapText="1" shrinkToFit="1"/>
    </xf>
    <xf numFmtId="3" fontId="29" fillId="0" borderId="2" xfId="8" applyNumberFormat="1" applyFont="1" applyFill="1" applyBorder="1" applyAlignment="1">
      <alignment horizontal="center" vertical="center"/>
    </xf>
    <xf numFmtId="0" fontId="13" fillId="7" borderId="0" xfId="8" applyFill="1" applyBorder="1" applyAlignment="1"/>
    <xf numFmtId="0" fontId="13" fillId="0" borderId="2" xfId="8" applyNumberFormat="1" applyFont="1" applyFill="1" applyBorder="1" applyAlignment="1">
      <alignment horizontal="center" vertical="center" wrapText="1" shrinkToFit="1"/>
    </xf>
    <xf numFmtId="0" fontId="13" fillId="0" borderId="8" xfId="8" applyFill="1" applyBorder="1" applyAlignment="1"/>
    <xf numFmtId="0" fontId="13" fillId="5" borderId="2" xfId="4" applyFont="1" applyFill="1" applyBorder="1"/>
    <xf numFmtId="0" fontId="12" fillId="0" borderId="2" xfId="4" applyFont="1" applyFill="1" applyBorder="1" applyAlignment="1">
      <alignment horizontal="center" vertical="center" wrapText="1"/>
    </xf>
    <xf numFmtId="0" fontId="12" fillId="0" borderId="2" xfId="4" applyFont="1" applyFill="1" applyBorder="1" applyAlignment="1">
      <alignment horizontal="right" vertical="center" wrapText="1" readingOrder="2"/>
    </xf>
    <xf numFmtId="0" fontId="12" fillId="0" borderId="7" xfId="4" applyFont="1" applyFill="1" applyBorder="1" applyAlignment="1">
      <alignment horizontal="right" vertical="center" wrapText="1" readingOrder="2"/>
    </xf>
    <xf numFmtId="0" fontId="20" fillId="2" borderId="0" xfId="4" applyFont="1" applyFill="1" applyAlignment="1"/>
    <xf numFmtId="3" fontId="20" fillId="2" borderId="0" xfId="4" applyNumberFormat="1" applyFont="1" applyFill="1" applyAlignment="1"/>
    <xf numFmtId="3" fontId="12" fillId="0" borderId="0" xfId="4" applyNumberFormat="1" applyFont="1" applyBorder="1" applyAlignment="1"/>
    <xf numFmtId="3" fontId="12" fillId="2" borderId="0" xfId="4" applyNumberFormat="1" applyFont="1" applyFill="1" applyBorder="1" applyAlignment="1"/>
    <xf numFmtId="1" fontId="12" fillId="0" borderId="2" xfId="4" applyNumberFormat="1" applyFont="1" applyBorder="1" applyAlignment="1">
      <alignment horizontal="center" wrapText="1"/>
    </xf>
    <xf numFmtId="3" fontId="12" fillId="0" borderId="3" xfId="4" applyNumberFormat="1" applyFont="1" applyBorder="1" applyAlignment="1"/>
    <xf numFmtId="1" fontId="12" fillId="6" borderId="7" xfId="4" applyNumberFormat="1" applyFont="1" applyFill="1" applyBorder="1" applyAlignment="1">
      <alignment horizontal="center" wrapText="1"/>
    </xf>
    <xf numFmtId="3" fontId="69" fillId="31" borderId="0" xfId="4" applyNumberFormat="1" applyFont="1" applyFill="1" applyAlignment="1"/>
    <xf numFmtId="3" fontId="69" fillId="31" borderId="2" xfId="4" applyNumberFormat="1" applyFont="1" applyFill="1" applyBorder="1" applyAlignment="1"/>
    <xf numFmtId="3" fontId="12" fillId="2" borderId="0" xfId="4" applyNumberFormat="1" applyFont="1" applyFill="1" applyAlignment="1"/>
    <xf numFmtId="3" fontId="69" fillId="31" borderId="4" xfId="4" applyNumberFormat="1" applyFont="1" applyFill="1" applyBorder="1" applyAlignment="1"/>
    <xf numFmtId="1" fontId="69" fillId="31" borderId="4" xfId="4" applyNumberFormat="1" applyFont="1" applyFill="1" applyBorder="1" applyAlignment="1"/>
    <xf numFmtId="3" fontId="12" fillId="2" borderId="0" xfId="4" applyNumberFormat="1" applyFont="1" applyFill="1" applyBorder="1" applyAlignment="1">
      <alignment horizontal="center" wrapText="1"/>
    </xf>
    <xf numFmtId="3" fontId="20" fillId="5" borderId="2" xfId="4" applyNumberFormat="1" applyFont="1" applyFill="1" applyBorder="1" applyAlignment="1"/>
    <xf numFmtId="3" fontId="18" fillId="5" borderId="2" xfId="4" applyNumberFormat="1" applyFont="1" applyFill="1" applyBorder="1" applyAlignment="1">
      <alignment horizontal="center" wrapText="1"/>
    </xf>
    <xf numFmtId="1" fontId="79" fillId="5" borderId="2" xfId="4" applyNumberFormat="1" applyFont="1" applyFill="1" applyBorder="1" applyAlignment="1"/>
    <xf numFmtId="3" fontId="13" fillId="5" borderId="2" xfId="4" applyNumberFormat="1" applyFill="1" applyBorder="1" applyAlignment="1"/>
    <xf numFmtId="3" fontId="13" fillId="5" borderId="0" xfId="4" applyNumberFormat="1" applyFill="1"/>
    <xf numFmtId="3" fontId="13" fillId="5" borderId="7" xfId="4" applyNumberFormat="1" applyFill="1" applyBorder="1"/>
    <xf numFmtId="3" fontId="65" fillId="5" borderId="7" xfId="4" applyNumberFormat="1" applyFont="1" applyFill="1" applyBorder="1" applyAlignment="1">
      <alignment horizontal="right"/>
    </xf>
    <xf numFmtId="1" fontId="65" fillId="5" borderId="7" xfId="4" applyNumberFormat="1" applyFont="1" applyFill="1" applyBorder="1" applyAlignment="1">
      <alignment horizontal="right"/>
    </xf>
    <xf numFmtId="3" fontId="12" fillId="0" borderId="0" xfId="4" applyNumberFormat="1" applyFont="1" applyAlignment="1"/>
    <xf numFmtId="3" fontId="12" fillId="6" borderId="0" xfId="4" applyNumberFormat="1" applyFont="1" applyFill="1" applyAlignment="1"/>
    <xf numFmtId="3" fontId="12" fillId="6" borderId="2" xfId="4" applyNumberFormat="1" applyFont="1" applyFill="1" applyBorder="1" applyAlignment="1"/>
    <xf numFmtId="1" fontId="12" fillId="6" borderId="2" xfId="4" applyNumberFormat="1" applyFont="1" applyFill="1" applyBorder="1" applyAlignment="1">
      <alignment horizontal="center" wrapText="1"/>
    </xf>
    <xf numFmtId="1" fontId="12" fillId="6" borderId="4" xfId="4" applyNumberFormat="1" applyFont="1" applyFill="1" applyBorder="1" applyAlignment="1">
      <alignment horizontal="center" wrapText="1"/>
    </xf>
    <xf numFmtId="3" fontId="12" fillId="31" borderId="0" xfId="4" applyNumberFormat="1" applyFont="1" applyFill="1" applyAlignment="1"/>
    <xf numFmtId="3" fontId="12" fillId="31" borderId="2" xfId="4" applyNumberFormat="1" applyFont="1" applyFill="1" applyBorder="1" applyAlignment="1"/>
    <xf numFmtId="3" fontId="12" fillId="31" borderId="3" xfId="4" applyNumberFormat="1" applyFont="1" applyFill="1" applyBorder="1" applyAlignment="1"/>
    <xf numFmtId="1" fontId="12" fillId="0" borderId="4" xfId="4" applyNumberFormat="1" applyFont="1" applyBorder="1" applyAlignment="1">
      <alignment horizontal="center" wrapText="1"/>
    </xf>
    <xf numFmtId="3" fontId="12" fillId="31" borderId="9" xfId="4" applyNumberFormat="1" applyFont="1" applyFill="1" applyBorder="1" applyAlignment="1"/>
    <xf numFmtId="1" fontId="80" fillId="31" borderId="9" xfId="4" applyNumberFormat="1" applyFont="1" applyFill="1" applyBorder="1" applyAlignment="1">
      <alignment horizontal="center" wrapText="1"/>
    </xf>
    <xf numFmtId="3" fontId="12" fillId="2" borderId="3" xfId="4" applyNumberFormat="1" applyFont="1" applyFill="1" applyBorder="1" applyAlignment="1"/>
    <xf numFmtId="3" fontId="12" fillId="0" borderId="7" xfId="4" applyNumberFormat="1" applyFont="1" applyBorder="1" applyAlignment="1"/>
    <xf numFmtId="1" fontId="12" fillId="0" borderId="10" xfId="4" applyNumberFormat="1" applyFont="1" applyBorder="1" applyAlignment="1">
      <alignment horizontal="center" wrapText="1"/>
    </xf>
    <xf numFmtId="1" fontId="12" fillId="0" borderId="9" xfId="4" applyNumberFormat="1" applyFont="1" applyBorder="1" applyAlignment="1">
      <alignment horizontal="center" wrapText="1"/>
    </xf>
    <xf numFmtId="0" fontId="14" fillId="0" borderId="9" xfId="8" applyFont="1" applyFill="1" applyBorder="1" applyAlignment="1">
      <alignment horizontal="center" vertical="center" wrapText="1"/>
    </xf>
    <xf numFmtId="3" fontId="14" fillId="0" borderId="2" xfId="4" applyNumberFormat="1" applyFont="1" applyBorder="1" applyAlignment="1"/>
    <xf numFmtId="3" fontId="12" fillId="7" borderId="2" xfId="4" applyNumberFormat="1" applyFont="1" applyFill="1" applyBorder="1" applyAlignment="1">
      <alignment horizontal="center" wrapText="1"/>
    </xf>
    <xf numFmtId="3" fontId="53" fillId="6" borderId="9" xfId="4" applyNumberFormat="1" applyFont="1" applyFill="1" applyBorder="1" applyAlignment="1">
      <alignment horizontal="right" wrapText="1"/>
    </xf>
    <xf numFmtId="3" fontId="12" fillId="31" borderId="19" xfId="4" applyNumberFormat="1" applyFont="1" applyFill="1" applyBorder="1" applyAlignment="1"/>
    <xf numFmtId="3" fontId="12" fillId="31" borderId="11" xfId="4" applyNumberFormat="1" applyFont="1" applyFill="1" applyBorder="1" applyAlignment="1"/>
    <xf numFmtId="3" fontId="53" fillId="6" borderId="19" xfId="4" applyNumberFormat="1" applyFont="1" applyFill="1" applyBorder="1" applyAlignment="1">
      <alignment horizontal="right" wrapText="1"/>
    </xf>
    <xf numFmtId="3" fontId="12" fillId="2" borderId="3" xfId="4" applyNumberFormat="1" applyFont="1" applyFill="1" applyBorder="1" applyAlignment="1">
      <alignment horizontal="center" wrapText="1"/>
    </xf>
    <xf numFmtId="3" fontId="12" fillId="2" borderId="2" xfId="4" applyNumberFormat="1" applyFont="1" applyFill="1" applyBorder="1" applyAlignment="1">
      <alignment horizontal="center" wrapText="1"/>
    </xf>
    <xf numFmtId="3" fontId="20" fillId="31" borderId="2" xfId="4" applyNumberFormat="1" applyFont="1" applyFill="1" applyBorder="1" applyAlignment="1">
      <alignment horizontal="center" wrapText="1"/>
    </xf>
    <xf numFmtId="3" fontId="20" fillId="2" borderId="2" xfId="4" applyNumberFormat="1" applyFont="1" applyFill="1" applyBorder="1" applyAlignment="1">
      <alignment horizontal="center" wrapText="1"/>
    </xf>
    <xf numFmtId="3" fontId="20" fillId="31" borderId="3" xfId="4" applyNumberFormat="1" applyFont="1" applyFill="1" applyBorder="1" applyAlignment="1">
      <alignment horizontal="center" wrapText="1"/>
    </xf>
    <xf numFmtId="3" fontId="20" fillId="5" borderId="0" xfId="4" applyNumberFormat="1" applyFont="1" applyFill="1"/>
    <xf numFmtId="3" fontId="10" fillId="5" borderId="4" xfId="4" applyNumberFormat="1" applyFont="1" applyFill="1" applyBorder="1" applyAlignment="1">
      <alignment horizontal="center" vertical="center" wrapText="1"/>
    </xf>
    <xf numFmtId="3" fontId="20" fillId="2" borderId="0" xfId="4" applyNumberFormat="1" applyFont="1" applyFill="1"/>
    <xf numFmtId="3" fontId="10" fillId="5" borderId="5" xfId="4" applyNumberFormat="1" applyFont="1" applyFill="1" applyBorder="1" applyAlignment="1">
      <alignment horizontal="center" vertical="center" wrapText="1"/>
    </xf>
    <xf numFmtId="0" fontId="13" fillId="28" borderId="2" xfId="4" applyFill="1" applyBorder="1"/>
    <xf numFmtId="3" fontId="47" fillId="28" borderId="2" xfId="4" applyNumberFormat="1" applyFont="1" applyFill="1" applyBorder="1" applyAlignment="1">
      <alignment horizontal="center" vertical="center" wrapText="1"/>
    </xf>
    <xf numFmtId="3" fontId="10" fillId="28" borderId="2" xfId="4" applyNumberFormat="1" applyFont="1" applyFill="1" applyBorder="1" applyAlignment="1">
      <alignment horizontal="center" vertical="center" wrapText="1"/>
    </xf>
    <xf numFmtId="0" fontId="81" fillId="2" borderId="0" xfId="4" applyFont="1" applyFill="1"/>
    <xf numFmtId="3" fontId="48" fillId="28" borderId="2" xfId="4" applyNumberFormat="1" applyFont="1" applyFill="1" applyBorder="1" applyAlignment="1">
      <alignment horizontal="center" vertical="center" wrapText="1"/>
    </xf>
    <xf numFmtId="0" fontId="11" fillId="28" borderId="2" xfId="4" applyFont="1" applyFill="1" applyBorder="1" applyAlignment="1">
      <alignment horizontal="center" vertical="center" wrapText="1"/>
    </xf>
    <xf numFmtId="3" fontId="10" fillId="4" borderId="2" xfId="4" applyNumberFormat="1" applyFont="1" applyFill="1" applyBorder="1" applyAlignment="1">
      <alignment horizontal="center" vertical="center" wrapText="1"/>
    </xf>
    <xf numFmtId="0" fontId="20" fillId="2" borderId="2" xfId="4" applyFont="1" applyFill="1" applyBorder="1" applyAlignment="1"/>
    <xf numFmtId="170" fontId="13" fillId="0" borderId="8" xfId="8" applyNumberFormat="1" applyFont="1" applyFill="1" applyBorder="1" applyAlignment="1">
      <alignment horizontal="right"/>
    </xf>
    <xf numFmtId="0" fontId="20" fillId="0" borderId="2" xfId="15" applyNumberFormat="1" applyFont="1" applyFill="1" applyBorder="1" applyAlignment="1">
      <alignment horizontal="right" vertical="center" wrapText="1"/>
    </xf>
    <xf numFmtId="0" fontId="20" fillId="0" borderId="2" xfId="15" applyNumberFormat="1" applyFont="1" applyFill="1" applyBorder="1" applyAlignment="1">
      <alignment horizontal="center" vertical="center"/>
    </xf>
    <xf numFmtId="0" fontId="20" fillId="0" borderId="2" xfId="8" quotePrefix="1" applyNumberFormat="1" applyFont="1" applyFill="1" applyBorder="1" applyAlignment="1">
      <alignment horizontal="right" vertical="center" wrapText="1"/>
    </xf>
    <xf numFmtId="0" fontId="14" fillId="0" borderId="2" xfId="8" applyNumberFormat="1" applyFont="1" applyFill="1" applyBorder="1" applyAlignment="1">
      <alignment horizontal="right" vertical="center" wrapText="1" readingOrder="2"/>
    </xf>
    <xf numFmtId="0" fontId="40" fillId="0" borderId="2" xfId="8" applyFont="1" applyFill="1" applyBorder="1" applyAlignment="1">
      <alignment horizontal="center" vertical="center"/>
    </xf>
    <xf numFmtId="164" fontId="13" fillId="0" borderId="2" xfId="8" applyNumberFormat="1" applyFont="1" applyFill="1" applyBorder="1" applyAlignment="1">
      <alignment horizontal="right" vertical="center" wrapText="1" readingOrder="2"/>
    </xf>
    <xf numFmtId="0" fontId="13" fillId="0" borderId="4" xfId="15" applyNumberFormat="1" applyFont="1" applyFill="1" applyBorder="1" applyAlignment="1">
      <alignment horizontal="right" vertical="center" wrapText="1"/>
    </xf>
    <xf numFmtId="165" fontId="20" fillId="0" borderId="4" xfId="73" applyNumberFormat="1" applyFont="1" applyFill="1" applyBorder="1" applyAlignment="1">
      <alignment horizontal="right" vertical="center" wrapText="1"/>
    </xf>
    <xf numFmtId="3" fontId="13" fillId="0" borderId="4" xfId="8" applyNumberFormat="1" applyFont="1" applyFill="1" applyBorder="1" applyAlignment="1">
      <alignment horizontal="right" vertical="center" wrapText="1" readingOrder="2"/>
    </xf>
    <xf numFmtId="0" fontId="20" fillId="0" borderId="4" xfId="8" applyNumberFormat="1" applyFont="1" applyFill="1" applyBorder="1" applyAlignment="1">
      <alignment horizontal="center" vertical="center"/>
    </xf>
    <xf numFmtId="1" fontId="40" fillId="0" borderId="2" xfId="15" applyNumberFormat="1" applyFont="1" applyFill="1" applyBorder="1" applyAlignment="1">
      <alignment horizontal="center" vertical="center"/>
    </xf>
    <xf numFmtId="3" fontId="13" fillId="0" borderId="12" xfId="8" applyNumberFormat="1" applyFont="1" applyFill="1" applyBorder="1" applyAlignment="1">
      <alignment horizontal="right" vertical="center" wrapText="1"/>
    </xf>
    <xf numFmtId="0" fontId="20" fillId="0" borderId="4" xfId="8" applyNumberFormat="1" applyFont="1" applyFill="1" applyBorder="1" applyAlignment="1">
      <alignment horizontal="right" vertical="center" wrapText="1" readingOrder="2"/>
    </xf>
    <xf numFmtId="0" fontId="20" fillId="0" borderId="2" xfId="15" applyFont="1" applyFill="1" applyBorder="1" applyAlignment="1">
      <alignment horizontal="center" vertical="center"/>
    </xf>
    <xf numFmtId="3" fontId="13" fillId="0" borderId="4" xfId="15" applyNumberFormat="1" applyFont="1" applyFill="1" applyBorder="1" applyAlignment="1">
      <alignment horizontal="center" vertical="center"/>
    </xf>
    <xf numFmtId="0" fontId="13" fillId="0" borderId="4" xfId="8" applyFill="1" applyBorder="1" applyAlignment="1">
      <alignment horizontal="right" vertical="center" wrapText="1"/>
    </xf>
    <xf numFmtId="0" fontId="20" fillId="0" borderId="2" xfId="15" applyFont="1" applyFill="1" applyBorder="1" applyAlignment="1">
      <alignment horizontal="right" vertical="center" wrapText="1" readingOrder="2"/>
    </xf>
    <xf numFmtId="0" fontId="22" fillId="0" borderId="0" xfId="15" applyFill="1"/>
    <xf numFmtId="0" fontId="19" fillId="0" borderId="0" xfId="73" applyFill="1"/>
    <xf numFmtId="0" fontId="20" fillId="0" borderId="2" xfId="8" applyNumberFormat="1" applyFont="1" applyFill="1" applyBorder="1" applyAlignment="1">
      <alignment horizontal="center" vertical="center" wrapText="1" readingOrder="2"/>
    </xf>
    <xf numFmtId="49" fontId="13" fillId="0" borderId="2" xfId="8" applyNumberFormat="1" applyFill="1" applyBorder="1" applyAlignment="1">
      <alignment horizontal="right" vertical="center" wrapText="1" shrinkToFit="1"/>
    </xf>
    <xf numFmtId="0" fontId="82" fillId="0" borderId="2" xfId="79" applyFont="1" applyFill="1" applyBorder="1" applyAlignment="1">
      <alignment horizontal="center" vertical="center" readingOrder="1"/>
    </xf>
    <xf numFmtId="0" fontId="82" fillId="0" borderId="4" xfId="79" applyFont="1" applyFill="1" applyBorder="1" applyAlignment="1">
      <alignment horizontal="center" vertical="center" readingOrder="1"/>
    </xf>
    <xf numFmtId="3" fontId="29" fillId="0" borderId="8" xfId="79" applyNumberFormat="1" applyFont="1" applyFill="1" applyBorder="1" applyAlignment="1">
      <alignment horizontal="center" vertical="center" readingOrder="1"/>
    </xf>
    <xf numFmtId="0" fontId="29" fillId="0" borderId="4" xfId="79" applyFont="1" applyFill="1" applyBorder="1" applyAlignment="1">
      <alignment horizontal="center" vertical="center" wrapText="1" readingOrder="1"/>
    </xf>
    <xf numFmtId="170" fontId="13" fillId="0" borderId="2" xfId="8" applyNumberFormat="1" applyFont="1" applyFill="1" applyBorder="1" applyAlignment="1">
      <alignment horizontal="center" vertical="center" wrapText="1" readingOrder="2"/>
    </xf>
    <xf numFmtId="3" fontId="13" fillId="0" borderId="8" xfId="15" applyNumberFormat="1" applyFont="1" applyFill="1" applyBorder="1" applyAlignment="1">
      <alignment horizontal="center" vertical="center" wrapText="1"/>
    </xf>
    <xf numFmtId="0" fontId="29" fillId="0" borderId="7" xfId="79" applyFont="1" applyFill="1" applyBorder="1" applyAlignment="1">
      <alignment horizontal="center" vertical="center" wrapText="1" readingOrder="1"/>
    </xf>
    <xf numFmtId="0" fontId="28" fillId="8" borderId="2" xfId="83" applyFont="1" applyFill="1" applyBorder="1" applyAlignment="1">
      <alignment horizontal="center" vertical="center"/>
    </xf>
    <xf numFmtId="0" fontId="13" fillId="0" borderId="9" xfId="8" applyFont="1" applyFill="1" applyBorder="1" applyAlignment="1"/>
    <xf numFmtId="0" fontId="13" fillId="29" borderId="0" xfId="4" applyFill="1"/>
    <xf numFmtId="0" fontId="84" fillId="4" borderId="2" xfId="4" applyFont="1" applyFill="1" applyBorder="1" applyAlignment="1">
      <alignment horizontal="center" vertical="center" wrapText="1"/>
    </xf>
    <xf numFmtId="3" fontId="84" fillId="4" borderId="2" xfId="4" applyNumberFormat="1" applyFont="1" applyFill="1" applyBorder="1" applyAlignment="1">
      <alignment horizontal="center" vertical="center" wrapText="1"/>
    </xf>
    <xf numFmtId="0" fontId="49" fillId="29" borderId="0" xfId="4" applyFont="1" applyFill="1"/>
    <xf numFmtId="3" fontId="11" fillId="4" borderId="2" xfId="79" applyNumberFormat="1" applyFont="1" applyFill="1" applyBorder="1" applyAlignment="1">
      <alignment horizontal="center" vertical="center" wrapText="1"/>
    </xf>
    <xf numFmtId="0" fontId="49" fillId="0" borderId="0" xfId="4" applyFont="1"/>
    <xf numFmtId="3" fontId="85" fillId="6" borderId="2" xfId="4" applyNumberFormat="1" applyFont="1" applyFill="1" applyBorder="1" applyAlignment="1">
      <alignment horizontal="center" vertical="center" wrapText="1"/>
    </xf>
    <xf numFmtId="3" fontId="14" fillId="6" borderId="2" xfId="4" applyNumberFormat="1" applyFont="1" applyFill="1" applyBorder="1" applyAlignment="1">
      <alignment horizontal="center"/>
    </xf>
    <xf numFmtId="0" fontId="53" fillId="0" borderId="2" xfId="4" applyFont="1" applyBorder="1" applyAlignment="1">
      <alignment horizontal="right" wrapText="1"/>
    </xf>
    <xf numFmtId="3" fontId="14" fillId="0" borderId="12" xfId="4" applyNumberFormat="1" applyFont="1" applyFill="1" applyBorder="1" applyAlignment="1">
      <alignment horizontal="center" vertical="center"/>
    </xf>
    <xf numFmtId="0" fontId="14" fillId="0" borderId="2" xfId="4" applyFont="1" applyFill="1" applyBorder="1" applyAlignment="1">
      <alignment horizontal="center" vertical="center" wrapText="1" readingOrder="2"/>
    </xf>
    <xf numFmtId="0" fontId="14" fillId="0" borderId="2" xfId="4" applyFont="1" applyFill="1" applyBorder="1" applyAlignment="1">
      <alignment horizontal="right" vertical="center" wrapText="1" readingOrder="2"/>
    </xf>
    <xf numFmtId="0" fontId="13" fillId="7" borderId="0" xfId="4" applyFill="1"/>
    <xf numFmtId="0" fontId="13" fillId="0" borderId="2" xfId="4" applyBorder="1" applyAlignment="1">
      <alignment horizontal="right"/>
    </xf>
    <xf numFmtId="3" fontId="10" fillId="4" borderId="3" xfId="4" applyNumberFormat="1" applyFont="1" applyFill="1" applyBorder="1" applyAlignment="1">
      <alignment horizontal="center" vertical="center" wrapText="1"/>
    </xf>
    <xf numFmtId="0" fontId="20" fillId="30" borderId="2" xfId="4" applyFont="1" applyFill="1" applyBorder="1"/>
    <xf numFmtId="3" fontId="11" fillId="4" borderId="8" xfId="4" applyNumberFormat="1" applyFont="1" applyFill="1" applyBorder="1" applyAlignment="1">
      <alignment horizontal="center" vertical="center" wrapText="1"/>
    </xf>
    <xf numFmtId="0" fontId="20" fillId="0" borderId="0" xfId="4" applyFont="1"/>
    <xf numFmtId="3" fontId="10" fillId="28" borderId="3" xfId="4" applyNumberFormat="1" applyFont="1" applyFill="1" applyBorder="1" applyAlignment="1">
      <alignment horizontal="center" vertical="center" wrapText="1"/>
    </xf>
    <xf numFmtId="3" fontId="47" fillId="28" borderId="8" xfId="4" applyNumberFormat="1" applyFont="1" applyFill="1" applyBorder="1" applyAlignment="1">
      <alignment horizontal="center" vertical="center" wrapText="1"/>
    </xf>
    <xf numFmtId="0" fontId="20" fillId="28" borderId="0" xfId="4" applyFont="1" applyFill="1"/>
    <xf numFmtId="0" fontId="11" fillId="5" borderId="3" xfId="4" applyFont="1" applyFill="1" applyBorder="1" applyAlignment="1">
      <alignment horizontal="center" vertical="center" wrapText="1"/>
    </xf>
    <xf numFmtId="3" fontId="11" fillId="5" borderId="8" xfId="4" applyNumberFormat="1" applyFont="1" applyFill="1" applyBorder="1" applyAlignment="1">
      <alignment horizontal="center" vertical="center" wrapText="1"/>
    </xf>
    <xf numFmtId="0" fontId="12" fillId="6" borderId="3" xfId="4" applyFont="1" applyFill="1" applyBorder="1" applyAlignment="1">
      <alignment horizontal="center"/>
    </xf>
    <xf numFmtId="3" fontId="12" fillId="0" borderId="8" xfId="4" applyNumberFormat="1" applyFont="1" applyBorder="1" applyAlignment="1">
      <alignment horizontal="center"/>
    </xf>
    <xf numFmtId="0" fontId="13" fillId="4" borderId="0" xfId="4" applyFill="1"/>
    <xf numFmtId="0" fontId="12" fillId="6" borderId="2" xfId="4" quotePrefix="1" applyFont="1" applyFill="1" applyBorder="1" applyAlignment="1">
      <alignment horizontal="right" wrapText="1"/>
    </xf>
    <xf numFmtId="0" fontId="12" fillId="6" borderId="11" xfId="4" applyFont="1" applyFill="1" applyBorder="1" applyAlignment="1">
      <alignment horizontal="center"/>
    </xf>
    <xf numFmtId="3" fontId="13" fillId="0" borderId="8" xfId="4" applyNumberFormat="1" applyFont="1" applyFill="1" applyBorder="1" applyAlignment="1">
      <alignment horizontal="center" vertical="center" wrapText="1"/>
    </xf>
    <xf numFmtId="3" fontId="13" fillId="0" borderId="2" xfId="4" applyNumberFormat="1" applyFont="1" applyFill="1" applyBorder="1" applyAlignment="1">
      <alignment horizontal="center" vertical="center" wrapText="1"/>
    </xf>
    <xf numFmtId="3" fontId="12" fillId="0" borderId="13" xfId="4" applyNumberFormat="1" applyFont="1" applyBorder="1" applyAlignment="1">
      <alignment horizontal="center"/>
    </xf>
    <xf numFmtId="3" fontId="12" fillId="0" borderId="7" xfId="4" applyNumberFormat="1" applyFont="1" applyBorder="1" applyAlignment="1">
      <alignment horizontal="center"/>
    </xf>
    <xf numFmtId="3" fontId="15" fillId="0" borderId="8" xfId="4" applyNumberFormat="1" applyFont="1" applyFill="1" applyBorder="1" applyAlignment="1">
      <alignment horizontal="center" vertical="center" wrapText="1"/>
    </xf>
    <xf numFmtId="3" fontId="15" fillId="0" borderId="2" xfId="4" applyNumberFormat="1" applyFont="1" applyFill="1" applyBorder="1" applyAlignment="1">
      <alignment horizontal="center" vertical="center" wrapText="1"/>
    </xf>
    <xf numFmtId="3" fontId="12" fillId="0" borderId="13" xfId="4" applyNumberFormat="1" applyFont="1" applyFill="1" applyBorder="1" applyAlignment="1">
      <alignment horizontal="center"/>
    </xf>
    <xf numFmtId="3" fontId="12" fillId="0" borderId="7" xfId="4" applyNumberFormat="1" applyFont="1" applyFill="1" applyBorder="1" applyAlignment="1">
      <alignment horizontal="center"/>
    </xf>
    <xf numFmtId="49" fontId="14" fillId="0" borderId="2" xfId="1" applyNumberFormat="1" applyFont="1" applyFill="1" applyBorder="1" applyAlignment="1">
      <alignment horizontal="right" vertical="center" wrapText="1" readingOrder="2"/>
    </xf>
    <xf numFmtId="0" fontId="13" fillId="5" borderId="3" xfId="4" applyFill="1" applyBorder="1" applyAlignment="1">
      <alignment horizontal="center"/>
    </xf>
    <xf numFmtId="0" fontId="62" fillId="5" borderId="2" xfId="4" applyFont="1" applyFill="1" applyBorder="1" applyAlignment="1">
      <alignment horizontal="center"/>
    </xf>
    <xf numFmtId="3" fontId="65" fillId="5" borderId="8" xfId="4" applyNumberFormat="1" applyFont="1" applyFill="1" applyBorder="1" applyAlignment="1">
      <alignment horizontal="center"/>
    </xf>
    <xf numFmtId="0" fontId="13" fillId="5" borderId="2" xfId="4" applyFill="1" applyBorder="1" applyAlignment="1">
      <alignment horizontal="center"/>
    </xf>
    <xf numFmtId="3" fontId="12" fillId="0" borderId="8" xfId="4" applyNumberFormat="1" applyFont="1" applyFill="1" applyBorder="1" applyAlignment="1">
      <alignment horizontal="center"/>
    </xf>
    <xf numFmtId="3" fontId="12" fillId="6" borderId="8" xfId="4" applyNumberFormat="1" applyFont="1" applyFill="1" applyBorder="1" applyAlignment="1">
      <alignment horizontal="center"/>
    </xf>
    <xf numFmtId="165" fontId="12" fillId="0" borderId="2" xfId="8" applyNumberFormat="1" applyFont="1" applyFill="1" applyBorder="1" applyAlignment="1">
      <alignment horizontal="center" vertical="center" wrapText="1"/>
    </xf>
    <xf numFmtId="0" fontId="86" fillId="0" borderId="2" xfId="8" applyFont="1" applyFill="1" applyBorder="1" applyAlignment="1">
      <alignment horizontal="center" vertical="center" wrapText="1"/>
    </xf>
    <xf numFmtId="0" fontId="13" fillId="0" borderId="2" xfId="8" applyBorder="1" applyAlignment="1">
      <alignment horizontal="right"/>
    </xf>
    <xf numFmtId="170" fontId="13" fillId="0" borderId="2" xfId="8" applyNumberFormat="1" applyFont="1" applyFill="1" applyBorder="1" applyAlignment="1">
      <alignment horizontal="right"/>
    </xf>
    <xf numFmtId="3" fontId="13" fillId="0" borderId="0" xfId="4" applyNumberFormat="1" applyBorder="1" applyAlignment="1"/>
    <xf numFmtId="3" fontId="20" fillId="0" borderId="0" xfId="4" applyNumberFormat="1" applyFont="1" applyBorder="1" applyAlignment="1"/>
    <xf numFmtId="164" fontId="13" fillId="5" borderId="2" xfId="8" applyNumberFormat="1" applyFont="1" applyFill="1" applyBorder="1" applyAlignment="1">
      <alignment horizontal="center" vertical="center" wrapText="1" readingOrder="2"/>
    </xf>
    <xf numFmtId="3" fontId="14" fillId="0" borderId="9" xfId="8" applyNumberFormat="1" applyFont="1" applyFill="1" applyBorder="1" applyAlignment="1">
      <alignment horizontal="right"/>
    </xf>
    <xf numFmtId="0" fontId="13" fillId="0" borderId="2" xfId="1" applyNumberFormat="1" applyFill="1" applyBorder="1" applyAlignment="1">
      <alignment horizontal="center" vertical="center" wrapText="1" readingOrder="2"/>
    </xf>
    <xf numFmtId="3" fontId="13" fillId="0" borderId="2" xfId="72" applyNumberFormat="1" applyFont="1" applyFill="1" applyBorder="1" applyAlignment="1">
      <alignment horizontal="center" vertical="center" wrapText="1" readingOrder="2"/>
    </xf>
    <xf numFmtId="3" fontId="14" fillId="0" borderId="2" xfId="72" applyNumberFormat="1" applyFont="1" applyFill="1" applyBorder="1" applyAlignment="1">
      <alignment horizontal="center" vertical="center" wrapText="1" readingOrder="2"/>
    </xf>
    <xf numFmtId="14" fontId="13" fillId="0" borderId="2" xfId="1" applyNumberFormat="1" applyFont="1" applyFill="1" applyBorder="1" applyAlignment="1">
      <alignment horizontal="right" vertical="center" wrapText="1" readingOrder="2"/>
    </xf>
    <xf numFmtId="0" fontId="6" fillId="0" borderId="0" xfId="79" applyFill="1" applyAlignment="1">
      <alignment vertical="center"/>
    </xf>
    <xf numFmtId="0" fontId="87" fillId="0" borderId="4" xfId="79" applyFont="1" applyFill="1" applyBorder="1" applyAlignment="1">
      <alignment horizontal="center" vertical="center" wrapText="1"/>
    </xf>
    <xf numFmtId="14" fontId="13" fillId="0" borderId="2" xfId="1" applyNumberFormat="1" applyFill="1" applyBorder="1" applyAlignment="1">
      <alignment horizontal="right" vertical="center" wrapText="1" readingOrder="2"/>
    </xf>
    <xf numFmtId="49" fontId="59" fillId="0" borderId="2" xfId="1" applyNumberFormat="1" applyFont="1" applyFill="1" applyBorder="1" applyAlignment="1">
      <alignment horizontal="right" vertical="center" wrapText="1" readingOrder="2"/>
    </xf>
    <xf numFmtId="14" fontId="13" fillId="0" borderId="3" xfId="1" applyNumberFormat="1" applyFont="1" applyFill="1" applyBorder="1" applyAlignment="1">
      <alignment horizontal="right" vertical="center" wrapText="1" readingOrder="2"/>
    </xf>
    <xf numFmtId="0" fontId="6" fillId="0" borderId="0" xfId="79" applyFill="1" applyAlignment="1">
      <alignment horizontal="right" vertical="center" wrapText="1" readingOrder="2"/>
    </xf>
    <xf numFmtId="0" fontId="6" fillId="0" borderId="0" xfId="79" applyFill="1" applyAlignment="1">
      <alignment horizontal="center" vertical="center" wrapText="1" readingOrder="2"/>
    </xf>
    <xf numFmtId="3" fontId="0" fillId="0" borderId="0" xfId="72" applyNumberFormat="1" applyFont="1" applyFill="1" applyAlignment="1">
      <alignment horizontal="center" vertical="center" wrapText="1" readingOrder="2"/>
    </xf>
    <xf numFmtId="172" fontId="13" fillId="0" borderId="0" xfId="8" applyNumberFormat="1" applyAlignment="1"/>
    <xf numFmtId="0" fontId="12" fillId="0" borderId="2" xfId="4" applyNumberFormat="1" applyFont="1" applyBorder="1" applyAlignment="1">
      <alignment horizontal="center" vertical="center" wrapText="1"/>
    </xf>
    <xf numFmtId="0" fontId="12" fillId="6" borderId="2" xfId="4" applyNumberFormat="1" applyFont="1" applyFill="1" applyBorder="1" applyAlignment="1">
      <alignment horizontal="center" wrapText="1"/>
    </xf>
    <xf numFmtId="0" fontId="12" fillId="6" borderId="2" xfId="4" applyNumberFormat="1" applyFont="1" applyFill="1" applyBorder="1" applyAlignment="1">
      <alignment horizontal="center" vertical="center" wrapText="1"/>
    </xf>
    <xf numFmtId="0" fontId="12" fillId="0" borderId="2" xfId="4" applyNumberFormat="1" applyFont="1" applyBorder="1" applyAlignment="1">
      <alignment horizontal="center" wrapText="1"/>
    </xf>
    <xf numFmtId="0" fontId="14" fillId="0" borderId="2" xfId="4" applyNumberFormat="1" applyFont="1" applyFill="1" applyBorder="1" applyAlignment="1">
      <alignment horizontal="center" vertical="center" wrapText="1"/>
    </xf>
    <xf numFmtId="0" fontId="14" fillId="0" borderId="2" xfId="4" applyNumberFormat="1" applyFont="1" applyFill="1" applyBorder="1" applyAlignment="1">
      <alignment horizontal="center" vertical="center"/>
    </xf>
    <xf numFmtId="0" fontId="12" fillId="0" borderId="7" xfId="4" applyNumberFormat="1" applyFont="1" applyBorder="1" applyAlignment="1">
      <alignment horizontal="center" wrapText="1"/>
    </xf>
    <xf numFmtId="0" fontId="14" fillId="0" borderId="2" xfId="8" applyNumberFormat="1" applyFont="1" applyFill="1" applyBorder="1" applyAlignment="1">
      <alignment horizontal="center" vertical="center" wrapText="1"/>
    </xf>
    <xf numFmtId="3" fontId="6" fillId="0" borderId="0" xfId="79" applyNumberFormat="1"/>
    <xf numFmtId="172" fontId="13" fillId="0" borderId="0" xfId="8" applyNumberFormat="1" applyFont="1" applyAlignment="1"/>
    <xf numFmtId="3" fontId="6" fillId="0" borderId="0" xfId="79" applyNumberFormat="1" applyFill="1" applyAlignment="1">
      <alignment horizontal="center" vertical="center" wrapText="1" readingOrder="2"/>
    </xf>
    <xf numFmtId="0" fontId="49" fillId="6" borderId="0" xfId="4" applyFont="1" applyFill="1" applyBorder="1" applyAlignment="1">
      <alignment horizontal="right" wrapText="1"/>
    </xf>
    <xf numFmtId="3" fontId="14" fillId="0" borderId="0" xfId="4" applyNumberFormat="1" applyFont="1" applyBorder="1" applyAlignment="1">
      <alignment horizontal="center"/>
    </xf>
    <xf numFmtId="0" fontId="14" fillId="0" borderId="0" xfId="4" applyFont="1" applyBorder="1" applyAlignment="1">
      <alignment horizontal="center" vertical="center"/>
    </xf>
    <xf numFmtId="3" fontId="14" fillId="0" borderId="0" xfId="4" applyNumberFormat="1" applyFont="1" applyBorder="1" applyAlignment="1">
      <alignment horizontal="center" vertical="center"/>
    </xf>
    <xf numFmtId="0" fontId="28" fillId="0" borderId="2" xfId="79" quotePrefix="1" applyFont="1" applyBorder="1" applyAlignment="1">
      <alignment horizontal="right" vertical="center" wrapText="1"/>
    </xf>
    <xf numFmtId="4" fontId="14" fillId="0" borderId="0" xfId="8" applyNumberFormat="1" applyFont="1" applyFill="1" applyAlignment="1"/>
    <xf numFmtId="0" fontId="14" fillId="0" borderId="7" xfId="8" applyFont="1" applyFill="1" applyBorder="1" applyAlignment="1">
      <alignment horizontal="center" vertical="center" wrapText="1"/>
    </xf>
    <xf numFmtId="3" fontId="53" fillId="6" borderId="7" xfId="4" applyNumberFormat="1" applyFont="1" applyFill="1" applyBorder="1" applyAlignment="1">
      <alignment horizontal="center"/>
    </xf>
    <xf numFmtId="0" fontId="13" fillId="0" borderId="0" xfId="4" applyFill="1" applyBorder="1"/>
    <xf numFmtId="0" fontId="49" fillId="7" borderId="2" xfId="4" applyFont="1" applyFill="1" applyBorder="1" applyAlignment="1">
      <alignment horizontal="right" wrapText="1"/>
    </xf>
    <xf numFmtId="0" fontId="20" fillId="7" borderId="2" xfId="8" applyFont="1" applyFill="1" applyBorder="1" applyAlignment="1">
      <alignment horizontal="right" vertical="center" wrapText="1" readingOrder="2"/>
    </xf>
    <xf numFmtId="49" fontId="13" fillId="7" borderId="2" xfId="1" applyNumberFormat="1" applyFill="1" applyBorder="1" applyAlignment="1">
      <alignment horizontal="right" vertical="center" wrapText="1" readingOrder="2"/>
    </xf>
    <xf numFmtId="49" fontId="13" fillId="7" borderId="2" xfId="71" applyNumberFormat="1" applyFill="1" applyBorder="1" applyAlignment="1">
      <alignment horizontal="right" vertical="center" wrapText="1"/>
    </xf>
    <xf numFmtId="0" fontId="20" fillId="0" borderId="3" xfId="8" applyFont="1" applyFill="1" applyBorder="1" applyAlignment="1">
      <alignment horizontal="right" vertical="center" wrapText="1"/>
    </xf>
    <xf numFmtId="0" fontId="20" fillId="0" borderId="9" xfId="8" applyFont="1" applyFill="1" applyBorder="1" applyAlignment="1">
      <alignment horizontal="center" vertical="center"/>
    </xf>
    <xf numFmtId="0" fontId="13" fillId="0" borderId="2" xfId="8" applyFont="1" applyFill="1" applyBorder="1" applyAlignment="1">
      <alignment horizontal="center"/>
    </xf>
    <xf numFmtId="0" fontId="20" fillId="0" borderId="7" xfId="8" applyFont="1" applyFill="1" applyBorder="1" applyAlignment="1">
      <alignment horizontal="center" vertical="center" wrapText="1" readingOrder="2"/>
    </xf>
    <xf numFmtId="165" fontId="21" fillId="0" borderId="9" xfId="8" applyNumberFormat="1" applyFont="1" applyFill="1" applyBorder="1" applyAlignment="1">
      <alignment horizontal="center" vertical="center" wrapText="1"/>
    </xf>
    <xf numFmtId="0" fontId="21" fillId="0" borderId="4" xfId="8" applyNumberFormat="1" applyFont="1" applyFill="1" applyBorder="1" applyAlignment="1">
      <alignment horizontal="center" vertical="center" wrapText="1"/>
    </xf>
    <xf numFmtId="165" fontId="20" fillId="0" borderId="9" xfId="8" applyNumberFormat="1" applyFont="1" applyFill="1" applyBorder="1" applyAlignment="1">
      <alignment horizontal="center" vertical="center" wrapText="1"/>
    </xf>
    <xf numFmtId="3" fontId="13" fillId="0" borderId="9" xfId="8" applyNumberFormat="1" applyFont="1" applyFill="1" applyBorder="1" applyAlignment="1">
      <alignment horizontal="center" vertical="center"/>
    </xf>
    <xf numFmtId="0" fontId="13" fillId="0" borderId="4" xfId="8" applyFont="1" applyFill="1" applyBorder="1" applyAlignment="1">
      <alignment horizontal="center"/>
    </xf>
    <xf numFmtId="3" fontId="13" fillId="0" borderId="0" xfId="8" applyNumberFormat="1" applyFill="1" applyBorder="1" applyAlignment="1">
      <alignment horizontal="right" vertical="center" wrapText="1"/>
    </xf>
    <xf numFmtId="168" fontId="13" fillId="0" borderId="8" xfId="8" applyNumberFormat="1" applyFont="1" applyFill="1" applyBorder="1" applyAlignment="1">
      <alignment horizontal="right" vertical="center" wrapText="1"/>
    </xf>
    <xf numFmtId="49" fontId="13" fillId="0" borderId="13" xfId="15" applyNumberFormat="1" applyFont="1" applyFill="1" applyBorder="1" applyAlignment="1">
      <alignment horizontal="right" vertical="center" wrapText="1"/>
    </xf>
    <xf numFmtId="168" fontId="20" fillId="0" borderId="8" xfId="8" applyNumberFormat="1" applyFont="1" applyFill="1" applyBorder="1" applyAlignment="1">
      <alignment horizontal="right" vertical="center" wrapText="1"/>
    </xf>
    <xf numFmtId="0" fontId="20" fillId="0" borderId="8" xfId="8" applyFont="1" applyFill="1" applyBorder="1" applyAlignment="1">
      <alignment horizontal="right" vertical="center" wrapText="1" readingOrder="2"/>
    </xf>
    <xf numFmtId="0" fontId="13" fillId="0" borderId="2" xfId="8" applyFont="1" applyFill="1" applyBorder="1" applyAlignment="1"/>
    <xf numFmtId="1" fontId="13" fillId="0" borderId="2" xfId="8" applyNumberFormat="1" applyFont="1" applyFill="1" applyBorder="1" applyAlignment="1">
      <alignment horizontal="right" vertical="center" wrapText="1"/>
    </xf>
    <xf numFmtId="49" fontId="20" fillId="0" borderId="8" xfId="15" applyNumberFormat="1" applyFont="1" applyFill="1" applyBorder="1" applyAlignment="1">
      <alignment horizontal="right" vertical="center" wrapText="1"/>
    </xf>
    <xf numFmtId="166" fontId="20" fillId="0" borderId="8" xfId="8" applyNumberFormat="1" applyFont="1" applyFill="1" applyBorder="1" applyAlignment="1">
      <alignment horizontal="right" vertical="center" wrapText="1"/>
    </xf>
    <xf numFmtId="3" fontId="14" fillId="0" borderId="2" xfId="8" applyNumberFormat="1" applyFont="1" applyFill="1" applyBorder="1" applyAlignment="1">
      <alignment horizontal="right" vertical="center" wrapText="1" readingOrder="2"/>
    </xf>
    <xf numFmtId="4" fontId="13" fillId="0" borderId="0" xfId="8" applyNumberFormat="1" applyFill="1" applyBorder="1" applyAlignment="1"/>
    <xf numFmtId="0" fontId="13" fillId="0" borderId="3" xfId="8" applyFill="1" applyBorder="1" applyAlignment="1">
      <alignment horizontal="right" vertical="center" wrapText="1"/>
    </xf>
    <xf numFmtId="0" fontId="13" fillId="0" borderId="9" xfId="8" applyFill="1" applyBorder="1" applyAlignment="1">
      <alignment horizontal="center" vertical="center"/>
    </xf>
    <xf numFmtId="165" fontId="23" fillId="0" borderId="9" xfId="8" applyNumberFormat="1" applyFont="1" applyFill="1" applyBorder="1" applyAlignment="1">
      <alignment horizontal="center" vertical="center" wrapText="1"/>
    </xf>
    <xf numFmtId="3" fontId="20" fillId="0" borderId="9" xfId="8" applyNumberFormat="1" applyFont="1" applyFill="1" applyBorder="1" applyAlignment="1">
      <alignment horizontal="center" vertical="center" wrapText="1"/>
    </xf>
    <xf numFmtId="165" fontId="20" fillId="0" borderId="8" xfId="73" applyNumberFormat="1" applyFont="1" applyFill="1" applyBorder="1" applyAlignment="1">
      <alignment horizontal="center" vertical="center" wrapText="1"/>
    </xf>
    <xf numFmtId="165" fontId="14" fillId="0" borderId="4" xfId="73" applyNumberFormat="1" applyFont="1" applyFill="1" applyBorder="1" applyAlignment="1">
      <alignment horizontal="right" vertical="center" wrapText="1"/>
    </xf>
    <xf numFmtId="166" fontId="13" fillId="0" borderId="2" xfId="8" applyNumberFormat="1" applyFont="1" applyFill="1" applyBorder="1" applyAlignment="1">
      <alignment horizontal="right"/>
    </xf>
    <xf numFmtId="3" fontId="13" fillId="0" borderId="0" xfId="8" applyNumberFormat="1" applyFill="1" applyBorder="1" applyAlignment="1"/>
    <xf numFmtId="0" fontId="14" fillId="0" borderId="9" xfId="8" applyFont="1" applyFill="1" applyBorder="1" applyAlignment="1">
      <alignment horizontal="center" vertical="center"/>
    </xf>
    <xf numFmtId="0" fontId="17" fillId="0" borderId="2" xfId="79" applyFont="1" applyBorder="1" applyAlignment="1">
      <alignment horizontal="right" vertical="center" wrapText="1"/>
    </xf>
    <xf numFmtId="0" fontId="0" fillId="30" borderId="0" xfId="0" applyFill="1"/>
    <xf numFmtId="0" fontId="14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89" fillId="0" borderId="0" xfId="0" applyFont="1"/>
    <xf numFmtId="0" fontId="12" fillId="0" borderId="2" xfId="0" applyFont="1" applyBorder="1"/>
    <xf numFmtId="0" fontId="53" fillId="6" borderId="2" xfId="0" applyFont="1" applyFill="1" applyBorder="1" applyAlignment="1">
      <alignment horizontal="right" wrapText="1"/>
    </xf>
    <xf numFmtId="0" fontId="14" fillId="0" borderId="2" xfId="0" applyFont="1" applyBorder="1"/>
    <xf numFmtId="167" fontId="14" fillId="0" borderId="2" xfId="84" applyNumberFormat="1" applyFont="1" applyBorder="1" applyAlignment="1">
      <alignment horizontal="right"/>
    </xf>
    <xf numFmtId="0" fontId="81" fillId="0" borderId="0" xfId="0" applyFont="1" applyAlignment="1">
      <alignment wrapText="1"/>
    </xf>
    <xf numFmtId="0" fontId="12" fillId="6" borderId="2" xfId="0" applyFont="1" applyFill="1" applyBorder="1" applyAlignment="1">
      <alignment wrapText="1"/>
    </xf>
    <xf numFmtId="3" fontId="0" fillId="0" borderId="0" xfId="0" applyNumberFormat="1"/>
    <xf numFmtId="3" fontId="12" fillId="33" borderId="2" xfId="4" applyNumberFormat="1" applyFont="1" applyFill="1" applyBorder="1" applyAlignment="1">
      <alignment horizontal="center"/>
    </xf>
    <xf numFmtId="3" fontId="14" fillId="33" borderId="2" xfId="4" applyNumberFormat="1" applyFont="1" applyFill="1" applyBorder="1" applyAlignment="1">
      <alignment horizontal="center"/>
    </xf>
    <xf numFmtId="3" fontId="53" fillId="33" borderId="2" xfId="4" applyNumberFormat="1" applyFont="1" applyFill="1" applyBorder="1" applyAlignment="1">
      <alignment horizontal="center"/>
    </xf>
    <xf numFmtId="3" fontId="12" fillId="33" borderId="2" xfId="4" quotePrefix="1" applyNumberFormat="1" applyFont="1" applyFill="1" applyBorder="1" applyAlignment="1">
      <alignment horizontal="center"/>
    </xf>
    <xf numFmtId="3" fontId="12" fillId="33" borderId="3" xfId="0" quotePrefix="1" applyNumberFormat="1" applyFont="1" applyFill="1" applyBorder="1" applyAlignment="1">
      <alignment horizontal="center"/>
    </xf>
    <xf numFmtId="3" fontId="12" fillId="33" borderId="2" xfId="4" applyNumberFormat="1" applyFont="1" applyFill="1" applyBorder="1" applyAlignment="1">
      <alignment horizontal="center" wrapText="1"/>
    </xf>
    <xf numFmtId="3" fontId="12" fillId="6" borderId="2" xfId="0" quotePrefix="1" applyNumberFormat="1" applyFont="1" applyFill="1" applyBorder="1" applyAlignment="1">
      <alignment horizontal="center"/>
    </xf>
    <xf numFmtId="3" fontId="18" fillId="5" borderId="2" xfId="0" applyNumberFormat="1" applyFont="1" applyFill="1" applyBorder="1" applyAlignment="1">
      <alignment horizontal="center"/>
    </xf>
    <xf numFmtId="3" fontId="90" fillId="0" borderId="1" xfId="4" applyNumberFormat="1" applyFont="1" applyBorder="1" applyAlignment="1">
      <alignment wrapText="1"/>
    </xf>
    <xf numFmtId="3" fontId="14" fillId="0" borderId="2" xfId="66" applyNumberFormat="1" applyFont="1" applyFill="1" applyBorder="1" applyAlignment="1">
      <alignment horizontal="center" vertical="center" wrapText="1" readingOrder="2"/>
    </xf>
    <xf numFmtId="3" fontId="17" fillId="0" borderId="7" xfId="79" applyNumberFormat="1" applyFont="1" applyBorder="1" applyAlignment="1">
      <alignment horizontal="center" vertical="center"/>
    </xf>
    <xf numFmtId="3" fontId="17" fillId="0" borderId="4" xfId="79" applyNumberFormat="1" applyFont="1" applyBorder="1" applyAlignment="1">
      <alignment horizontal="center" vertical="center"/>
    </xf>
    <xf numFmtId="3" fontId="12" fillId="0" borderId="4" xfId="4" applyNumberFormat="1" applyFont="1" applyBorder="1" applyAlignment="1">
      <alignment horizontal="center"/>
    </xf>
    <xf numFmtId="3" fontId="91" fillId="6" borderId="2" xfId="85" applyNumberFormat="1" applyFont="1" applyFill="1" applyBorder="1" applyAlignment="1">
      <alignment horizontal="center" wrapText="1"/>
    </xf>
    <xf numFmtId="3" fontId="87" fillId="0" borderId="2" xfId="66" applyNumberFormat="1" applyFont="1" applyFill="1" applyBorder="1" applyAlignment="1">
      <alignment horizontal="center" vertical="center" wrapText="1" readingOrder="2"/>
    </xf>
    <xf numFmtId="3" fontId="13" fillId="0" borderId="2" xfId="18" applyNumberFormat="1" applyFont="1" applyFill="1" applyBorder="1" applyAlignment="1">
      <alignment horizontal="center" vertical="center"/>
    </xf>
    <xf numFmtId="0" fontId="93" fillId="0" borderId="2" xfId="8" applyFont="1" applyFill="1" applyBorder="1" applyAlignment="1">
      <alignment horizontal="right" vertical="center" wrapText="1" readingOrder="2"/>
    </xf>
    <xf numFmtId="0" fontId="93" fillId="0" borderId="2" xfId="8" applyNumberFormat="1" applyFont="1" applyFill="1" applyBorder="1" applyAlignment="1">
      <alignment horizontal="right" vertical="center" wrapText="1" readingOrder="2"/>
    </xf>
    <xf numFmtId="0" fontId="55" fillId="5" borderId="0" xfId="4" applyFont="1" applyFill="1" applyBorder="1" applyAlignment="1">
      <alignment horizontal="center"/>
    </xf>
    <xf numFmtId="0" fontId="13" fillId="0" borderId="2" xfId="8" applyBorder="1" applyAlignment="1">
      <alignment vertical="top"/>
    </xf>
    <xf numFmtId="0" fontId="70" fillId="7" borderId="2" xfId="4" applyFont="1" applyFill="1" applyBorder="1" applyAlignment="1">
      <alignment horizontal="right" wrapText="1"/>
    </xf>
    <xf numFmtId="0" fontId="14" fillId="0" borderId="2" xfId="4" applyFont="1" applyFill="1" applyBorder="1" applyAlignment="1">
      <alignment horizontal="center" wrapText="1"/>
    </xf>
    <xf numFmtId="0" fontId="14" fillId="0" borderId="3" xfId="4" applyFont="1" applyBorder="1" applyAlignment="1">
      <alignment horizontal="center" vertical="center"/>
    </xf>
    <xf numFmtId="0" fontId="13" fillId="0" borderId="8" xfId="4" applyFill="1" applyBorder="1"/>
    <xf numFmtId="0" fontId="13" fillId="0" borderId="2" xfId="8" applyBorder="1" applyAlignment="1">
      <alignment vertical="top" wrapText="1"/>
    </xf>
    <xf numFmtId="3" fontId="14" fillId="33" borderId="2" xfId="4" applyNumberFormat="1" applyFont="1" applyFill="1" applyBorder="1" applyAlignment="1">
      <alignment horizontal="center" wrapText="1"/>
    </xf>
    <xf numFmtId="3" fontId="14" fillId="33" borderId="2" xfId="71" applyNumberFormat="1" applyFont="1" applyFill="1" applyBorder="1" applyAlignment="1">
      <alignment horizontal="center" vertical="center" wrapText="1"/>
    </xf>
    <xf numFmtId="3" fontId="12" fillId="0" borderId="3" xfId="4" applyNumberFormat="1" applyFont="1" applyBorder="1" applyAlignment="1">
      <alignment horizontal="center" wrapText="1"/>
    </xf>
    <xf numFmtId="0" fontId="28" fillId="0" borderId="2" xfId="8" applyFont="1" applyFill="1" applyBorder="1" applyAlignment="1">
      <alignment horizontal="right" vertical="center" wrapText="1" readingOrder="2"/>
    </xf>
    <xf numFmtId="0" fontId="28" fillId="0" borderId="2" xfId="79" quotePrefix="1" applyFont="1" applyFill="1" applyBorder="1" applyAlignment="1">
      <alignment horizontal="right" vertical="center" wrapText="1"/>
    </xf>
    <xf numFmtId="0" fontId="38" fillId="0" borderId="2" xfId="4" applyFont="1" applyBorder="1" applyAlignment="1">
      <alignment horizontal="center"/>
    </xf>
    <xf numFmtId="3" fontId="13" fillId="0" borderId="2" xfId="4" applyNumberFormat="1" applyBorder="1"/>
    <xf numFmtId="0" fontId="39" fillId="0" borderId="2" xfId="4" applyFont="1" applyBorder="1" applyAlignment="1">
      <alignment horizontal="center" wrapText="1"/>
    </xf>
    <xf numFmtId="0" fontId="39" fillId="0" borderId="3" xfId="4" applyFont="1" applyBorder="1" applyAlignment="1">
      <alignment horizontal="center" wrapText="1"/>
    </xf>
    <xf numFmtId="0" fontId="39" fillId="0" borderId="1" xfId="4" applyFont="1" applyBorder="1" applyAlignment="1">
      <alignment horizontal="center" wrapText="1"/>
    </xf>
    <xf numFmtId="3" fontId="12" fillId="0" borderId="8" xfId="4" applyNumberFormat="1" applyFont="1" applyFill="1" applyBorder="1" applyAlignment="1">
      <alignment horizontal="center" wrapText="1"/>
    </xf>
    <xf numFmtId="0" fontId="14" fillId="0" borderId="2" xfId="4" applyFont="1" applyBorder="1" applyAlignment="1">
      <alignment horizontal="center"/>
    </xf>
    <xf numFmtId="0" fontId="14" fillId="0" borderId="2" xfId="4" applyFont="1" applyBorder="1" applyAlignment="1">
      <alignment horizontal="right" vertical="center" wrapText="1"/>
    </xf>
    <xf numFmtId="0" fontId="12" fillId="0" borderId="0" xfId="4" applyFont="1" applyBorder="1" applyAlignment="1">
      <alignment horizontal="right" wrapText="1"/>
    </xf>
    <xf numFmtId="0" fontId="38" fillId="0" borderId="1" xfId="4" applyFont="1" applyBorder="1" applyAlignment="1">
      <alignment wrapText="1"/>
    </xf>
    <xf numFmtId="3" fontId="11" fillId="2" borderId="2" xfId="4" applyNumberFormat="1" applyFont="1" applyFill="1" applyBorder="1" applyAlignment="1">
      <alignment horizontal="center" vertical="center" wrapText="1"/>
    </xf>
    <xf numFmtId="3" fontId="66" fillId="5" borderId="2" xfId="4" applyNumberFormat="1" applyFont="1" applyFill="1" applyBorder="1" applyAlignment="1">
      <alignment horizontal="center" vertical="center" wrapText="1"/>
    </xf>
    <xf numFmtId="49" fontId="12" fillId="0" borderId="2" xfId="4" applyNumberFormat="1" applyFont="1" applyBorder="1" applyAlignment="1">
      <alignment horizontal="center" wrapText="1"/>
    </xf>
    <xf numFmtId="0" fontId="20" fillId="0" borderId="2" xfId="4" applyFont="1" applyBorder="1" applyAlignment="1">
      <alignment wrapText="1"/>
    </xf>
    <xf numFmtId="0" fontId="14" fillId="0" borderId="2" xfId="4" applyFont="1" applyBorder="1" applyAlignment="1">
      <alignment horizontal="center" wrapText="1"/>
    </xf>
    <xf numFmtId="49" fontId="12" fillId="6" borderId="2" xfId="4" applyNumberFormat="1" applyFont="1" applyFill="1" applyBorder="1" applyAlignment="1">
      <alignment horizontal="center" wrapText="1"/>
    </xf>
    <xf numFmtId="0" fontId="14" fillId="0" borderId="2" xfId="86" applyFont="1" applyBorder="1" applyAlignment="1">
      <alignment horizontal="center"/>
    </xf>
    <xf numFmtId="0" fontId="13" fillId="0" borderId="2" xfId="86" applyBorder="1" applyAlignment="1">
      <alignment horizontal="right" vertical="center"/>
    </xf>
    <xf numFmtId="0" fontId="5" fillId="0" borderId="0" xfId="88"/>
    <xf numFmtId="3" fontId="11" fillId="4" borderId="2" xfId="88" applyNumberFormat="1" applyFont="1" applyFill="1" applyBorder="1" applyAlignment="1">
      <alignment horizontal="center" vertical="center" wrapText="1"/>
    </xf>
    <xf numFmtId="3" fontId="11" fillId="5" borderId="2" xfId="88" applyNumberFormat="1" applyFont="1" applyFill="1" applyBorder="1" applyAlignment="1">
      <alignment horizontal="center" vertical="center" wrapText="1"/>
    </xf>
    <xf numFmtId="3" fontId="11" fillId="5" borderId="0" xfId="88" applyNumberFormat="1" applyFont="1" applyFill="1" applyBorder="1" applyAlignment="1">
      <alignment horizontal="center" vertical="center" wrapText="1"/>
    </xf>
    <xf numFmtId="3" fontId="14" fillId="6" borderId="2" xfId="88" applyNumberFormat="1" applyFont="1" applyFill="1" applyBorder="1" applyAlignment="1">
      <alignment horizontal="center"/>
    </xf>
    <xf numFmtId="3" fontId="14" fillId="6" borderId="0" xfId="88" applyNumberFormat="1" applyFont="1" applyFill="1" applyBorder="1" applyAlignment="1">
      <alignment horizontal="center"/>
    </xf>
    <xf numFmtId="3" fontId="17" fillId="0" borderId="2" xfId="88" applyNumberFormat="1" applyFont="1" applyBorder="1" applyAlignment="1">
      <alignment horizontal="center" vertical="center"/>
    </xf>
    <xf numFmtId="0" fontId="5" fillId="7" borderId="0" xfId="88" applyFill="1"/>
    <xf numFmtId="0" fontId="14" fillId="0" borderId="2" xfId="4" applyFont="1" applyBorder="1" applyAlignment="1">
      <alignment horizontal="right"/>
    </xf>
    <xf numFmtId="0" fontId="14" fillId="0" borderId="2" xfId="8" applyFont="1" applyBorder="1" applyAlignment="1">
      <alignment horizontal="center"/>
    </xf>
    <xf numFmtId="167" fontId="13" fillId="0" borderId="2" xfId="66" applyNumberFormat="1" applyFont="1" applyBorder="1" applyAlignment="1"/>
    <xf numFmtId="0" fontId="39" fillId="0" borderId="2" xfId="4" applyFont="1" applyBorder="1" applyAlignment="1">
      <alignment horizontal="center" wrapText="1"/>
    </xf>
    <xf numFmtId="0" fontId="39" fillId="0" borderId="3" xfId="4" applyFont="1" applyBorder="1" applyAlignment="1">
      <alignment horizontal="center" wrapText="1"/>
    </xf>
    <xf numFmtId="1" fontId="39" fillId="0" borderId="1" xfId="4" applyNumberFormat="1" applyFont="1" applyBorder="1" applyAlignment="1">
      <alignment horizontal="center" wrapText="1"/>
    </xf>
    <xf numFmtId="3" fontId="30" fillId="7" borderId="4" xfId="1" applyNumberFormat="1" applyFont="1" applyFill="1" applyBorder="1"/>
    <xf numFmtId="0" fontId="13" fillId="0" borderId="2" xfId="4" applyBorder="1" applyAlignment="1">
      <alignment vertical="top" wrapText="1"/>
    </xf>
    <xf numFmtId="0" fontId="13" fillId="0" borderId="2" xfId="83" applyBorder="1" applyAlignment="1">
      <alignment vertical="top"/>
    </xf>
    <xf numFmtId="0" fontId="14" fillId="0" borderId="4" xfId="8" applyFont="1" applyFill="1" applyBorder="1" applyAlignment="1">
      <alignment horizontal="center" vertical="center"/>
    </xf>
    <xf numFmtId="3" fontId="53" fillId="6" borderId="2" xfId="4" applyNumberFormat="1" applyFont="1" applyFill="1" applyBorder="1" applyAlignment="1">
      <alignment horizontal="right"/>
    </xf>
    <xf numFmtId="0" fontId="13" fillId="0" borderId="2" xfId="4" applyBorder="1" applyAlignment="1">
      <alignment vertical="top"/>
    </xf>
    <xf numFmtId="0" fontId="13" fillId="0" borderId="2" xfId="4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68" fillId="4" borderId="2" xfId="4" applyFont="1" applyFill="1" applyBorder="1" applyAlignment="1">
      <alignment horizontal="center" vertical="center" wrapText="1"/>
    </xf>
    <xf numFmtId="0" fontId="13" fillId="0" borderId="2" xfId="0" applyFont="1" applyBorder="1"/>
    <xf numFmtId="3" fontId="14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3" fontId="0" fillId="33" borderId="2" xfId="0" applyNumberFormat="1" applyFill="1" applyBorder="1"/>
    <xf numFmtId="0" fontId="13" fillId="0" borderId="0" xfId="8" applyAlignment="1">
      <alignment vertical="top"/>
    </xf>
    <xf numFmtId="3" fontId="50" fillId="0" borderId="0" xfId="4" applyNumberFormat="1" applyFont="1" applyBorder="1" applyAlignment="1">
      <alignment horizontal="center" wrapText="1"/>
    </xf>
    <xf numFmtId="3" fontId="13" fillId="0" borderId="0" xfId="4" applyNumberFormat="1" applyFill="1" applyAlignment="1">
      <alignment horizontal="center"/>
    </xf>
    <xf numFmtId="3" fontId="13" fillId="0" borderId="0" xfId="4" applyNumberFormat="1" applyAlignment="1">
      <alignment horizontal="center"/>
    </xf>
    <xf numFmtId="0" fontId="39" fillId="0" borderId="2" xfId="4" applyFont="1" applyBorder="1" applyAlignment="1">
      <alignment horizontal="center" wrapText="1"/>
    </xf>
    <xf numFmtId="0" fontId="39" fillId="0" borderId="2" xfId="4" applyFont="1" applyBorder="1" applyAlignment="1">
      <alignment horizontal="center" wrapText="1"/>
    </xf>
    <xf numFmtId="1" fontId="39" fillId="0" borderId="1" xfId="4" applyNumberFormat="1" applyFont="1" applyBorder="1" applyAlignment="1">
      <alignment horizontal="center" wrapText="1"/>
    </xf>
    <xf numFmtId="0" fontId="39" fillId="0" borderId="2" xfId="4" applyFont="1" applyBorder="1" applyAlignment="1">
      <alignment horizontal="center" wrapText="1"/>
    </xf>
    <xf numFmtId="0" fontId="39" fillId="0" borderId="3" xfId="4" applyFont="1" applyBorder="1" applyAlignment="1">
      <alignment horizontal="center" wrapText="1"/>
    </xf>
    <xf numFmtId="0" fontId="39" fillId="0" borderId="1" xfId="4" applyFont="1" applyBorder="1" applyAlignment="1">
      <alignment horizontal="center" wrapText="1"/>
    </xf>
    <xf numFmtId="3" fontId="91" fillId="33" borderId="2" xfId="85" applyNumberFormat="1" applyFont="1" applyFill="1" applyBorder="1" applyAlignment="1">
      <alignment horizontal="center" wrapText="1"/>
    </xf>
    <xf numFmtId="0" fontId="68" fillId="29" borderId="2" xfId="4" applyFont="1" applyFill="1" applyBorder="1" applyAlignment="1">
      <alignment horizontal="center" vertical="center" wrapText="1"/>
    </xf>
    <xf numFmtId="3" fontId="11" fillId="29" borderId="2" xfId="4" applyNumberFormat="1" applyFont="1" applyFill="1" applyBorder="1" applyAlignment="1">
      <alignment horizontal="center" vertical="center" wrapText="1"/>
    </xf>
    <xf numFmtId="3" fontId="14" fillId="29" borderId="2" xfId="0" applyNumberFormat="1" applyFont="1" applyFill="1" applyBorder="1" applyAlignment="1">
      <alignment horizontal="center"/>
    </xf>
    <xf numFmtId="0" fontId="14" fillId="29" borderId="0" xfId="0" applyFont="1" applyFill="1" applyAlignment="1">
      <alignment horizontal="center"/>
    </xf>
    <xf numFmtId="3" fontId="0" fillId="7" borderId="2" xfId="0" applyNumberFormat="1" applyFill="1" applyBorder="1"/>
    <xf numFmtId="49" fontId="12" fillId="29" borderId="2" xfId="4" applyNumberFormat="1" applyFont="1" applyFill="1" applyBorder="1" applyAlignment="1">
      <alignment horizontal="center" wrapText="1"/>
    </xf>
    <xf numFmtId="0" fontId="12" fillId="29" borderId="2" xfId="4" applyFont="1" applyFill="1" applyBorder="1" applyAlignment="1">
      <alignment horizontal="right" wrapText="1"/>
    </xf>
    <xf numFmtId="0" fontId="12" fillId="29" borderId="2" xfId="4" applyFont="1" applyFill="1" applyBorder="1" applyAlignment="1">
      <alignment horizontal="center" wrapText="1"/>
    </xf>
    <xf numFmtId="0" fontId="14" fillId="29" borderId="2" xfId="4" applyFont="1" applyFill="1" applyBorder="1" applyAlignment="1">
      <alignment horizontal="center" wrapText="1"/>
    </xf>
    <xf numFmtId="0" fontId="39" fillId="0" borderId="2" xfId="4" applyFont="1" applyBorder="1" applyAlignment="1">
      <alignment horizontal="center" wrapText="1"/>
    </xf>
    <xf numFmtId="0" fontId="39" fillId="0" borderId="3" xfId="4" applyFont="1" applyBorder="1" applyAlignment="1">
      <alignment horizontal="center" wrapText="1"/>
    </xf>
    <xf numFmtId="0" fontId="39" fillId="0" borderId="1" xfId="4" applyFont="1" applyBorder="1" applyAlignment="1">
      <alignment horizontal="center" wrapText="1"/>
    </xf>
    <xf numFmtId="0" fontId="39" fillId="0" borderId="8" xfId="4" applyFont="1" applyBorder="1" applyAlignment="1">
      <alignment horizontal="center" wrapText="1"/>
    </xf>
    <xf numFmtId="1" fontId="39" fillId="0" borderId="1" xfId="4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3" fontId="12" fillId="6" borderId="3" xfId="4" applyNumberFormat="1" applyFont="1" applyFill="1" applyBorder="1" applyAlignment="1">
      <alignment horizontal="center" wrapText="1"/>
    </xf>
    <xf numFmtId="3" fontId="12" fillId="6" borderId="9" xfId="4" applyNumberFormat="1" applyFont="1" applyFill="1" applyBorder="1" applyAlignment="1">
      <alignment horizontal="center" wrapText="1"/>
    </xf>
    <xf numFmtId="3" fontId="12" fillId="6" borderId="8" xfId="4" applyNumberFormat="1" applyFont="1" applyFill="1" applyBorder="1" applyAlignment="1">
      <alignment horizontal="center" wrapText="1"/>
    </xf>
    <xf numFmtId="0" fontId="39" fillId="0" borderId="1" xfId="4" applyFont="1" applyBorder="1" applyAlignment="1">
      <alignment horizontal="center" wrapText="1"/>
    </xf>
    <xf numFmtId="3" fontId="14" fillId="33" borderId="2" xfId="8" applyNumberFormat="1" applyFont="1" applyFill="1" applyBorder="1" applyAlignment="1">
      <alignment horizontal="center" vertical="center"/>
    </xf>
    <xf numFmtId="3" fontId="14" fillId="33" borderId="2" xfId="81" applyNumberFormat="1" applyFont="1" applyFill="1" applyBorder="1" applyAlignment="1">
      <alignment horizontal="center" vertical="center" wrapText="1" readingOrder="2"/>
    </xf>
    <xf numFmtId="3" fontId="14" fillId="33" borderId="2" xfId="66" applyNumberFormat="1" applyFont="1" applyFill="1" applyBorder="1" applyAlignment="1">
      <alignment horizontal="center" vertical="center" wrapText="1" readingOrder="2"/>
    </xf>
    <xf numFmtId="43" fontId="12" fillId="0" borderId="2" xfId="66" applyFont="1" applyBorder="1" applyAlignment="1">
      <alignment horizontal="center" wrapText="1"/>
    </xf>
    <xf numFmtId="43" fontId="13" fillId="30" borderId="0" xfId="66" applyFont="1" applyFill="1"/>
    <xf numFmtId="43" fontId="12" fillId="6" borderId="2" xfId="66" applyFont="1" applyFill="1" applyBorder="1" applyAlignment="1">
      <alignment horizontal="center" wrapText="1"/>
    </xf>
    <xf numFmtId="43" fontId="13" fillId="0" borderId="2" xfId="66" applyFont="1" applyFill="1" applyBorder="1"/>
    <xf numFmtId="43" fontId="17" fillId="0" borderId="2" xfId="66" applyFont="1" applyBorder="1" applyAlignment="1">
      <alignment horizontal="center" vertical="center"/>
    </xf>
    <xf numFmtId="43" fontId="14" fillId="6" borderId="2" xfId="66" applyFont="1" applyFill="1" applyBorder="1" applyAlignment="1">
      <alignment horizontal="center" wrapText="1"/>
    </xf>
    <xf numFmtId="43" fontId="13" fillId="0" borderId="0" xfId="66" applyFont="1" applyFill="1"/>
    <xf numFmtId="43" fontId="13" fillId="0" borderId="2" xfId="66" applyFont="1" applyBorder="1" applyAlignment="1">
      <alignment horizontal="right" vertical="top" wrapText="1"/>
    </xf>
    <xf numFmtId="3" fontId="12" fillId="7" borderId="2" xfId="4" applyNumberFormat="1" applyFont="1" applyFill="1" applyBorder="1" applyAlignment="1">
      <alignment horizontal="right"/>
    </xf>
    <xf numFmtId="0" fontId="17" fillId="0" borderId="3" xfId="79" applyFont="1" applyBorder="1" applyAlignment="1">
      <alignment horizontal="center" vertical="center"/>
    </xf>
    <xf numFmtId="0" fontId="49" fillId="6" borderId="8" xfId="4" applyFont="1" applyFill="1" applyBorder="1" applyAlignment="1">
      <alignment horizontal="right" wrapText="1"/>
    </xf>
    <xf numFmtId="0" fontId="13" fillId="0" borderId="4" xfId="8" applyBorder="1" applyAlignment="1">
      <alignment vertical="top"/>
    </xf>
    <xf numFmtId="167" fontId="14" fillId="33" borderId="2" xfId="84" applyNumberFormat="1" applyFont="1" applyFill="1" applyBorder="1" applyAlignment="1">
      <alignment horizontal="right"/>
    </xf>
    <xf numFmtId="0" fontId="17" fillId="0" borderId="2" xfId="8" applyFont="1" applyFill="1" applyBorder="1" applyAlignment="1">
      <alignment horizontal="center" vertical="center"/>
    </xf>
    <xf numFmtId="3" fontId="95" fillId="28" borderId="2" xfId="4" applyNumberFormat="1" applyFont="1" applyFill="1" applyBorder="1" applyAlignment="1">
      <alignment horizontal="center" vertical="center" wrapText="1"/>
    </xf>
    <xf numFmtId="3" fontId="12" fillId="6" borderId="7" xfId="4" applyNumberFormat="1" applyFont="1" applyFill="1" applyBorder="1" applyAlignment="1">
      <alignment horizontal="center"/>
    </xf>
    <xf numFmtId="3" fontId="12" fillId="6" borderId="3" xfId="4" applyNumberFormat="1" applyFont="1" applyFill="1" applyBorder="1" applyAlignment="1">
      <alignment horizontal="center"/>
    </xf>
    <xf numFmtId="0" fontId="14" fillId="0" borderId="2" xfId="8" applyFont="1" applyBorder="1" applyAlignment="1">
      <alignment vertical="top"/>
    </xf>
    <xf numFmtId="167" fontId="13" fillId="33" borderId="2" xfId="66" applyNumberFormat="1" applyFont="1" applyFill="1" applyBorder="1" applyAlignment="1"/>
    <xf numFmtId="0" fontId="70" fillId="6" borderId="2" xfId="4" applyFont="1" applyFill="1" applyBorder="1" applyAlignment="1">
      <alignment horizontal="right" wrapText="1"/>
    </xf>
    <xf numFmtId="0" fontId="63" fillId="0" borderId="2" xfId="4" applyFont="1" applyBorder="1" applyAlignment="1">
      <alignment horizontal="right" wrapText="1" readingOrder="2"/>
    </xf>
    <xf numFmtId="49" fontId="94" fillId="0" borderId="2" xfId="1" applyNumberFormat="1" applyFont="1" applyFill="1" applyBorder="1" applyAlignment="1">
      <alignment horizontal="right" vertical="center" wrapText="1" readingOrder="2"/>
    </xf>
    <xf numFmtId="0" fontId="63" fillId="0" borderId="2" xfId="8" applyNumberFormat="1" applyFont="1" applyFill="1" applyBorder="1" applyAlignment="1">
      <alignment horizontal="right" vertical="center" wrapText="1"/>
    </xf>
    <xf numFmtId="0" fontId="94" fillId="0" borderId="2" xfId="8" applyFont="1" applyBorder="1" applyAlignment="1">
      <alignment vertical="top"/>
    </xf>
    <xf numFmtId="0" fontId="63" fillId="0" borderId="2" xfId="4" applyFont="1" applyFill="1" applyBorder="1" applyAlignment="1">
      <alignment horizontal="right" vertical="center" wrapText="1"/>
    </xf>
    <xf numFmtId="0" fontId="94" fillId="0" borderId="2" xfId="4" applyFont="1" applyFill="1" applyBorder="1" applyAlignment="1">
      <alignment horizontal="right" vertical="center" wrapText="1"/>
    </xf>
    <xf numFmtId="0" fontId="63" fillId="0" borderId="2" xfId="8" applyFont="1" applyFill="1" applyBorder="1" applyAlignment="1">
      <alignment horizontal="right" vertical="center" wrapText="1"/>
    </xf>
    <xf numFmtId="0" fontId="63" fillId="0" borderId="7" xfId="8" applyFont="1" applyFill="1" applyBorder="1" applyAlignment="1">
      <alignment horizontal="right" vertical="center" wrapText="1" readingOrder="2"/>
    </xf>
    <xf numFmtId="0" fontId="63" fillId="0" borderId="2" xfId="8" applyFont="1" applyFill="1" applyBorder="1" applyAlignment="1">
      <alignment horizontal="right" vertical="center" wrapText="1" readingOrder="2"/>
    </xf>
    <xf numFmtId="167" fontId="94" fillId="0" borderId="2" xfId="66" applyNumberFormat="1" applyFont="1" applyBorder="1" applyAlignment="1">
      <alignment horizontal="right" vertical="top" wrapText="1"/>
    </xf>
    <xf numFmtId="3" fontId="11" fillId="4" borderId="4" xfId="4" applyNumberFormat="1" applyFont="1" applyFill="1" applyBorder="1" applyAlignment="1">
      <alignment horizontal="right" vertical="center" wrapText="1"/>
    </xf>
    <xf numFmtId="0" fontId="94" fillId="0" borderId="2" xfId="8" applyFont="1" applyBorder="1" applyAlignment="1">
      <alignment horizontal="right" vertical="top" wrapText="1"/>
    </xf>
    <xf numFmtId="0" fontId="51" fillId="5" borderId="8" xfId="4" applyFont="1" applyFill="1" applyBorder="1" applyAlignment="1">
      <alignment horizontal="right" vertical="center" wrapText="1"/>
    </xf>
    <xf numFmtId="0" fontId="94" fillId="0" borderId="2" xfId="83" applyFont="1" applyBorder="1" applyAlignment="1">
      <alignment horizontal="right" vertical="top" wrapText="1"/>
    </xf>
    <xf numFmtId="3" fontId="11" fillId="5" borderId="8" xfId="4" applyNumberFormat="1" applyFont="1" applyFill="1" applyBorder="1" applyAlignment="1">
      <alignment horizontal="right" vertical="center" wrapText="1"/>
    </xf>
    <xf numFmtId="0" fontId="94" fillId="7" borderId="2" xfId="4" applyFont="1" applyFill="1" applyBorder="1" applyAlignment="1">
      <alignment horizontal="right" vertical="center" wrapText="1" readingOrder="2"/>
    </xf>
    <xf numFmtId="49" fontId="94" fillId="7" borderId="2" xfId="70" applyNumberFormat="1" applyFont="1" applyFill="1" applyBorder="1" applyAlignment="1">
      <alignment horizontal="right" vertical="center" wrapText="1"/>
    </xf>
    <xf numFmtId="49" fontId="94" fillId="7" borderId="2" xfId="1" applyNumberFormat="1" applyFont="1" applyFill="1" applyBorder="1" applyAlignment="1">
      <alignment horizontal="right" vertical="center" wrapText="1" readingOrder="2"/>
    </xf>
    <xf numFmtId="0" fontId="96" fillId="5" borderId="2" xfId="4" applyFont="1" applyFill="1" applyBorder="1" applyAlignment="1">
      <alignment horizontal="right" wrapText="1"/>
    </xf>
    <xf numFmtId="0" fontId="63" fillId="7" borderId="2" xfId="8" applyFont="1" applyFill="1" applyBorder="1" applyAlignment="1">
      <alignment horizontal="right" vertical="center" wrapText="1"/>
    </xf>
    <xf numFmtId="3" fontId="12" fillId="6" borderId="8" xfId="4" applyNumberFormat="1" applyFont="1" applyFill="1" applyBorder="1" applyAlignment="1">
      <alignment wrapText="1"/>
    </xf>
    <xf numFmtId="3" fontId="95" fillId="5" borderId="2" xfId="4" applyNumberFormat="1" applyFont="1" applyFill="1" applyBorder="1" applyAlignment="1">
      <alignment horizontal="center" vertical="center" wrapText="1"/>
    </xf>
    <xf numFmtId="0" fontId="13" fillId="6" borderId="2" xfId="4" applyFill="1" applyBorder="1" applyAlignment="1">
      <alignment vertical="center"/>
    </xf>
    <xf numFmtId="0" fontId="13" fillId="30" borderId="2" xfId="4" applyFill="1" applyBorder="1" applyAlignment="1">
      <alignment vertical="center"/>
    </xf>
    <xf numFmtId="3" fontId="91" fillId="6" borderId="2" xfId="85" applyNumberFormat="1" applyFont="1" applyFill="1" applyBorder="1" applyAlignment="1">
      <alignment horizontal="center" vertical="center" wrapText="1"/>
    </xf>
    <xf numFmtId="3" fontId="53" fillId="6" borderId="3" xfId="4" applyNumberFormat="1" applyFont="1" applyFill="1" applyBorder="1" applyAlignment="1"/>
    <xf numFmtId="3" fontId="53" fillId="6" borderId="9" xfId="4" applyNumberFormat="1" applyFont="1" applyFill="1" applyBorder="1" applyAlignment="1"/>
    <xf numFmtId="3" fontId="53" fillId="6" borderId="8" xfId="4" applyNumberFormat="1" applyFont="1" applyFill="1" applyBorder="1" applyAlignment="1"/>
    <xf numFmtId="0" fontId="13" fillId="7" borderId="2" xfId="8" applyFont="1" applyFill="1" applyBorder="1" applyAlignment="1">
      <alignment horizontal="right" vertical="center" wrapText="1"/>
    </xf>
    <xf numFmtId="0" fontId="93" fillId="7" borderId="2" xfId="8" applyFont="1" applyFill="1" applyBorder="1" applyAlignment="1">
      <alignment horizontal="right" vertical="center" wrapText="1" readingOrder="2"/>
    </xf>
    <xf numFmtId="3" fontId="53" fillId="7" borderId="2" xfId="4" applyNumberFormat="1" applyFont="1" applyFill="1" applyBorder="1" applyAlignment="1">
      <alignment horizontal="center"/>
    </xf>
    <xf numFmtId="3" fontId="53" fillId="7" borderId="2" xfId="4" applyNumberFormat="1" applyFont="1" applyFill="1" applyBorder="1" applyAlignment="1">
      <alignment horizontal="center" vertical="center" wrapText="1"/>
    </xf>
    <xf numFmtId="0" fontId="97" fillId="6" borderId="2" xfId="4" applyFont="1" applyFill="1" applyBorder="1" applyAlignment="1">
      <alignment horizontal="right" wrapText="1"/>
    </xf>
    <xf numFmtId="49" fontId="16" fillId="7" borderId="14" xfId="67" applyNumberFormat="1" applyFont="1" applyFill="1" applyBorder="1" applyAlignment="1">
      <alignment horizontal="right" wrapText="1"/>
    </xf>
    <xf numFmtId="49" fontId="16" fillId="7" borderId="20" xfId="67" applyNumberFormat="1" applyFont="1" applyFill="1" applyBorder="1" applyAlignment="1">
      <alignment horizontal="right" wrapText="1"/>
    </xf>
    <xf numFmtId="49" fontId="16" fillId="7" borderId="2" xfId="67" applyNumberFormat="1" applyFont="1" applyFill="1" applyBorder="1" applyAlignment="1">
      <alignment horizontal="right" wrapText="1"/>
    </xf>
    <xf numFmtId="3" fontId="13" fillId="0" borderId="0" xfId="4" applyNumberFormat="1" applyBorder="1" applyAlignment="1">
      <alignment vertical="center"/>
    </xf>
    <xf numFmtId="3" fontId="20" fillId="0" borderId="0" xfId="4" applyNumberFormat="1" applyFont="1" applyBorder="1" applyAlignment="1">
      <alignment vertical="center"/>
    </xf>
    <xf numFmtId="3" fontId="20" fillId="0" borderId="0" xfId="4" applyNumberFormat="1" applyFont="1" applyAlignment="1">
      <alignment vertical="center"/>
    </xf>
    <xf numFmtId="3" fontId="48" fillId="5" borderId="2" xfId="4" applyNumberFormat="1" applyFont="1" applyFill="1" applyBorder="1" applyAlignment="1">
      <alignment horizontal="right" vertical="center" wrapText="1"/>
    </xf>
    <xf numFmtId="0" fontId="39" fillId="0" borderId="2" xfId="4" applyFont="1" applyBorder="1" applyAlignment="1">
      <alignment horizontal="center" wrapText="1"/>
    </xf>
    <xf numFmtId="3" fontId="14" fillId="0" borderId="8" xfId="8" applyNumberFormat="1" applyFont="1" applyFill="1" applyBorder="1" applyAlignment="1">
      <alignment horizontal="center" vertical="center"/>
    </xf>
    <xf numFmtId="0" fontId="39" fillId="0" borderId="3" xfId="4" applyFont="1" applyBorder="1" applyAlignment="1">
      <alignment horizontal="center" wrapText="1"/>
    </xf>
    <xf numFmtId="0" fontId="39" fillId="0" borderId="1" xfId="4" applyFont="1" applyBorder="1" applyAlignment="1">
      <alignment horizontal="center" wrapText="1"/>
    </xf>
    <xf numFmtId="1" fontId="39" fillId="0" borderId="1" xfId="4" applyNumberFormat="1" applyFont="1" applyBorder="1" applyAlignment="1">
      <alignment horizontal="center" wrapText="1"/>
    </xf>
    <xf numFmtId="3" fontId="28" fillId="0" borderId="2" xfId="79" applyNumberFormat="1" applyFont="1" applyBorder="1" applyAlignment="1">
      <alignment horizontal="right" vertical="center"/>
    </xf>
    <xf numFmtId="3" fontId="13" fillId="0" borderId="2" xfId="4" applyNumberFormat="1" applyFont="1" applyBorder="1" applyAlignment="1">
      <alignment horizontal="center"/>
    </xf>
    <xf numFmtId="0" fontId="12" fillId="6" borderId="4" xfId="0" applyFont="1" applyFill="1" applyBorder="1" applyAlignment="1">
      <alignment horizontal="center" wrapText="1"/>
    </xf>
    <xf numFmtId="3" fontId="11" fillId="4" borderId="2" xfId="4" applyNumberFormat="1" applyFont="1" applyFill="1" applyBorder="1" applyAlignment="1">
      <alignment horizontal="left" vertical="center" wrapText="1"/>
    </xf>
    <xf numFmtId="3" fontId="11" fillId="5" borderId="2" xfId="4" applyNumberFormat="1" applyFont="1" applyFill="1" applyBorder="1" applyAlignment="1">
      <alignment horizontal="left" vertical="center" wrapText="1"/>
    </xf>
    <xf numFmtId="3" fontId="12" fillId="6" borderId="8" xfId="4" applyNumberFormat="1" applyFont="1" applyFill="1" applyBorder="1" applyAlignment="1">
      <alignment horizontal="left" wrapText="1"/>
    </xf>
    <xf numFmtId="3" fontId="65" fillId="5" borderId="2" xfId="4" applyNumberFormat="1" applyFont="1" applyFill="1" applyBorder="1" applyAlignment="1">
      <alignment horizontal="left"/>
    </xf>
    <xf numFmtId="0" fontId="12" fillId="0" borderId="2" xfId="4" applyFont="1" applyBorder="1" applyAlignment="1">
      <alignment horizontal="left" wrapText="1"/>
    </xf>
    <xf numFmtId="3" fontId="12" fillId="7" borderId="3" xfId="0" quotePrefix="1" applyNumberFormat="1" applyFont="1" applyFill="1" applyBorder="1" applyAlignment="1">
      <alignment horizontal="center"/>
    </xf>
    <xf numFmtId="3" fontId="13" fillId="0" borderId="2" xfId="4" applyNumberFormat="1" applyFill="1" applyBorder="1"/>
    <xf numFmtId="3" fontId="11" fillId="4" borderId="2" xfId="4" applyNumberFormat="1" applyFont="1" applyFill="1" applyBorder="1" applyAlignment="1">
      <alignment horizontal="right" vertical="center" wrapText="1"/>
    </xf>
    <xf numFmtId="3" fontId="52" fillId="6" borderId="2" xfId="4" applyNumberFormat="1" applyFont="1" applyFill="1" applyBorder="1" applyAlignment="1">
      <alignment horizontal="center" wrapText="1"/>
    </xf>
    <xf numFmtId="0" fontId="13" fillId="0" borderId="2" xfId="8" applyFont="1" applyFill="1" applyBorder="1" applyAlignment="1">
      <alignment horizontal="right" vertical="center" wrapText="1" readingOrder="2"/>
    </xf>
    <xf numFmtId="0" fontId="13" fillId="0" borderId="2" xfId="8" applyFont="1" applyFill="1" applyBorder="1" applyAlignment="1">
      <alignment horizontal="right" vertical="center" wrapText="1"/>
    </xf>
    <xf numFmtId="0" fontId="20" fillId="0" borderId="2" xfId="8" applyFont="1" applyFill="1" applyBorder="1" applyAlignment="1">
      <alignment horizontal="right" vertical="center" wrapText="1" readingOrder="2"/>
    </xf>
    <xf numFmtId="0" fontId="20" fillId="0" borderId="2" xfId="8" applyFont="1" applyFill="1" applyBorder="1" applyAlignment="1">
      <alignment horizontal="right" vertical="center" wrapText="1"/>
    </xf>
    <xf numFmtId="0" fontId="14" fillId="0" borderId="2" xfId="8" applyFont="1" applyFill="1" applyBorder="1" applyAlignment="1">
      <alignment horizontal="center" vertical="center" wrapText="1" readingOrder="2"/>
    </xf>
    <xf numFmtId="0" fontId="14" fillId="0" borderId="2" xfId="8" applyFont="1" applyFill="1" applyBorder="1" applyAlignment="1">
      <alignment horizontal="right" vertical="center" wrapText="1" readingOrder="2"/>
    </xf>
    <xf numFmtId="3" fontId="17" fillId="0" borderId="3" xfId="79" applyNumberFormat="1" applyFont="1" applyBorder="1" applyAlignment="1">
      <alignment horizontal="center" vertical="center"/>
    </xf>
    <xf numFmtId="3" fontId="17" fillId="0" borderId="9" xfId="79" applyNumberFormat="1" applyFont="1" applyBorder="1" applyAlignment="1">
      <alignment horizontal="center" vertical="center"/>
    </xf>
    <xf numFmtId="3" fontId="17" fillId="0" borderId="8" xfId="79" applyNumberFormat="1" applyFont="1" applyBorder="1" applyAlignment="1">
      <alignment horizontal="center" vertical="center"/>
    </xf>
    <xf numFmtId="3" fontId="14" fillId="0" borderId="7" xfId="66" applyNumberFormat="1" applyFont="1" applyFill="1" applyBorder="1" applyAlignment="1">
      <alignment horizontal="center" vertical="center" wrapText="1" readingOrder="2"/>
    </xf>
    <xf numFmtId="3" fontId="17" fillId="0" borderId="2" xfId="79" applyNumberFormat="1" applyFont="1" applyBorder="1" applyAlignment="1">
      <alignment horizontal="right" vertical="center"/>
    </xf>
    <xf numFmtId="3" fontId="91" fillId="6" borderId="2" xfId="85" applyNumberFormat="1" applyFont="1" applyFill="1" applyBorder="1" applyAlignment="1">
      <alignment horizontal="right" wrapText="1"/>
    </xf>
    <xf numFmtId="3" fontId="12" fillId="7" borderId="2" xfId="4" applyNumberFormat="1" applyFont="1" applyFill="1" applyBorder="1" applyAlignment="1">
      <alignment horizontal="center"/>
    </xf>
    <xf numFmtId="3" fontId="12" fillId="6" borderId="2" xfId="4" applyNumberFormat="1" applyFont="1" applyFill="1" applyBorder="1" applyAlignment="1">
      <alignment horizontal="right"/>
    </xf>
    <xf numFmtId="0" fontId="14" fillId="0" borderId="9" xfId="8" applyFont="1" applyBorder="1" applyAlignment="1">
      <alignment horizontal="center"/>
    </xf>
    <xf numFmtId="0" fontId="0" fillId="0" borderId="0" xfId="0"/>
    <xf numFmtId="0" fontId="14" fillId="0" borderId="2" xfId="1" applyNumberFormat="1" applyFont="1" applyFill="1" applyBorder="1" applyAlignment="1">
      <alignment horizontal="right" vertical="center" wrapText="1" readingOrder="2"/>
    </xf>
    <xf numFmtId="3" fontId="53" fillId="6" borderId="3" xfId="4" applyNumberFormat="1" applyFont="1" applyFill="1" applyBorder="1" applyAlignment="1">
      <alignment horizontal="center"/>
    </xf>
    <xf numFmtId="0" fontId="13" fillId="0" borderId="0" xfId="4" applyAlignment="1">
      <alignment horizontal="right" vertical="center"/>
    </xf>
    <xf numFmtId="0" fontId="13" fillId="0" borderId="0" xfId="4" applyAlignment="1">
      <alignment vertical="center"/>
    </xf>
    <xf numFmtId="0" fontId="49" fillId="0" borderId="2" xfId="4" applyFont="1" applyFill="1" applyBorder="1" applyAlignment="1">
      <alignment horizontal="right" vertical="center" wrapText="1"/>
    </xf>
    <xf numFmtId="0" fontId="97" fillId="0" borderId="2" xfId="4" applyFont="1" applyFill="1" applyBorder="1" applyAlignment="1">
      <alignment horizontal="right" vertical="center" wrapText="1"/>
    </xf>
    <xf numFmtId="167" fontId="13" fillId="0" borderId="2" xfId="279" applyNumberFormat="1" applyFont="1" applyBorder="1" applyAlignment="1"/>
    <xf numFmtId="3" fontId="53" fillId="6" borderId="2" xfId="4" applyNumberFormat="1" applyFont="1" applyFill="1" applyBorder="1" applyAlignment="1">
      <alignment horizontal="right" vertical="center"/>
    </xf>
    <xf numFmtId="3" fontId="53" fillId="6" borderId="3" xfId="4" applyNumberFormat="1" applyFont="1" applyFill="1" applyBorder="1" applyAlignment="1">
      <alignment vertical="center"/>
    </xf>
    <xf numFmtId="3" fontId="53" fillId="6" borderId="9" xfId="4" applyNumberFormat="1" applyFont="1" applyFill="1" applyBorder="1" applyAlignment="1">
      <alignment vertical="center"/>
    </xf>
    <xf numFmtId="3" fontId="53" fillId="6" borderId="8" xfId="4" applyNumberFormat="1" applyFont="1" applyFill="1" applyBorder="1" applyAlignment="1">
      <alignment vertical="center"/>
    </xf>
    <xf numFmtId="3" fontId="53" fillId="0" borderId="2" xfId="4" applyNumberFormat="1" applyFont="1" applyFill="1" applyBorder="1" applyAlignment="1">
      <alignment horizontal="center"/>
    </xf>
    <xf numFmtId="3" fontId="12" fillId="6" borderId="3" xfId="4" quotePrefix="1" applyNumberFormat="1" applyFont="1" applyFill="1" applyBorder="1" applyAlignment="1">
      <alignment horizontal="center" vertical="center" wrapText="1"/>
    </xf>
    <xf numFmtId="3" fontId="12" fillId="6" borderId="2" xfId="4" applyNumberFormat="1" applyFont="1" applyFill="1" applyBorder="1" applyAlignment="1">
      <alignment horizontal="center" vertical="center" wrapText="1"/>
    </xf>
    <xf numFmtId="0" fontId="13" fillId="0" borderId="2" xfId="8" applyFont="1" applyFill="1" applyBorder="1" applyAlignment="1">
      <alignment vertical="center" wrapText="1"/>
    </xf>
    <xf numFmtId="0" fontId="13" fillId="0" borderId="8" xfId="8" applyFont="1" applyFill="1" applyBorder="1" applyAlignment="1">
      <alignment vertical="center" wrapText="1"/>
    </xf>
    <xf numFmtId="3" fontId="63" fillId="5" borderId="2" xfId="4" applyNumberFormat="1" applyFont="1" applyFill="1" applyBorder="1" applyAlignment="1">
      <alignment horizontal="right" vertical="center"/>
    </xf>
    <xf numFmtId="3" fontId="64" fillId="5" borderId="2" xfId="4" applyNumberFormat="1" applyFont="1" applyFill="1" applyBorder="1" applyAlignment="1">
      <alignment horizontal="right" vertical="center"/>
    </xf>
    <xf numFmtId="0" fontId="13" fillId="0" borderId="0" xfId="4" applyFont="1" applyAlignment="1">
      <alignment horizontal="right" vertical="center"/>
    </xf>
    <xf numFmtId="3" fontId="14" fillId="0" borderId="2" xfId="8" applyNumberFormat="1" applyFont="1" applyBorder="1" applyAlignment="1">
      <alignment horizontal="center" vertical="center"/>
    </xf>
    <xf numFmtId="167" fontId="12" fillId="6" borderId="2" xfId="81" applyNumberFormat="1" applyFont="1" applyFill="1" applyBorder="1" applyAlignment="1">
      <alignment horizontal="center" vertical="center" wrapText="1"/>
    </xf>
    <xf numFmtId="3" fontId="14" fillId="6" borderId="2" xfId="81" applyNumberFormat="1" applyFont="1" applyFill="1" applyBorder="1" applyAlignment="1">
      <alignment horizontal="center" vertical="center" wrapText="1"/>
    </xf>
    <xf numFmtId="3" fontId="20" fillId="0" borderId="2" xfId="4" applyNumberFormat="1" applyFont="1" applyBorder="1" applyAlignment="1">
      <alignment vertical="center"/>
    </xf>
    <xf numFmtId="3" fontId="14" fillId="0" borderId="2" xfId="4" applyNumberFormat="1" applyFont="1" applyBorder="1" applyAlignment="1">
      <alignment vertical="center"/>
    </xf>
    <xf numFmtId="3" fontId="12" fillId="0" borderId="2" xfId="4" applyNumberFormat="1" applyFont="1" applyBorder="1" applyAlignment="1">
      <alignment horizontal="center" vertical="center" wrapText="1"/>
    </xf>
    <xf numFmtId="3" fontId="135" fillId="0" borderId="2" xfId="0" applyNumberFormat="1" applyFont="1" applyBorder="1"/>
    <xf numFmtId="3" fontId="30" fillId="7" borderId="2" xfId="1" applyNumberFormat="1" applyFont="1" applyFill="1" applyBorder="1" applyAlignment="1">
      <alignment horizontal="center"/>
    </xf>
    <xf numFmtId="3" fontId="0" fillId="0" borderId="2" xfId="0" applyNumberFormat="1" applyFill="1" applyBorder="1"/>
    <xf numFmtId="0" fontId="13" fillId="0" borderId="2" xfId="8" applyFont="1" applyBorder="1" applyAlignment="1">
      <alignment horizontal="right" vertical="center" wrapText="1"/>
    </xf>
    <xf numFmtId="3" fontId="47" fillId="4" borderId="3" xfId="4" applyNumberFormat="1" applyFont="1" applyFill="1" applyBorder="1" applyAlignment="1">
      <alignment horizontal="center" vertical="center" wrapText="1"/>
    </xf>
    <xf numFmtId="3" fontId="47" fillId="4" borderId="8" xfId="4" applyNumberFormat="1" applyFont="1" applyFill="1" applyBorder="1" applyAlignment="1">
      <alignment horizontal="center" vertical="center" wrapText="1"/>
    </xf>
    <xf numFmtId="3" fontId="14" fillId="0" borderId="3" xfId="66" applyNumberFormat="1" applyFont="1" applyFill="1" applyBorder="1" applyAlignment="1">
      <alignment horizontal="center" vertical="center" wrapText="1" readingOrder="2"/>
    </xf>
    <xf numFmtId="3" fontId="14" fillId="0" borderId="9" xfId="66" applyNumberFormat="1" applyFont="1" applyFill="1" applyBorder="1" applyAlignment="1">
      <alignment horizontal="center" vertical="center" wrapText="1" readingOrder="2"/>
    </xf>
    <xf numFmtId="3" fontId="14" fillId="0" borderId="8" xfId="66" applyNumberFormat="1" applyFont="1" applyFill="1" applyBorder="1" applyAlignment="1">
      <alignment horizontal="center" vertical="center" wrapText="1" readingOrder="2"/>
    </xf>
    <xf numFmtId="0" fontId="39" fillId="0" borderId="2" xfId="4" applyFont="1" applyBorder="1" applyAlignment="1">
      <alignment horizontal="center" wrapText="1"/>
    </xf>
    <xf numFmtId="0" fontId="51" fillId="5" borderId="3" xfId="4" applyFont="1" applyFill="1" applyBorder="1" applyAlignment="1">
      <alignment horizontal="center" vertical="center" wrapText="1"/>
    </xf>
    <xf numFmtId="0" fontId="51" fillId="5" borderId="8" xfId="4" applyFont="1" applyFill="1" applyBorder="1" applyAlignment="1">
      <alignment horizontal="center" vertical="center" wrapText="1"/>
    </xf>
    <xf numFmtId="3" fontId="48" fillId="5" borderId="3" xfId="4" applyNumberFormat="1" applyFont="1" applyFill="1" applyBorder="1" applyAlignment="1">
      <alignment horizontal="center" vertical="center" wrapText="1"/>
    </xf>
    <xf numFmtId="3" fontId="48" fillId="5" borderId="8" xfId="4" applyNumberFormat="1" applyFont="1" applyFill="1" applyBorder="1" applyAlignment="1">
      <alignment horizontal="center" vertical="center" wrapText="1"/>
    </xf>
    <xf numFmtId="3" fontId="47" fillId="5" borderId="3" xfId="4" applyNumberFormat="1" applyFont="1" applyFill="1" applyBorder="1" applyAlignment="1">
      <alignment horizontal="right" vertical="center" wrapText="1"/>
    </xf>
    <xf numFmtId="3" fontId="47" fillId="5" borderId="8" xfId="4" applyNumberFormat="1" applyFont="1" applyFill="1" applyBorder="1" applyAlignment="1">
      <alignment horizontal="right" vertical="center" wrapText="1"/>
    </xf>
    <xf numFmtId="3" fontId="11" fillId="5" borderId="11" xfId="4" applyNumberFormat="1" applyFont="1" applyFill="1" applyBorder="1" applyAlignment="1">
      <alignment horizontal="right" vertical="center" wrapText="1"/>
    </xf>
    <xf numFmtId="3" fontId="11" fillId="5" borderId="13" xfId="4" applyNumberFormat="1" applyFont="1" applyFill="1" applyBorder="1" applyAlignment="1">
      <alignment horizontal="right" vertical="center" wrapText="1"/>
    </xf>
    <xf numFmtId="0" fontId="64" fillId="31" borderId="3" xfId="4" applyFont="1" applyFill="1" applyBorder="1" applyAlignment="1">
      <alignment horizontal="right" wrapText="1"/>
    </xf>
    <xf numFmtId="0" fontId="64" fillId="31" borderId="8" xfId="4" applyFont="1" applyFill="1" applyBorder="1" applyAlignment="1">
      <alignment horizontal="right" wrapText="1"/>
    </xf>
    <xf numFmtId="0" fontId="64" fillId="5" borderId="3" xfId="4" applyFont="1" applyFill="1" applyBorder="1" applyAlignment="1">
      <alignment horizontal="right" wrapText="1"/>
    </xf>
    <xf numFmtId="0" fontId="64" fillId="5" borderId="8" xfId="4" applyFont="1" applyFill="1" applyBorder="1" applyAlignment="1">
      <alignment horizontal="right" wrapText="1"/>
    </xf>
    <xf numFmtId="3" fontId="12" fillId="6" borderId="3" xfId="4" applyNumberFormat="1" applyFont="1" applyFill="1" applyBorder="1" applyAlignment="1">
      <alignment horizontal="center" wrapText="1"/>
    </xf>
    <xf numFmtId="3" fontId="12" fillId="6" borderId="9" xfId="4" applyNumberFormat="1" applyFont="1" applyFill="1" applyBorder="1" applyAlignment="1">
      <alignment horizontal="center" wrapText="1"/>
    </xf>
    <xf numFmtId="3" fontId="12" fillId="6" borderId="8" xfId="4" applyNumberFormat="1" applyFont="1" applyFill="1" applyBorder="1" applyAlignment="1">
      <alignment horizontal="center" wrapText="1"/>
    </xf>
    <xf numFmtId="0" fontId="39" fillId="0" borderId="3" xfId="4" applyFont="1" applyBorder="1" applyAlignment="1">
      <alignment horizontal="center" wrapText="1"/>
    </xf>
    <xf numFmtId="0" fontId="39" fillId="0" borderId="9" xfId="4" applyFont="1" applyBorder="1" applyAlignment="1">
      <alignment horizontal="center" wrapText="1"/>
    </xf>
    <xf numFmtId="3" fontId="17" fillId="0" borderId="3" xfId="79" applyNumberFormat="1" applyFont="1" applyBorder="1" applyAlignment="1">
      <alignment horizontal="center" vertical="center"/>
    </xf>
    <xf numFmtId="3" fontId="17" fillId="0" borderId="9" xfId="79" applyNumberFormat="1" applyFont="1" applyBorder="1" applyAlignment="1">
      <alignment horizontal="center" vertical="center"/>
    </xf>
    <xf numFmtId="3" fontId="17" fillId="0" borderId="8" xfId="79" applyNumberFormat="1" applyFont="1" applyBorder="1" applyAlignment="1">
      <alignment horizontal="center" vertical="center"/>
    </xf>
    <xf numFmtId="0" fontId="11" fillId="5" borderId="3" xfId="4" applyFont="1" applyFill="1" applyBorder="1" applyAlignment="1">
      <alignment horizontal="center" vertical="center" wrapText="1"/>
    </xf>
    <xf numFmtId="0" fontId="11" fillId="5" borderId="8" xfId="4" applyFont="1" applyFill="1" applyBorder="1" applyAlignment="1">
      <alignment horizontal="center" vertical="center" wrapText="1"/>
    </xf>
    <xf numFmtId="0" fontId="48" fillId="5" borderId="3" xfId="4" applyFont="1" applyFill="1" applyBorder="1" applyAlignment="1">
      <alignment horizontal="right" vertical="center" wrapText="1"/>
    </xf>
    <xf numFmtId="0" fontId="48" fillId="5" borderId="8" xfId="4" applyFont="1" applyFill="1" applyBorder="1" applyAlignment="1">
      <alignment horizontal="right" vertical="center" wrapText="1"/>
    </xf>
    <xf numFmtId="0" fontId="39" fillId="0" borderId="1" xfId="4" applyFont="1" applyBorder="1" applyAlignment="1">
      <alignment horizontal="center" wrapText="1"/>
    </xf>
    <xf numFmtId="0" fontId="11" fillId="5" borderId="3" xfId="4" applyFont="1" applyFill="1" applyBorder="1" applyAlignment="1">
      <alignment horizontal="right" vertical="center" wrapText="1"/>
    </xf>
    <xf numFmtId="0" fontId="11" fillId="5" borderId="8" xfId="4" applyFont="1" applyFill="1" applyBorder="1" applyAlignment="1">
      <alignment horizontal="right" vertical="center" wrapText="1"/>
    </xf>
    <xf numFmtId="3" fontId="53" fillId="6" borderId="3" xfId="4" applyNumberFormat="1" applyFont="1" applyFill="1" applyBorder="1" applyAlignment="1">
      <alignment horizontal="center"/>
    </xf>
    <xf numFmtId="3" fontId="53" fillId="6" borderId="9" xfId="4" applyNumberFormat="1" applyFont="1" applyFill="1" applyBorder="1" applyAlignment="1">
      <alignment horizontal="center"/>
    </xf>
    <xf numFmtId="3" fontId="53" fillId="6" borderId="8" xfId="4" applyNumberFormat="1" applyFont="1" applyFill="1" applyBorder="1" applyAlignment="1">
      <alignment horizontal="center"/>
    </xf>
    <xf numFmtId="0" fontId="11" fillId="5" borderId="11" xfId="4" applyFont="1" applyFill="1" applyBorder="1" applyAlignment="1">
      <alignment horizontal="right" vertical="center" wrapText="1"/>
    </xf>
    <xf numFmtId="0" fontId="11" fillId="5" borderId="13" xfId="4" applyFont="1" applyFill="1" applyBorder="1" applyAlignment="1">
      <alignment horizontal="right" vertical="center" wrapText="1"/>
    </xf>
    <xf numFmtId="3" fontId="97" fillId="6" borderId="3" xfId="4" applyNumberFormat="1" applyFont="1" applyFill="1" applyBorder="1" applyAlignment="1">
      <alignment horizontal="right" vertical="center" wrapText="1"/>
    </xf>
    <xf numFmtId="3" fontId="97" fillId="6" borderId="8" xfId="4" applyNumberFormat="1" applyFont="1" applyFill="1" applyBorder="1" applyAlignment="1">
      <alignment horizontal="right" vertical="center" wrapText="1"/>
    </xf>
    <xf numFmtId="3" fontId="53" fillId="0" borderId="3" xfId="4" applyNumberFormat="1" applyFont="1" applyFill="1" applyBorder="1" applyAlignment="1">
      <alignment horizontal="right" vertical="center" wrapText="1"/>
    </xf>
    <xf numFmtId="3" fontId="53" fillId="0" borderId="8" xfId="4" applyNumberFormat="1" applyFont="1" applyFill="1" applyBorder="1" applyAlignment="1">
      <alignment horizontal="right" vertical="center" wrapText="1"/>
    </xf>
    <xf numFmtId="3" fontId="53" fillId="6" borderId="3" xfId="4" applyNumberFormat="1" applyFont="1" applyFill="1" applyBorder="1" applyAlignment="1">
      <alignment horizontal="center" vertical="center"/>
    </xf>
    <xf numFmtId="3" fontId="53" fillId="6" borderId="9" xfId="4" applyNumberFormat="1" applyFont="1" applyFill="1" applyBorder="1" applyAlignment="1">
      <alignment horizontal="center" vertical="center"/>
    </xf>
    <xf numFmtId="3" fontId="53" fillId="6" borderId="8" xfId="4" applyNumberFormat="1" applyFont="1" applyFill="1" applyBorder="1" applyAlignment="1">
      <alignment horizontal="center" vertical="center"/>
    </xf>
    <xf numFmtId="0" fontId="39" fillId="0" borderId="1" xfId="4" applyFont="1" applyBorder="1" applyAlignment="1">
      <alignment horizontal="center"/>
    </xf>
    <xf numFmtId="0" fontId="39" fillId="0" borderId="12" xfId="4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12" fillId="0" borderId="3" xfId="4" applyNumberFormat="1" applyFont="1" applyBorder="1" applyAlignment="1">
      <alignment horizontal="center" wrapText="1"/>
    </xf>
    <xf numFmtId="3" fontId="12" fillId="0" borderId="9" xfId="4" applyNumberFormat="1" applyFont="1" applyBorder="1" applyAlignment="1">
      <alignment horizontal="center" wrapText="1"/>
    </xf>
    <xf numFmtId="3" fontId="12" fillId="0" borderId="8" xfId="4" applyNumberFormat="1" applyFont="1" applyBorder="1" applyAlignment="1">
      <alignment horizontal="center" wrapText="1"/>
    </xf>
    <xf numFmtId="1" fontId="80" fillId="31" borderId="3" xfId="4" applyNumberFormat="1" applyFont="1" applyFill="1" applyBorder="1" applyAlignment="1">
      <alignment horizontal="right" wrapText="1"/>
    </xf>
    <xf numFmtId="1" fontId="80" fillId="31" borderId="8" xfId="4" applyNumberFormat="1" applyFont="1" applyFill="1" applyBorder="1" applyAlignment="1">
      <alignment horizontal="right" wrapText="1"/>
    </xf>
    <xf numFmtId="1" fontId="48" fillId="5" borderId="1" xfId="4" applyNumberFormat="1" applyFont="1" applyFill="1" applyBorder="1" applyAlignment="1">
      <alignment horizontal="right" vertical="center" wrapText="1"/>
    </xf>
    <xf numFmtId="1" fontId="80" fillId="31" borderId="9" xfId="4" applyNumberFormat="1" applyFont="1" applyFill="1" applyBorder="1" applyAlignment="1">
      <alignment horizontal="right" wrapText="1"/>
    </xf>
    <xf numFmtId="0" fontId="47" fillId="28" borderId="2" xfId="4" applyFont="1" applyFill="1" applyBorder="1" applyAlignment="1">
      <alignment horizontal="right" vertical="center" wrapText="1"/>
    </xf>
    <xf numFmtId="3" fontId="12" fillId="78" borderId="2" xfId="4" applyNumberFormat="1" applyFont="1" applyFill="1" applyBorder="1" applyAlignment="1">
      <alignment horizontal="center" wrapText="1"/>
    </xf>
  </cellXfs>
  <cellStyles count="2998">
    <cellStyle name="20% - Accent1" xfId="191"/>
    <cellStyle name="20% - Accent1 2" xfId="250"/>
    <cellStyle name="20% - Accent1 3" xfId="388"/>
    <cellStyle name="20% - Accent2" xfId="192"/>
    <cellStyle name="20% - Accent2 2" xfId="251"/>
    <cellStyle name="20% - Accent2 3" xfId="389"/>
    <cellStyle name="20% - Accent3" xfId="193"/>
    <cellStyle name="20% - Accent3 2" xfId="252"/>
    <cellStyle name="20% - Accent3 3" xfId="390"/>
    <cellStyle name="20% - Accent4" xfId="194"/>
    <cellStyle name="20% - Accent4 2" xfId="253"/>
    <cellStyle name="20% - Accent4 3" xfId="391"/>
    <cellStyle name="20% - Accent5" xfId="195"/>
    <cellStyle name="20% - Accent5 2" xfId="254"/>
    <cellStyle name="20% - Accent5 3" xfId="392"/>
    <cellStyle name="20% - Accent6" xfId="196"/>
    <cellStyle name="20% - Accent6 2" xfId="255"/>
    <cellStyle name="20% - Accent6 3" xfId="393"/>
    <cellStyle name="20% - הדגשה1" xfId="107" builtinId="30" customBuiltin="1"/>
    <cellStyle name="20% - הדגשה2" xfId="111" builtinId="34" customBuiltin="1"/>
    <cellStyle name="20% - הדגשה3" xfId="115" builtinId="38" customBuiltin="1"/>
    <cellStyle name="20% - הדגשה4" xfId="119" builtinId="42" customBuiltin="1"/>
    <cellStyle name="20% - הדגשה5" xfId="123" builtinId="46" customBuiltin="1"/>
    <cellStyle name="20% - הדגשה6" xfId="127" builtinId="50" customBuiltin="1"/>
    <cellStyle name="40% - Accent1" xfId="197"/>
    <cellStyle name="40% - Accent1 2" xfId="256"/>
    <cellStyle name="40% - Accent1 3" xfId="394"/>
    <cellStyle name="40% - Accent2" xfId="198"/>
    <cellStyle name="40% - Accent2 2" xfId="257"/>
    <cellStyle name="40% - Accent2 3" xfId="395"/>
    <cellStyle name="40% - Accent3" xfId="199"/>
    <cellStyle name="40% - Accent3 2" xfId="258"/>
    <cellStyle name="40% - Accent3 3" xfId="396"/>
    <cellStyle name="40% - Accent4" xfId="200"/>
    <cellStyle name="40% - Accent4 2" xfId="259"/>
    <cellStyle name="40% - Accent4 3" xfId="397"/>
    <cellStyle name="40% - Accent5" xfId="201"/>
    <cellStyle name="40% - Accent5 2" xfId="260"/>
    <cellStyle name="40% - Accent5 3" xfId="398"/>
    <cellStyle name="40% - Accent6" xfId="202"/>
    <cellStyle name="40% - Accent6 2" xfId="261"/>
    <cellStyle name="40% - Accent6 3" xfId="399"/>
    <cellStyle name="40% - הדגשה1" xfId="108" builtinId="31" customBuiltin="1"/>
    <cellStyle name="40% - הדגשה2" xfId="112" builtinId="35" customBuiltin="1"/>
    <cellStyle name="40% - הדגשה3" xfId="116" builtinId="39" customBuiltin="1"/>
    <cellStyle name="40% - הדגשה4" xfId="120" builtinId="43" customBuiltin="1"/>
    <cellStyle name="40% - הדגשה5" xfId="124" builtinId="47" customBuiltin="1"/>
    <cellStyle name="40% - הדגשה6" xfId="128" builtinId="51" customBuiltin="1"/>
    <cellStyle name="60% - Accent1" xfId="203"/>
    <cellStyle name="60% - Accent1 2" xfId="262"/>
    <cellStyle name="60% - Accent1 3" xfId="400"/>
    <cellStyle name="60% - Accent2" xfId="204"/>
    <cellStyle name="60% - Accent2 2" xfId="263"/>
    <cellStyle name="60% - Accent2 3" xfId="401"/>
    <cellStyle name="60% - Accent3" xfId="205"/>
    <cellStyle name="60% - Accent3 2" xfId="264"/>
    <cellStyle name="60% - Accent3 3" xfId="402"/>
    <cellStyle name="60% - Accent4" xfId="206"/>
    <cellStyle name="60% - Accent4 2" xfId="265"/>
    <cellStyle name="60% - Accent4 3" xfId="403"/>
    <cellStyle name="60% - Accent5" xfId="207"/>
    <cellStyle name="60% - Accent5 2" xfId="266"/>
    <cellStyle name="60% - Accent5 3" xfId="404"/>
    <cellStyle name="60% - Accent6" xfId="208"/>
    <cellStyle name="60% - Accent6 2" xfId="267"/>
    <cellStyle name="60% - Accent6 3" xfId="405"/>
    <cellStyle name="60% - הדגשה1" xfId="109" builtinId="32" customBuiltin="1"/>
    <cellStyle name="60% - הדגשה2" xfId="113" builtinId="36" customBuiltin="1"/>
    <cellStyle name="60% - הדגשה3" xfId="117" builtinId="40" customBuiltin="1"/>
    <cellStyle name="60% - הדגשה4" xfId="121" builtinId="44" customBuiltin="1"/>
    <cellStyle name="60% - הדגשה5" xfId="125" builtinId="48" customBuiltin="1"/>
    <cellStyle name="60% - הדגשה6" xfId="129" builtinId="52" customBuiltin="1"/>
    <cellStyle name="Accent1" xfId="209"/>
    <cellStyle name="Accent1 2" xfId="268"/>
    <cellStyle name="Accent1 3" xfId="406"/>
    <cellStyle name="Accent2" xfId="210"/>
    <cellStyle name="Accent2 2" xfId="269"/>
    <cellStyle name="Accent2 3" xfId="407"/>
    <cellStyle name="Accent3" xfId="211"/>
    <cellStyle name="Accent3 2" xfId="270"/>
    <cellStyle name="Accent3 3" xfId="408"/>
    <cellStyle name="Accent4" xfId="212"/>
    <cellStyle name="Accent4 2" xfId="271"/>
    <cellStyle name="Accent4 3" xfId="409"/>
    <cellStyle name="Accent5" xfId="213"/>
    <cellStyle name="Accent5 2" xfId="272"/>
    <cellStyle name="Accent5 3" xfId="410"/>
    <cellStyle name="Accent6" xfId="214"/>
    <cellStyle name="Accent6 2" xfId="273"/>
    <cellStyle name="Accent6 3" xfId="411"/>
    <cellStyle name="Bad" xfId="215"/>
    <cellStyle name="Bad 2" xfId="274"/>
    <cellStyle name="Bad 3" xfId="412"/>
    <cellStyle name="Calculation" xfId="216"/>
    <cellStyle name="Calculation 2" xfId="275"/>
    <cellStyle name="Calculation 2 2" xfId="413"/>
    <cellStyle name="Calculation 2 2 10" xfId="1343"/>
    <cellStyle name="Calculation 2 2 10 2" xfId="2016"/>
    <cellStyle name="Calculation 2 2 11" xfId="814"/>
    <cellStyle name="Calculation 2 2 12" xfId="2617"/>
    <cellStyle name="Calculation 2 2 13" xfId="739"/>
    <cellStyle name="Calculation 2 2 14" xfId="701"/>
    <cellStyle name="Calculation 2 2 2" xfId="414"/>
    <cellStyle name="Calculation 2 2 2 10" xfId="772"/>
    <cellStyle name="Calculation 2 2 2 2" xfId="893"/>
    <cellStyle name="Calculation 2 2 2 2 2" xfId="1298"/>
    <cellStyle name="Calculation 2 2 2 2 2 2" xfId="1520"/>
    <cellStyle name="Calculation 2 2 2 2 2 2 2" xfId="2190"/>
    <cellStyle name="Calculation 2 2 2 2 2 3" xfId="1698"/>
    <cellStyle name="Calculation 2 2 2 2 2 3 2" xfId="2367"/>
    <cellStyle name="Calculation 2 2 2 2 2 4" xfId="1887"/>
    <cellStyle name="Calculation 2 2 2 2 2 4 2" xfId="2556"/>
    <cellStyle name="Calculation 2 2 2 2 3" xfId="1326"/>
    <cellStyle name="Calculation 2 2 2 2 3 2" xfId="1540"/>
    <cellStyle name="Calculation 2 2 2 2 3 2 2" xfId="2210"/>
    <cellStyle name="Calculation 2 2 2 2 3 3" xfId="1726"/>
    <cellStyle name="Calculation 2 2 2 2 3 3 2" xfId="2395"/>
    <cellStyle name="Calculation 2 2 2 2 3 4" xfId="1915"/>
    <cellStyle name="Calculation 2 2 2 2 3 4 2" xfId="2584"/>
    <cellStyle name="Calculation 2 2 2 2 4" xfId="1413"/>
    <cellStyle name="Calculation 2 2 2 2 4 2" xfId="2085"/>
    <cellStyle name="Calculation 2 2 2 2 5" xfId="1594"/>
    <cellStyle name="Calculation 2 2 2 2 5 2" xfId="2263"/>
    <cellStyle name="Calculation 2 2 2 2 6" xfId="1783"/>
    <cellStyle name="Calculation 2 2 2 2 6 2" xfId="2452"/>
    <cellStyle name="Calculation 2 2 2 2 7" xfId="1180"/>
    <cellStyle name="Calculation 2 2 2 2 8" xfId="2737"/>
    <cellStyle name="Calculation 2 2 2 3" xfId="864"/>
    <cellStyle name="Calculation 2 2 2 3 2" xfId="1460"/>
    <cellStyle name="Calculation 2 2 2 3 2 2" xfId="2131"/>
    <cellStyle name="Calculation 2 2 2 3 3" xfId="1640"/>
    <cellStyle name="Calculation 2 2 2 3 3 2" xfId="2309"/>
    <cellStyle name="Calculation 2 2 2 3 4" xfId="1829"/>
    <cellStyle name="Calculation 2 2 2 3 4 2" xfId="2498"/>
    <cellStyle name="Calculation 2 2 2 3 5" xfId="1228"/>
    <cellStyle name="Calculation 2 2 2 4" xfId="1133"/>
    <cellStyle name="Calculation 2 2 2 5" xfId="1357"/>
    <cellStyle name="Calculation 2 2 2 5 2" xfId="2030"/>
    <cellStyle name="Calculation 2 2 2 6" xfId="1030"/>
    <cellStyle name="Calculation 2 2 2 6 2" xfId="1951"/>
    <cellStyle name="Calculation 2 2 2 7" xfId="1001"/>
    <cellStyle name="Calculation 2 2 2 7 2" xfId="1939"/>
    <cellStyle name="Calculation 2 2 2 8" xfId="836"/>
    <cellStyle name="Calculation 2 2 2 9" xfId="2662"/>
    <cellStyle name="Calculation 2 2 3" xfId="821"/>
    <cellStyle name="Calculation 2 2 3 2" xfId="1266"/>
    <cellStyle name="Calculation 2 2 3 2 2" xfId="1491"/>
    <cellStyle name="Calculation 2 2 3 2 2 2" xfId="2161"/>
    <cellStyle name="Calculation 2 2 3 2 3" xfId="1669"/>
    <cellStyle name="Calculation 2 2 3 2 3 2" xfId="2338"/>
    <cellStyle name="Calculation 2 2 3 2 4" xfId="1858"/>
    <cellStyle name="Calculation 2 2 3 2 4 2" xfId="2527"/>
    <cellStyle name="Calculation 2 2 3 3" xfId="1385"/>
    <cellStyle name="Calculation 2 2 3 3 2" xfId="2058"/>
    <cellStyle name="Calculation 2 2 3 4" xfId="1566"/>
    <cellStyle name="Calculation 2 2 3 4 2" xfId="2236"/>
    <cellStyle name="Calculation 2 2 3 5" xfId="1756"/>
    <cellStyle name="Calculation 2 2 3 5 2" xfId="2425"/>
    <cellStyle name="Calculation 2 2 3 6" xfId="2705"/>
    <cellStyle name="Calculation 2 2 4" xfId="1162"/>
    <cellStyle name="Calculation 2 2 4 2" xfId="1278"/>
    <cellStyle name="Calculation 2 2 4 2 2" xfId="1500"/>
    <cellStyle name="Calculation 2 2 4 2 2 2" xfId="2170"/>
    <cellStyle name="Calculation 2 2 4 2 3" xfId="1678"/>
    <cellStyle name="Calculation 2 2 4 2 3 2" xfId="2347"/>
    <cellStyle name="Calculation 2 2 4 2 4" xfId="1867"/>
    <cellStyle name="Calculation 2 2 4 2 4 2" xfId="2536"/>
    <cellStyle name="Calculation 2 2 4 3" xfId="1395"/>
    <cellStyle name="Calculation 2 2 4 3 2" xfId="2067"/>
    <cellStyle name="Calculation 2 2 4 4" xfId="1576"/>
    <cellStyle name="Calculation 2 2 4 4 2" xfId="2245"/>
    <cellStyle name="Calculation 2 2 4 5" xfId="1765"/>
    <cellStyle name="Calculation 2 2 4 5 2" xfId="2434"/>
    <cellStyle name="Calculation 2 2 4 6" xfId="2717"/>
    <cellStyle name="Calculation 2 2 5" xfId="1197"/>
    <cellStyle name="Calculation 2 2 5 2" xfId="1430"/>
    <cellStyle name="Calculation 2 2 5 2 2" xfId="2101"/>
    <cellStyle name="Calculation 2 2 5 3" xfId="1610"/>
    <cellStyle name="Calculation 2 2 5 3 2" xfId="2279"/>
    <cellStyle name="Calculation 2 2 5 4" xfId="1799"/>
    <cellStyle name="Calculation 2 2 5 4 2" xfId="2468"/>
    <cellStyle name="Calculation 2 2 6" xfId="1195"/>
    <cellStyle name="Calculation 2 2 6 2" xfId="1427"/>
    <cellStyle name="Calculation 2 2 6 2 2" xfId="2099"/>
    <cellStyle name="Calculation 2 2 6 3" xfId="1608"/>
    <cellStyle name="Calculation 2 2 6 3 2" xfId="2277"/>
    <cellStyle name="Calculation 2 2 6 4" xfId="1797"/>
    <cellStyle name="Calculation 2 2 6 4 2" xfId="2466"/>
    <cellStyle name="Calculation 2 2 7" xfId="1058"/>
    <cellStyle name="Calculation 2 2 7 2" xfId="1971"/>
    <cellStyle name="Calculation 2 2 8" xfId="988"/>
    <cellStyle name="Calculation 2 2 8 2" xfId="1931"/>
    <cellStyle name="Calculation 2 2 9" xfId="1046"/>
    <cellStyle name="Calculation 2 2 9 2" xfId="1964"/>
    <cellStyle name="Calculation 2 3" xfId="415"/>
    <cellStyle name="Calculation 2 3 10" xfId="760"/>
    <cellStyle name="Calculation 2 3 2" xfId="894"/>
    <cellStyle name="Calculation 2 3 2 2" xfId="1257"/>
    <cellStyle name="Calculation 2 3 2 2 2" xfId="1485"/>
    <cellStyle name="Calculation 2 3 2 2 2 2" xfId="2155"/>
    <cellStyle name="Calculation 2 3 2 2 3" xfId="1663"/>
    <cellStyle name="Calculation 2 3 2 2 3 2" xfId="2332"/>
    <cellStyle name="Calculation 2 3 2 2 4" xfId="1852"/>
    <cellStyle name="Calculation 2 3 2 2 4 2" xfId="2521"/>
    <cellStyle name="Calculation 2 3 2 3" xfId="1314"/>
    <cellStyle name="Calculation 2 3 2 3 2" xfId="1533"/>
    <cellStyle name="Calculation 2 3 2 3 2 2" xfId="2203"/>
    <cellStyle name="Calculation 2 3 2 3 3" xfId="1714"/>
    <cellStyle name="Calculation 2 3 2 3 3 2" xfId="2383"/>
    <cellStyle name="Calculation 2 3 2 3 4" xfId="1903"/>
    <cellStyle name="Calculation 2 3 2 3 4 2" xfId="2572"/>
    <cellStyle name="Calculation 2 3 2 4" xfId="1380"/>
    <cellStyle name="Calculation 2 3 2 4 2" xfId="2053"/>
    <cellStyle name="Calculation 2 3 2 5" xfId="1561"/>
    <cellStyle name="Calculation 2 3 2 5 2" xfId="2231"/>
    <cellStyle name="Calculation 2 3 2 6" xfId="1751"/>
    <cellStyle name="Calculation 2 3 2 6 2" xfId="2420"/>
    <cellStyle name="Calculation 2 3 2 7" xfId="1155"/>
    <cellStyle name="Calculation 2 3 2 8" xfId="2696"/>
    <cellStyle name="Calculation 2 3 3" xfId="850"/>
    <cellStyle name="Calculation 2 3 3 2" xfId="1443"/>
    <cellStyle name="Calculation 2 3 3 2 2" xfId="2114"/>
    <cellStyle name="Calculation 2 3 3 3" xfId="1623"/>
    <cellStyle name="Calculation 2 3 3 3 2" xfId="2292"/>
    <cellStyle name="Calculation 2 3 3 4" xfId="1812"/>
    <cellStyle name="Calculation 2 3 3 4 2" xfId="2481"/>
    <cellStyle name="Calculation 2 3 3 5" xfId="1210"/>
    <cellStyle name="Calculation 2 3 4" xfId="1111"/>
    <cellStyle name="Calculation 2 3 5" xfId="1337"/>
    <cellStyle name="Calculation 2 3 5 2" xfId="2010"/>
    <cellStyle name="Calculation 2 3 6" xfId="1107"/>
    <cellStyle name="Calculation 2 3 6 2" xfId="1999"/>
    <cellStyle name="Calculation 2 3 7" xfId="985"/>
    <cellStyle name="Calculation 2 3 7 2" xfId="1928"/>
    <cellStyle name="Calculation 2 3 8" xfId="845"/>
    <cellStyle name="Calculation 2 3 9" xfId="2641"/>
    <cellStyle name="Calculation 2 4" xfId="1147"/>
    <cellStyle name="Calculation 2 4 2" xfId="1243"/>
    <cellStyle name="Calculation 2 4 2 2" xfId="1475"/>
    <cellStyle name="Calculation 2 4 2 2 2" xfId="2145"/>
    <cellStyle name="Calculation 2 4 2 3" xfId="1653"/>
    <cellStyle name="Calculation 2 4 2 3 2" xfId="2322"/>
    <cellStyle name="Calculation 2 4 2 4" xfId="1842"/>
    <cellStyle name="Calculation 2 4 2 4 2" xfId="2511"/>
    <cellStyle name="Calculation 2 4 3" xfId="1370"/>
    <cellStyle name="Calculation 2 4 3 2" xfId="2043"/>
    <cellStyle name="Calculation 2 4 4" xfId="1551"/>
    <cellStyle name="Calculation 2 4 4 2" xfId="2221"/>
    <cellStyle name="Calculation 2 4 5" xfId="1741"/>
    <cellStyle name="Calculation 2 4 5 2" xfId="2410"/>
    <cellStyle name="Calculation 2 4 6" xfId="2682"/>
    <cellStyle name="Calculation 2 5" xfId="1012"/>
    <cellStyle name="Calculation 2 6" xfId="840"/>
    <cellStyle name="Calculation 2 7" xfId="2601"/>
    <cellStyle name="Calculation 2_בחירה מרשימה" xfId="416"/>
    <cellStyle name="Calculation 3" xfId="276"/>
    <cellStyle name="Calculation 3 2" xfId="417"/>
    <cellStyle name="Calculation 3 2 10" xfId="1472"/>
    <cellStyle name="Calculation 3 2 10 2" xfId="2142"/>
    <cellStyle name="Calculation 3 2 11" xfId="789"/>
    <cellStyle name="Calculation 3 2 12" xfId="2616"/>
    <cellStyle name="Calculation 3 2 13" xfId="738"/>
    <cellStyle name="Calculation 3 2 14" xfId="700"/>
    <cellStyle name="Calculation 3 2 2" xfId="418"/>
    <cellStyle name="Calculation 3 2 2 10" xfId="773"/>
    <cellStyle name="Calculation 3 2 2 2" xfId="895"/>
    <cellStyle name="Calculation 3 2 2 2 2" xfId="1299"/>
    <cellStyle name="Calculation 3 2 2 2 2 2" xfId="1521"/>
    <cellStyle name="Calculation 3 2 2 2 2 2 2" xfId="2191"/>
    <cellStyle name="Calculation 3 2 2 2 2 3" xfId="1699"/>
    <cellStyle name="Calculation 3 2 2 2 2 3 2" xfId="2368"/>
    <cellStyle name="Calculation 3 2 2 2 2 4" xfId="1888"/>
    <cellStyle name="Calculation 3 2 2 2 2 4 2" xfId="2557"/>
    <cellStyle name="Calculation 3 2 2 2 3" xfId="1327"/>
    <cellStyle name="Calculation 3 2 2 2 3 2" xfId="1541"/>
    <cellStyle name="Calculation 3 2 2 2 3 2 2" xfId="2211"/>
    <cellStyle name="Calculation 3 2 2 2 3 3" xfId="1727"/>
    <cellStyle name="Calculation 3 2 2 2 3 3 2" xfId="2396"/>
    <cellStyle name="Calculation 3 2 2 2 3 4" xfId="1916"/>
    <cellStyle name="Calculation 3 2 2 2 3 4 2" xfId="2585"/>
    <cellStyle name="Calculation 3 2 2 2 4" xfId="1414"/>
    <cellStyle name="Calculation 3 2 2 2 4 2" xfId="2086"/>
    <cellStyle name="Calculation 3 2 2 2 5" xfId="1595"/>
    <cellStyle name="Calculation 3 2 2 2 5 2" xfId="2264"/>
    <cellStyle name="Calculation 3 2 2 2 6" xfId="1784"/>
    <cellStyle name="Calculation 3 2 2 2 6 2" xfId="2453"/>
    <cellStyle name="Calculation 3 2 2 2 7" xfId="1181"/>
    <cellStyle name="Calculation 3 2 2 2 8" xfId="2738"/>
    <cellStyle name="Calculation 3 2 2 3" xfId="865"/>
    <cellStyle name="Calculation 3 2 2 3 2" xfId="1461"/>
    <cellStyle name="Calculation 3 2 2 3 2 2" xfId="2132"/>
    <cellStyle name="Calculation 3 2 2 3 3" xfId="1641"/>
    <cellStyle name="Calculation 3 2 2 3 3 2" xfId="2310"/>
    <cellStyle name="Calculation 3 2 2 3 4" xfId="1830"/>
    <cellStyle name="Calculation 3 2 2 3 4 2" xfId="2499"/>
    <cellStyle name="Calculation 3 2 2 3 5" xfId="1229"/>
    <cellStyle name="Calculation 3 2 2 4" xfId="1134"/>
    <cellStyle name="Calculation 3 2 2 5" xfId="1358"/>
    <cellStyle name="Calculation 3 2 2 5 2" xfId="2031"/>
    <cellStyle name="Calculation 3 2 2 6" xfId="1089"/>
    <cellStyle name="Calculation 3 2 2 6 2" xfId="1991"/>
    <cellStyle name="Calculation 3 2 2 7" xfId="1108"/>
    <cellStyle name="Calculation 3 2 2 7 2" xfId="2000"/>
    <cellStyle name="Calculation 3 2 2 8" xfId="833"/>
    <cellStyle name="Calculation 3 2 2 9" xfId="2663"/>
    <cellStyle name="Calculation 3 2 3" xfId="820"/>
    <cellStyle name="Calculation 3 2 3 2" xfId="1265"/>
    <cellStyle name="Calculation 3 2 3 2 2" xfId="1490"/>
    <cellStyle name="Calculation 3 2 3 2 2 2" xfId="2160"/>
    <cellStyle name="Calculation 3 2 3 2 3" xfId="1668"/>
    <cellStyle name="Calculation 3 2 3 2 3 2" xfId="2337"/>
    <cellStyle name="Calculation 3 2 3 2 4" xfId="1857"/>
    <cellStyle name="Calculation 3 2 3 2 4 2" xfId="2526"/>
    <cellStyle name="Calculation 3 2 3 3" xfId="1384"/>
    <cellStyle name="Calculation 3 2 3 3 2" xfId="2057"/>
    <cellStyle name="Calculation 3 2 3 4" xfId="1565"/>
    <cellStyle name="Calculation 3 2 3 4 2" xfId="2235"/>
    <cellStyle name="Calculation 3 2 3 5" xfId="1755"/>
    <cellStyle name="Calculation 3 2 3 5 2" xfId="2424"/>
    <cellStyle name="Calculation 3 2 3 6" xfId="2704"/>
    <cellStyle name="Calculation 3 2 4" xfId="1104"/>
    <cellStyle name="Calculation 3 2 4 2" xfId="1207"/>
    <cellStyle name="Calculation 3 2 4 2 2" xfId="1440"/>
    <cellStyle name="Calculation 3 2 4 2 2 2" xfId="2111"/>
    <cellStyle name="Calculation 3 2 4 2 3" xfId="1620"/>
    <cellStyle name="Calculation 3 2 4 2 3 2" xfId="2289"/>
    <cellStyle name="Calculation 3 2 4 2 4" xfId="1809"/>
    <cellStyle name="Calculation 3 2 4 2 4 2" xfId="2478"/>
    <cellStyle name="Calculation 3 2 4 3" xfId="1333"/>
    <cellStyle name="Calculation 3 2 4 3 2" xfId="2007"/>
    <cellStyle name="Calculation 3 2 4 4" xfId="1026"/>
    <cellStyle name="Calculation 3 2 4 4 2" xfId="1949"/>
    <cellStyle name="Calculation 3 2 4 5" xfId="1101"/>
    <cellStyle name="Calculation 3 2 4 5 2" xfId="1996"/>
    <cellStyle name="Calculation 3 2 4 6" xfId="2637"/>
    <cellStyle name="Calculation 3 2 5" xfId="1196"/>
    <cellStyle name="Calculation 3 2 5 2" xfId="1429"/>
    <cellStyle name="Calculation 3 2 5 2 2" xfId="2100"/>
    <cellStyle name="Calculation 3 2 5 3" xfId="1609"/>
    <cellStyle name="Calculation 3 2 5 3 2" xfId="2278"/>
    <cellStyle name="Calculation 3 2 5 4" xfId="1798"/>
    <cellStyle name="Calculation 3 2 5 4 2" xfId="2467"/>
    <cellStyle name="Calculation 3 2 6" xfId="1216"/>
    <cellStyle name="Calculation 3 2 6 2" xfId="1449"/>
    <cellStyle name="Calculation 3 2 6 2 2" xfId="2120"/>
    <cellStyle name="Calculation 3 2 6 3" xfId="1629"/>
    <cellStyle name="Calculation 3 2 6 3 2" xfId="2298"/>
    <cellStyle name="Calculation 3 2 6 4" xfId="1818"/>
    <cellStyle name="Calculation 3 2 6 4 2" xfId="2487"/>
    <cellStyle name="Calculation 3 2 7" xfId="1057"/>
    <cellStyle name="Calculation 3 2 7 2" xfId="1970"/>
    <cellStyle name="Calculation 3 2 8" xfId="999"/>
    <cellStyle name="Calculation 3 2 8 2" xfId="1937"/>
    <cellStyle name="Calculation 3 2 9" xfId="1028"/>
    <cellStyle name="Calculation 3 2 9 2" xfId="1950"/>
    <cellStyle name="Calculation 3 3" xfId="419"/>
    <cellStyle name="Calculation 3 3 10" xfId="771"/>
    <cellStyle name="Calculation 3 3 2" xfId="896"/>
    <cellStyle name="Calculation 3 3 2 2" xfId="1297"/>
    <cellStyle name="Calculation 3 3 2 2 2" xfId="1519"/>
    <cellStyle name="Calculation 3 3 2 2 2 2" xfId="2189"/>
    <cellStyle name="Calculation 3 3 2 2 3" xfId="1697"/>
    <cellStyle name="Calculation 3 3 2 2 3 2" xfId="2366"/>
    <cellStyle name="Calculation 3 3 2 2 4" xfId="1886"/>
    <cellStyle name="Calculation 3 3 2 2 4 2" xfId="2555"/>
    <cellStyle name="Calculation 3 3 2 3" xfId="1325"/>
    <cellStyle name="Calculation 3 3 2 3 2" xfId="1539"/>
    <cellStyle name="Calculation 3 3 2 3 2 2" xfId="2209"/>
    <cellStyle name="Calculation 3 3 2 3 3" xfId="1725"/>
    <cellStyle name="Calculation 3 3 2 3 3 2" xfId="2394"/>
    <cellStyle name="Calculation 3 3 2 3 4" xfId="1914"/>
    <cellStyle name="Calculation 3 3 2 3 4 2" xfId="2583"/>
    <cellStyle name="Calculation 3 3 2 4" xfId="1412"/>
    <cellStyle name="Calculation 3 3 2 4 2" xfId="2084"/>
    <cellStyle name="Calculation 3 3 2 5" xfId="1593"/>
    <cellStyle name="Calculation 3 3 2 5 2" xfId="2262"/>
    <cellStyle name="Calculation 3 3 2 6" xfId="1782"/>
    <cellStyle name="Calculation 3 3 2 6 2" xfId="2451"/>
    <cellStyle name="Calculation 3 3 2 7" xfId="1179"/>
    <cellStyle name="Calculation 3 3 2 8" xfId="2736"/>
    <cellStyle name="Calculation 3 3 3" xfId="863"/>
    <cellStyle name="Calculation 3 3 3 2" xfId="1451"/>
    <cellStyle name="Calculation 3 3 3 2 2" xfId="2122"/>
    <cellStyle name="Calculation 3 3 3 3" xfId="1631"/>
    <cellStyle name="Calculation 3 3 3 3 2" xfId="2300"/>
    <cellStyle name="Calculation 3 3 3 4" xfId="1820"/>
    <cellStyle name="Calculation 3 3 3 4 2" xfId="2489"/>
    <cellStyle name="Calculation 3 3 3 5" xfId="1218"/>
    <cellStyle name="Calculation 3 3 4" xfId="1121"/>
    <cellStyle name="Calculation 3 3 5" xfId="1347"/>
    <cellStyle name="Calculation 3 3 5 2" xfId="2020"/>
    <cellStyle name="Calculation 3 3 6" xfId="993"/>
    <cellStyle name="Calculation 3 3 6 2" xfId="1933"/>
    <cellStyle name="Calculation 3 3 7" xfId="986"/>
    <cellStyle name="Calculation 3 3 7 2" xfId="1929"/>
    <cellStyle name="Calculation 3 3 8" xfId="839"/>
    <cellStyle name="Calculation 3 3 9" xfId="2652"/>
    <cellStyle name="Calculation 3 4" xfId="1154"/>
    <cellStyle name="Calculation 3 4 2" xfId="1255"/>
    <cellStyle name="Calculation 3 4 2 2" xfId="1483"/>
    <cellStyle name="Calculation 3 4 2 2 2" xfId="2153"/>
    <cellStyle name="Calculation 3 4 2 3" xfId="1661"/>
    <cellStyle name="Calculation 3 4 2 3 2" xfId="2330"/>
    <cellStyle name="Calculation 3 4 2 4" xfId="1850"/>
    <cellStyle name="Calculation 3 4 2 4 2" xfId="2519"/>
    <cellStyle name="Calculation 3 4 3" xfId="1378"/>
    <cellStyle name="Calculation 3 4 3 2" xfId="2051"/>
    <cellStyle name="Calculation 3 4 4" xfId="1559"/>
    <cellStyle name="Calculation 3 4 4 2" xfId="2229"/>
    <cellStyle name="Calculation 3 4 5" xfId="1749"/>
    <cellStyle name="Calculation 3 4 5 2" xfId="2418"/>
    <cellStyle name="Calculation 3 4 6" xfId="2694"/>
    <cellStyle name="Calculation 3 5" xfId="1034"/>
    <cellStyle name="Calculation 3 6" xfId="796"/>
    <cellStyle name="Calculation 3 7" xfId="2612"/>
    <cellStyle name="Calculation 3_בחירה מרשימה" xfId="420"/>
    <cellStyle name="Calculation 4" xfId="421"/>
    <cellStyle name="Calculation 4 10" xfId="751"/>
    <cellStyle name="Calculation 4 2" xfId="897"/>
    <cellStyle name="Calculation 4 2 2" xfId="1259"/>
    <cellStyle name="Calculation 4 2 2 2" xfId="1487"/>
    <cellStyle name="Calculation 4 2 2 2 2" xfId="2157"/>
    <cellStyle name="Calculation 4 2 2 3" xfId="1665"/>
    <cellStyle name="Calculation 4 2 2 3 2" xfId="2334"/>
    <cellStyle name="Calculation 4 2 2 4" xfId="1854"/>
    <cellStyle name="Calculation 4 2 2 4 2" xfId="2523"/>
    <cellStyle name="Calculation 4 2 3" xfId="1315"/>
    <cellStyle name="Calculation 4 2 3 2" xfId="1534"/>
    <cellStyle name="Calculation 4 2 3 2 2" xfId="2204"/>
    <cellStyle name="Calculation 4 2 3 3" xfId="1715"/>
    <cellStyle name="Calculation 4 2 3 3 2" xfId="2384"/>
    <cellStyle name="Calculation 4 2 3 4" xfId="1904"/>
    <cellStyle name="Calculation 4 2 3 4 2" xfId="2573"/>
    <cellStyle name="Calculation 4 2 4" xfId="1381"/>
    <cellStyle name="Calculation 4 2 4 2" xfId="2054"/>
    <cellStyle name="Calculation 4 2 5" xfId="1562"/>
    <cellStyle name="Calculation 4 2 5 2" xfId="2232"/>
    <cellStyle name="Calculation 4 2 6" xfId="1752"/>
    <cellStyle name="Calculation 4 2 6 2" xfId="2421"/>
    <cellStyle name="Calculation 4 2 7" xfId="1157"/>
    <cellStyle name="Calculation 4 2 8" xfId="2698"/>
    <cellStyle name="Calculation 4 3" xfId="837"/>
    <cellStyle name="Calculation 4 3 2" xfId="1435"/>
    <cellStyle name="Calculation 4 3 2 2" xfId="2106"/>
    <cellStyle name="Calculation 4 3 3" xfId="1615"/>
    <cellStyle name="Calculation 4 3 3 2" xfId="2284"/>
    <cellStyle name="Calculation 4 3 4" xfId="1804"/>
    <cellStyle name="Calculation 4 3 4 2" xfId="2473"/>
    <cellStyle name="Calculation 4 3 5" xfId="1202"/>
    <cellStyle name="Calculation 4 4" xfId="1092"/>
    <cellStyle name="Calculation 4 5" xfId="982"/>
    <cellStyle name="Calculation 4 5 2" xfId="1925"/>
    <cellStyle name="Calculation 4 6" xfId="1043"/>
    <cellStyle name="Calculation 4 6 2" xfId="1962"/>
    <cellStyle name="Calculation 4 7" xfId="1047"/>
    <cellStyle name="Calculation 4 7 2" xfId="1965"/>
    <cellStyle name="Calculation 4 8" xfId="805"/>
    <cellStyle name="Calculation 4 9" xfId="2631"/>
    <cellStyle name="Calculation 5" xfId="1126"/>
    <cellStyle name="Calculation 5 2" xfId="1223"/>
    <cellStyle name="Calculation 5 2 2" xfId="1455"/>
    <cellStyle name="Calculation 5 2 2 2" xfId="2126"/>
    <cellStyle name="Calculation 5 2 3" xfId="1635"/>
    <cellStyle name="Calculation 5 2 3 2" xfId="2304"/>
    <cellStyle name="Calculation 5 2 4" xfId="1824"/>
    <cellStyle name="Calculation 5 2 4 2" xfId="2493"/>
    <cellStyle name="Calculation 5 3" xfId="1351"/>
    <cellStyle name="Calculation 5 3 2" xfId="2024"/>
    <cellStyle name="Calculation 5 4" xfId="994"/>
    <cellStyle name="Calculation 5 4 2" xfId="1934"/>
    <cellStyle name="Calculation 5 5" xfId="989"/>
    <cellStyle name="Calculation 5 5 2" xfId="1932"/>
    <cellStyle name="Calculation 5 6" xfId="2657"/>
    <cellStyle name="Calculation 6" xfId="1189"/>
    <cellStyle name="Calculation 6 2" xfId="1422"/>
    <cellStyle name="Calculation 6 2 2" xfId="2094"/>
    <cellStyle name="Calculation 6 3" xfId="1602"/>
    <cellStyle name="Calculation 6 3 2" xfId="2271"/>
    <cellStyle name="Calculation 6 4" xfId="1791"/>
    <cellStyle name="Calculation 6 4 2" xfId="2460"/>
    <cellStyle name="Calculation 7" xfId="2592"/>
    <cellStyle name="Calculation_בחירה מרשימה" xfId="422"/>
    <cellStyle name="Check Cell" xfId="217"/>
    <cellStyle name="Check Cell 2" xfId="277"/>
    <cellStyle name="Check Cell 3" xfId="423"/>
    <cellStyle name="Comma" xfId="66" builtinId="3"/>
    <cellStyle name="Comma 2" xfId="19"/>
    <cellStyle name="Comma 2 2" xfId="133"/>
    <cellStyle name="Comma 2 2 2" xfId="151"/>
    <cellStyle name="Comma 2 2 2 2" xfId="158"/>
    <cellStyle name="Comma 2 2 2 3" xfId="2747"/>
    <cellStyle name="Comma 2 2 3" xfId="154"/>
    <cellStyle name="Comma 2 2 4" xfId="162"/>
    <cellStyle name="Comma 2 2 5" xfId="218"/>
    <cellStyle name="Comma 2 3" xfId="150"/>
    <cellStyle name="Comma 2 3 2" xfId="157"/>
    <cellStyle name="Comma 2 3 3" xfId="174"/>
    <cellStyle name="Comma 2 4" xfId="153"/>
    <cellStyle name="Comma 2 4 2" xfId="278"/>
    <cellStyle name="Comma 2 5" xfId="161"/>
    <cellStyle name="Comma 2 6" xfId="168"/>
    <cellStyle name="Comma 3" xfId="72"/>
    <cellStyle name="Comma 3 2" xfId="156"/>
    <cellStyle name="Comma 3 2 2" xfId="279"/>
    <cellStyle name="Comma 3 3" xfId="177"/>
    <cellStyle name="Comma 4" xfId="81"/>
    <cellStyle name="Comma 4 2" xfId="160"/>
    <cellStyle name="Comma 5" xfId="84"/>
    <cellStyle name="Comma 5 2" xfId="169"/>
    <cellStyle name="Comma 6" xfId="131"/>
    <cellStyle name="Comma 7" xfId="179"/>
    <cellStyle name="Currency 2" xfId="3"/>
    <cellStyle name="Currency 2 2" xfId="152"/>
    <cellStyle name="Currency 2 2 2" xfId="159"/>
    <cellStyle name="Currency 2 3" xfId="155"/>
    <cellStyle name="Currency 2 4" xfId="163"/>
    <cellStyle name="Currency 2 5" xfId="134"/>
    <cellStyle name="Currency 2 6" xfId="280"/>
    <cellStyle name="Currency 3" xfId="82"/>
    <cellStyle name="Explanatory Text" xfId="219"/>
    <cellStyle name="Explanatory Text 2" xfId="281"/>
    <cellStyle name="Explanatory Text 3" xfId="424"/>
    <cellStyle name="Good" xfId="220"/>
    <cellStyle name="Good 2" xfId="282"/>
    <cellStyle name="Good 3" xfId="425"/>
    <cellStyle name="Heading 1" xfId="221"/>
    <cellStyle name="Heading 1 2" xfId="283"/>
    <cellStyle name="Heading 1 3" xfId="426"/>
    <cellStyle name="Heading 2" xfId="222"/>
    <cellStyle name="Heading 2 2" xfId="284"/>
    <cellStyle name="Heading 2 3" xfId="427"/>
    <cellStyle name="Heading 3" xfId="223"/>
    <cellStyle name="Heading 3 2" xfId="285"/>
    <cellStyle name="Heading 3 3" xfId="428"/>
    <cellStyle name="Heading 4" xfId="224"/>
    <cellStyle name="Heading 4 2" xfId="286"/>
    <cellStyle name="Heading 4 3" xfId="429"/>
    <cellStyle name="Input" xfId="225"/>
    <cellStyle name="Input 2" xfId="287"/>
    <cellStyle name="Input 2 2" xfId="430"/>
    <cellStyle name="Input 2 2 10" xfId="1084"/>
    <cellStyle name="Input 2 2 10 2" xfId="1986"/>
    <cellStyle name="Input 2 2 11" xfId="847"/>
    <cellStyle name="Input 2 2 12" xfId="2618"/>
    <cellStyle name="Input 2 2 13" xfId="740"/>
    <cellStyle name="Input 2 2 14" xfId="702"/>
    <cellStyle name="Input 2 2 2" xfId="431"/>
    <cellStyle name="Input 2 2 2 10" xfId="774"/>
    <cellStyle name="Input 2 2 2 2" xfId="898"/>
    <cellStyle name="Input 2 2 2 2 2" xfId="1300"/>
    <cellStyle name="Input 2 2 2 2 2 2" xfId="1522"/>
    <cellStyle name="Input 2 2 2 2 2 2 2" xfId="2192"/>
    <cellStyle name="Input 2 2 2 2 2 3" xfId="1700"/>
    <cellStyle name="Input 2 2 2 2 2 3 2" xfId="2369"/>
    <cellStyle name="Input 2 2 2 2 2 4" xfId="1889"/>
    <cellStyle name="Input 2 2 2 2 2 4 2" xfId="2558"/>
    <cellStyle name="Input 2 2 2 2 3" xfId="1328"/>
    <cellStyle name="Input 2 2 2 2 3 2" xfId="1542"/>
    <cellStyle name="Input 2 2 2 2 3 2 2" xfId="2212"/>
    <cellStyle name="Input 2 2 2 2 3 3" xfId="1728"/>
    <cellStyle name="Input 2 2 2 2 3 3 2" xfId="2397"/>
    <cellStyle name="Input 2 2 2 2 3 4" xfId="1917"/>
    <cellStyle name="Input 2 2 2 2 3 4 2" xfId="2586"/>
    <cellStyle name="Input 2 2 2 2 4" xfId="1415"/>
    <cellStyle name="Input 2 2 2 2 4 2" xfId="2087"/>
    <cellStyle name="Input 2 2 2 2 5" xfId="1596"/>
    <cellStyle name="Input 2 2 2 2 5 2" xfId="2265"/>
    <cellStyle name="Input 2 2 2 2 6" xfId="1785"/>
    <cellStyle name="Input 2 2 2 2 6 2" xfId="2454"/>
    <cellStyle name="Input 2 2 2 2 7" xfId="1182"/>
    <cellStyle name="Input 2 2 2 2 8" xfId="2739"/>
    <cellStyle name="Input 2 2 2 3" xfId="866"/>
    <cellStyle name="Input 2 2 2 3 2" xfId="1462"/>
    <cellStyle name="Input 2 2 2 3 2 2" xfId="2133"/>
    <cellStyle name="Input 2 2 2 3 3" xfId="1642"/>
    <cellStyle name="Input 2 2 2 3 3 2" xfId="2311"/>
    <cellStyle name="Input 2 2 2 3 4" xfId="1831"/>
    <cellStyle name="Input 2 2 2 3 4 2" xfId="2500"/>
    <cellStyle name="Input 2 2 2 3 5" xfId="1230"/>
    <cellStyle name="Input 2 2 2 4" xfId="1135"/>
    <cellStyle name="Input 2 2 2 5" xfId="1359"/>
    <cellStyle name="Input 2 2 2 5 2" xfId="2032"/>
    <cellStyle name="Input 2 2 2 6" xfId="1106"/>
    <cellStyle name="Input 2 2 2 6 2" xfId="1998"/>
    <cellStyle name="Input 2 2 2 7" xfId="1095"/>
    <cellStyle name="Input 2 2 2 7 2" xfId="1994"/>
    <cellStyle name="Input 2 2 2 8" xfId="860"/>
    <cellStyle name="Input 2 2 2 9" xfId="2664"/>
    <cellStyle name="Input 2 2 3" xfId="822"/>
    <cellStyle name="Input 2 2 3 2" xfId="1267"/>
    <cellStyle name="Input 2 2 3 2 2" xfId="1492"/>
    <cellStyle name="Input 2 2 3 2 2 2" xfId="2162"/>
    <cellStyle name="Input 2 2 3 2 3" xfId="1670"/>
    <cellStyle name="Input 2 2 3 2 3 2" xfId="2339"/>
    <cellStyle name="Input 2 2 3 2 4" xfId="1859"/>
    <cellStyle name="Input 2 2 3 2 4 2" xfId="2528"/>
    <cellStyle name="Input 2 2 3 3" xfId="1386"/>
    <cellStyle name="Input 2 2 3 3 2" xfId="2059"/>
    <cellStyle name="Input 2 2 3 4" xfId="1567"/>
    <cellStyle name="Input 2 2 3 4 2" xfId="2237"/>
    <cellStyle name="Input 2 2 3 5" xfId="1757"/>
    <cellStyle name="Input 2 2 3 5 2" xfId="2426"/>
    <cellStyle name="Input 2 2 3 6" xfId="2706"/>
    <cellStyle name="Input 2 2 4" xfId="1166"/>
    <cellStyle name="Input 2 2 4 2" xfId="1282"/>
    <cellStyle name="Input 2 2 4 2 2" xfId="1504"/>
    <cellStyle name="Input 2 2 4 2 2 2" xfId="2174"/>
    <cellStyle name="Input 2 2 4 2 3" xfId="1682"/>
    <cellStyle name="Input 2 2 4 2 3 2" xfId="2351"/>
    <cellStyle name="Input 2 2 4 2 4" xfId="1871"/>
    <cellStyle name="Input 2 2 4 2 4 2" xfId="2540"/>
    <cellStyle name="Input 2 2 4 3" xfId="1399"/>
    <cellStyle name="Input 2 2 4 3 2" xfId="2071"/>
    <cellStyle name="Input 2 2 4 4" xfId="1580"/>
    <cellStyle name="Input 2 2 4 4 2" xfId="2249"/>
    <cellStyle name="Input 2 2 4 5" xfId="1769"/>
    <cellStyle name="Input 2 2 4 5 2" xfId="2438"/>
    <cellStyle name="Input 2 2 4 6" xfId="2721"/>
    <cellStyle name="Input 2 2 5" xfId="1198"/>
    <cellStyle name="Input 2 2 5 2" xfId="1431"/>
    <cellStyle name="Input 2 2 5 2 2" xfId="2102"/>
    <cellStyle name="Input 2 2 5 3" xfId="1611"/>
    <cellStyle name="Input 2 2 5 3 2" xfId="2280"/>
    <cellStyle name="Input 2 2 5 4" xfId="1800"/>
    <cellStyle name="Input 2 2 5 4 2" xfId="2469"/>
    <cellStyle name="Input 2 2 6" xfId="1193"/>
    <cellStyle name="Input 2 2 6 2" xfId="1425"/>
    <cellStyle name="Input 2 2 6 2 2" xfId="2097"/>
    <cellStyle name="Input 2 2 6 3" xfId="1606"/>
    <cellStyle name="Input 2 2 6 3 2" xfId="2275"/>
    <cellStyle name="Input 2 2 6 4" xfId="1795"/>
    <cellStyle name="Input 2 2 6 4 2" xfId="2464"/>
    <cellStyle name="Input 2 2 7" xfId="1059"/>
    <cellStyle name="Input 2 2 7 2" xfId="1972"/>
    <cellStyle name="Input 2 2 8" xfId="1070"/>
    <cellStyle name="Input 2 2 8 2" xfId="1974"/>
    <cellStyle name="Input 2 2 9" xfId="1096"/>
    <cellStyle name="Input 2 2 9 2" xfId="1995"/>
    <cellStyle name="Input 2 3" xfId="432"/>
    <cellStyle name="Input 2 3 10" xfId="762"/>
    <cellStyle name="Input 2 3 2" xfId="899"/>
    <cellStyle name="Input 2 3 2 2" xfId="1284"/>
    <cellStyle name="Input 2 3 2 2 2" xfId="1506"/>
    <cellStyle name="Input 2 3 2 2 2 2" xfId="2176"/>
    <cellStyle name="Input 2 3 2 2 3" xfId="1684"/>
    <cellStyle name="Input 2 3 2 2 3 2" xfId="2353"/>
    <cellStyle name="Input 2 3 2 2 4" xfId="1873"/>
    <cellStyle name="Input 2 3 2 2 4 2" xfId="2542"/>
    <cellStyle name="Input 2 3 2 3" xfId="1320"/>
    <cellStyle name="Input 2 3 2 3 2" xfId="1536"/>
    <cellStyle name="Input 2 3 2 3 2 2" xfId="2206"/>
    <cellStyle name="Input 2 3 2 3 3" xfId="1720"/>
    <cellStyle name="Input 2 3 2 3 3 2" xfId="2389"/>
    <cellStyle name="Input 2 3 2 3 4" xfId="1909"/>
    <cellStyle name="Input 2 3 2 3 4 2" xfId="2578"/>
    <cellStyle name="Input 2 3 2 4" xfId="1400"/>
    <cellStyle name="Input 2 3 2 4 2" xfId="2072"/>
    <cellStyle name="Input 2 3 2 5" xfId="1581"/>
    <cellStyle name="Input 2 3 2 5 2" xfId="2250"/>
    <cellStyle name="Input 2 3 2 6" xfId="1770"/>
    <cellStyle name="Input 2 3 2 6 2" xfId="2439"/>
    <cellStyle name="Input 2 3 2 7" xfId="1168"/>
    <cellStyle name="Input 2 3 2 8" xfId="2723"/>
    <cellStyle name="Input 2 3 3" xfId="852"/>
    <cellStyle name="Input 2 3 3 2" xfId="1445"/>
    <cellStyle name="Input 2 3 3 2 2" xfId="2116"/>
    <cellStyle name="Input 2 3 3 3" xfId="1625"/>
    <cellStyle name="Input 2 3 3 3 2" xfId="2294"/>
    <cellStyle name="Input 2 3 3 4" xfId="1814"/>
    <cellStyle name="Input 2 3 3 4 2" xfId="2483"/>
    <cellStyle name="Input 2 3 3 5" xfId="1212"/>
    <cellStyle name="Input 2 3 4" xfId="1113"/>
    <cellStyle name="Input 2 3 5" xfId="1339"/>
    <cellStyle name="Input 2 3 5 2" xfId="2012"/>
    <cellStyle name="Input 2 3 6" xfId="983"/>
    <cellStyle name="Input 2 3 6 2" xfId="1926"/>
    <cellStyle name="Input 2 3 7" xfId="1032"/>
    <cellStyle name="Input 2 3 7 2" xfId="1953"/>
    <cellStyle name="Input 2 3 8" xfId="809"/>
    <cellStyle name="Input 2 3 9" xfId="2643"/>
    <cellStyle name="Input 2 4" xfId="1149"/>
    <cellStyle name="Input 2 4 2" xfId="1245"/>
    <cellStyle name="Input 2 4 2 2" xfId="1477"/>
    <cellStyle name="Input 2 4 2 2 2" xfId="2147"/>
    <cellStyle name="Input 2 4 2 3" xfId="1655"/>
    <cellStyle name="Input 2 4 2 3 2" xfId="2324"/>
    <cellStyle name="Input 2 4 2 4" xfId="1844"/>
    <cellStyle name="Input 2 4 2 4 2" xfId="2513"/>
    <cellStyle name="Input 2 4 3" xfId="1372"/>
    <cellStyle name="Input 2 4 3 2" xfId="2045"/>
    <cellStyle name="Input 2 4 4" xfId="1553"/>
    <cellStyle name="Input 2 4 4 2" xfId="2223"/>
    <cellStyle name="Input 2 4 5" xfId="1743"/>
    <cellStyle name="Input 2 4 5 2" xfId="2412"/>
    <cellStyle name="Input 2 4 6" xfId="2684"/>
    <cellStyle name="Input 2 5" xfId="1014"/>
    <cellStyle name="Input 2 6" xfId="835"/>
    <cellStyle name="Input 2 7" xfId="2603"/>
    <cellStyle name="Input 2_בחירה מרשימה" xfId="433"/>
    <cellStyle name="Input 3" xfId="288"/>
    <cellStyle name="Input 3 2" xfId="434"/>
    <cellStyle name="Input 3 2 10" xfId="1087"/>
    <cellStyle name="Input 3 2 10 2" xfId="1989"/>
    <cellStyle name="Input 3 2 11" xfId="844"/>
    <cellStyle name="Input 3 2 12" xfId="2619"/>
    <cellStyle name="Input 3 2 13" xfId="741"/>
    <cellStyle name="Input 3 2 14" xfId="703"/>
    <cellStyle name="Input 3 2 2" xfId="435"/>
    <cellStyle name="Input 3 2 2 10" xfId="775"/>
    <cellStyle name="Input 3 2 2 2" xfId="900"/>
    <cellStyle name="Input 3 2 2 2 2" xfId="1301"/>
    <cellStyle name="Input 3 2 2 2 2 2" xfId="1523"/>
    <cellStyle name="Input 3 2 2 2 2 2 2" xfId="2193"/>
    <cellStyle name="Input 3 2 2 2 2 3" xfId="1701"/>
    <cellStyle name="Input 3 2 2 2 2 3 2" xfId="2370"/>
    <cellStyle name="Input 3 2 2 2 2 4" xfId="1890"/>
    <cellStyle name="Input 3 2 2 2 2 4 2" xfId="2559"/>
    <cellStyle name="Input 3 2 2 2 3" xfId="1329"/>
    <cellStyle name="Input 3 2 2 2 3 2" xfId="1543"/>
    <cellStyle name="Input 3 2 2 2 3 2 2" xfId="2213"/>
    <cellStyle name="Input 3 2 2 2 3 3" xfId="1729"/>
    <cellStyle name="Input 3 2 2 2 3 3 2" xfId="2398"/>
    <cellStyle name="Input 3 2 2 2 3 4" xfId="1918"/>
    <cellStyle name="Input 3 2 2 2 3 4 2" xfId="2587"/>
    <cellStyle name="Input 3 2 2 2 4" xfId="1416"/>
    <cellStyle name="Input 3 2 2 2 4 2" xfId="2088"/>
    <cellStyle name="Input 3 2 2 2 5" xfId="1597"/>
    <cellStyle name="Input 3 2 2 2 5 2" xfId="2266"/>
    <cellStyle name="Input 3 2 2 2 6" xfId="1786"/>
    <cellStyle name="Input 3 2 2 2 6 2" xfId="2455"/>
    <cellStyle name="Input 3 2 2 2 7" xfId="1183"/>
    <cellStyle name="Input 3 2 2 2 8" xfId="2740"/>
    <cellStyle name="Input 3 2 2 3" xfId="867"/>
    <cellStyle name="Input 3 2 2 3 2" xfId="1463"/>
    <cellStyle name="Input 3 2 2 3 2 2" xfId="2134"/>
    <cellStyle name="Input 3 2 2 3 3" xfId="1643"/>
    <cellStyle name="Input 3 2 2 3 3 2" xfId="2312"/>
    <cellStyle name="Input 3 2 2 3 4" xfId="1832"/>
    <cellStyle name="Input 3 2 2 3 4 2" xfId="2501"/>
    <cellStyle name="Input 3 2 2 3 5" xfId="1231"/>
    <cellStyle name="Input 3 2 2 4" xfId="1136"/>
    <cellStyle name="Input 3 2 2 5" xfId="1360"/>
    <cellStyle name="Input 3 2 2 5 2" xfId="2033"/>
    <cellStyle name="Input 3 2 2 6" xfId="1022"/>
    <cellStyle name="Input 3 2 2 6 2" xfId="1945"/>
    <cellStyle name="Input 3 2 2 7" xfId="1053"/>
    <cellStyle name="Input 3 2 2 7 2" xfId="1968"/>
    <cellStyle name="Input 3 2 2 8" xfId="859"/>
    <cellStyle name="Input 3 2 2 9" xfId="2665"/>
    <cellStyle name="Input 3 2 3" xfId="823"/>
    <cellStyle name="Input 3 2 3 2" xfId="1268"/>
    <cellStyle name="Input 3 2 3 2 2" xfId="1493"/>
    <cellStyle name="Input 3 2 3 2 2 2" xfId="2163"/>
    <cellStyle name="Input 3 2 3 2 3" xfId="1671"/>
    <cellStyle name="Input 3 2 3 2 3 2" xfId="2340"/>
    <cellStyle name="Input 3 2 3 2 4" xfId="1860"/>
    <cellStyle name="Input 3 2 3 2 4 2" xfId="2529"/>
    <cellStyle name="Input 3 2 3 3" xfId="1387"/>
    <cellStyle name="Input 3 2 3 3 2" xfId="2060"/>
    <cellStyle name="Input 3 2 3 4" xfId="1568"/>
    <cellStyle name="Input 3 2 3 4 2" xfId="2238"/>
    <cellStyle name="Input 3 2 3 5" xfId="1758"/>
    <cellStyle name="Input 3 2 3 5 2" xfId="2427"/>
    <cellStyle name="Input 3 2 3 6" xfId="2707"/>
    <cellStyle name="Input 3 2 4" xfId="1158"/>
    <cellStyle name="Input 3 2 4 2" xfId="1260"/>
    <cellStyle name="Input 3 2 4 2 2" xfId="1488"/>
    <cellStyle name="Input 3 2 4 2 2 2" xfId="2158"/>
    <cellStyle name="Input 3 2 4 2 3" xfId="1666"/>
    <cellStyle name="Input 3 2 4 2 3 2" xfId="2335"/>
    <cellStyle name="Input 3 2 4 2 4" xfId="1855"/>
    <cellStyle name="Input 3 2 4 2 4 2" xfId="2524"/>
    <cellStyle name="Input 3 2 4 3" xfId="1382"/>
    <cellStyle name="Input 3 2 4 3 2" xfId="2055"/>
    <cellStyle name="Input 3 2 4 4" xfId="1563"/>
    <cellStyle name="Input 3 2 4 4 2" xfId="2233"/>
    <cellStyle name="Input 3 2 4 5" xfId="1753"/>
    <cellStyle name="Input 3 2 4 5 2" xfId="2422"/>
    <cellStyle name="Input 3 2 4 6" xfId="2699"/>
    <cellStyle name="Input 3 2 5" xfId="1199"/>
    <cellStyle name="Input 3 2 5 2" xfId="1432"/>
    <cellStyle name="Input 3 2 5 2 2" xfId="2103"/>
    <cellStyle name="Input 3 2 5 3" xfId="1612"/>
    <cellStyle name="Input 3 2 5 3 2" xfId="2281"/>
    <cellStyle name="Input 3 2 5 4" xfId="1801"/>
    <cellStyle name="Input 3 2 5 4 2" xfId="2470"/>
    <cellStyle name="Input 3 2 6" xfId="1191"/>
    <cellStyle name="Input 3 2 6 2" xfId="1424"/>
    <cellStyle name="Input 3 2 6 2 2" xfId="2096"/>
    <cellStyle name="Input 3 2 6 3" xfId="1604"/>
    <cellStyle name="Input 3 2 6 3 2" xfId="2273"/>
    <cellStyle name="Input 3 2 6 4" xfId="1793"/>
    <cellStyle name="Input 3 2 6 4 2" xfId="2462"/>
    <cellStyle name="Input 3 2 7" xfId="1060"/>
    <cellStyle name="Input 3 2 7 2" xfId="1973"/>
    <cellStyle name="Input 3 2 8" xfId="1131"/>
    <cellStyle name="Input 3 2 8 2" xfId="2004"/>
    <cellStyle name="Input 3 2 9" xfId="987"/>
    <cellStyle name="Input 3 2 9 2" xfId="1930"/>
    <cellStyle name="Input 3 3" xfId="436"/>
    <cellStyle name="Input 3 3 10" xfId="761"/>
    <cellStyle name="Input 3 3 2" xfId="901"/>
    <cellStyle name="Input 3 3 2 2" xfId="1225"/>
    <cellStyle name="Input 3 3 2 2 2" xfId="1457"/>
    <cellStyle name="Input 3 3 2 2 2 2" xfId="2128"/>
    <cellStyle name="Input 3 3 2 2 3" xfId="1637"/>
    <cellStyle name="Input 3 3 2 2 3 2" xfId="2306"/>
    <cellStyle name="Input 3 3 2 2 4" xfId="1826"/>
    <cellStyle name="Input 3 3 2 2 4 2" xfId="2495"/>
    <cellStyle name="Input 3 3 2 3" xfId="1310"/>
    <cellStyle name="Input 3 3 2 3 2" xfId="1531"/>
    <cellStyle name="Input 3 3 2 3 2 2" xfId="2201"/>
    <cellStyle name="Input 3 3 2 3 3" xfId="1710"/>
    <cellStyle name="Input 3 3 2 3 3 2" xfId="2379"/>
    <cellStyle name="Input 3 3 2 3 4" xfId="1899"/>
    <cellStyle name="Input 3 3 2 3 4 2" xfId="2568"/>
    <cellStyle name="Input 3 3 2 4" xfId="1353"/>
    <cellStyle name="Input 3 3 2 4 2" xfId="2026"/>
    <cellStyle name="Input 3 3 2 5" xfId="1071"/>
    <cellStyle name="Input 3 3 2 5 2" xfId="1975"/>
    <cellStyle name="Input 3 3 2 6" xfId="1332"/>
    <cellStyle name="Input 3 3 2 6 2" xfId="2006"/>
    <cellStyle name="Input 3 3 2 7" xfId="1128"/>
    <cellStyle name="Input 3 3 2 8" xfId="2659"/>
    <cellStyle name="Input 3 3 3" xfId="851"/>
    <cellStyle name="Input 3 3 3 2" xfId="1444"/>
    <cellStyle name="Input 3 3 3 2 2" xfId="2115"/>
    <cellStyle name="Input 3 3 3 3" xfId="1624"/>
    <cellStyle name="Input 3 3 3 3 2" xfId="2293"/>
    <cellStyle name="Input 3 3 3 4" xfId="1813"/>
    <cellStyle name="Input 3 3 3 4 2" xfId="2482"/>
    <cellStyle name="Input 3 3 3 5" xfId="1211"/>
    <cellStyle name="Input 3 3 4" xfId="1112"/>
    <cellStyle name="Input 3 3 5" xfId="1338"/>
    <cellStyle name="Input 3 3 5 2" xfId="2011"/>
    <cellStyle name="Input 3 3 6" xfId="1079"/>
    <cellStyle name="Input 3 3 6 2" xfId="1983"/>
    <cellStyle name="Input 3 3 7" xfId="1005"/>
    <cellStyle name="Input 3 3 7 2" xfId="1941"/>
    <cellStyle name="Input 3 3 8" xfId="807"/>
    <cellStyle name="Input 3 3 9" xfId="2642"/>
    <cellStyle name="Input 3 4" xfId="1148"/>
    <cellStyle name="Input 3 4 2" xfId="1244"/>
    <cellStyle name="Input 3 4 2 2" xfId="1476"/>
    <cellStyle name="Input 3 4 2 2 2" xfId="2146"/>
    <cellStyle name="Input 3 4 2 3" xfId="1654"/>
    <cellStyle name="Input 3 4 2 3 2" xfId="2323"/>
    <cellStyle name="Input 3 4 2 4" xfId="1843"/>
    <cellStyle name="Input 3 4 2 4 2" xfId="2512"/>
    <cellStyle name="Input 3 4 3" xfId="1371"/>
    <cellStyle name="Input 3 4 3 2" xfId="2044"/>
    <cellStyle name="Input 3 4 4" xfId="1552"/>
    <cellStyle name="Input 3 4 4 2" xfId="2222"/>
    <cellStyle name="Input 3 4 5" xfId="1742"/>
    <cellStyle name="Input 3 4 5 2" xfId="2411"/>
    <cellStyle name="Input 3 4 6" xfId="2683"/>
    <cellStyle name="Input 3 5" xfId="1013"/>
    <cellStyle name="Input 3 6" xfId="834"/>
    <cellStyle name="Input 3 7" xfId="2602"/>
    <cellStyle name="Input 3_בחירה מרשימה" xfId="437"/>
    <cellStyle name="Input 4" xfId="438"/>
    <cellStyle name="Input 4 10" xfId="752"/>
    <cellStyle name="Input 4 2" xfId="902"/>
    <cellStyle name="Input 4 2 2" xfId="1288"/>
    <cellStyle name="Input 4 2 2 2" xfId="1510"/>
    <cellStyle name="Input 4 2 2 2 2" xfId="2180"/>
    <cellStyle name="Input 4 2 2 3" xfId="1688"/>
    <cellStyle name="Input 4 2 2 3 2" xfId="2357"/>
    <cellStyle name="Input 4 2 2 4" xfId="1877"/>
    <cellStyle name="Input 4 2 2 4 2" xfId="2546"/>
    <cellStyle name="Input 4 2 3" xfId="1322"/>
    <cellStyle name="Input 4 2 3 2" xfId="1538"/>
    <cellStyle name="Input 4 2 3 2 2" xfId="2208"/>
    <cellStyle name="Input 4 2 3 3" xfId="1722"/>
    <cellStyle name="Input 4 2 3 3 2" xfId="2391"/>
    <cellStyle name="Input 4 2 3 4" xfId="1911"/>
    <cellStyle name="Input 4 2 3 4 2" xfId="2580"/>
    <cellStyle name="Input 4 2 4" xfId="1403"/>
    <cellStyle name="Input 4 2 4 2" xfId="2075"/>
    <cellStyle name="Input 4 2 5" xfId="1584"/>
    <cellStyle name="Input 4 2 5 2" xfId="2253"/>
    <cellStyle name="Input 4 2 6" xfId="1773"/>
    <cellStyle name="Input 4 2 6 2" xfId="2442"/>
    <cellStyle name="Input 4 2 7" xfId="1171"/>
    <cellStyle name="Input 4 2 8" xfId="2727"/>
    <cellStyle name="Input 4 3" xfId="838"/>
    <cellStyle name="Input 4 3 2" xfId="1436"/>
    <cellStyle name="Input 4 3 2 2" xfId="2107"/>
    <cellStyle name="Input 4 3 3" xfId="1616"/>
    <cellStyle name="Input 4 3 3 2" xfId="2285"/>
    <cellStyle name="Input 4 3 4" xfId="1805"/>
    <cellStyle name="Input 4 3 4 2" xfId="2474"/>
    <cellStyle name="Input 4 3 5" xfId="1203"/>
    <cellStyle name="Input 4 4" xfId="1094"/>
    <cellStyle name="Input 4 5" xfId="1037"/>
    <cellStyle name="Input 4 5 2" xfId="1956"/>
    <cellStyle name="Input 4 6" xfId="1344"/>
    <cellStyle name="Input 4 6 2" xfId="2017"/>
    <cellStyle name="Input 4 7" xfId="1419"/>
    <cellStyle name="Input 4 7 2" xfId="2091"/>
    <cellStyle name="Input 4 8" xfId="846"/>
    <cellStyle name="Input 4 9" xfId="2632"/>
    <cellStyle name="Input 5" xfId="1130"/>
    <cellStyle name="Input 5 2" xfId="1227"/>
    <cellStyle name="Input 5 2 2" xfId="1459"/>
    <cellStyle name="Input 5 2 2 2" xfId="2130"/>
    <cellStyle name="Input 5 2 3" xfId="1639"/>
    <cellStyle name="Input 5 2 3 2" xfId="2308"/>
    <cellStyle name="Input 5 2 4" xfId="1828"/>
    <cellStyle name="Input 5 2 4 2" xfId="2497"/>
    <cellStyle name="Input 5 3" xfId="1355"/>
    <cellStyle name="Input 5 3 2" xfId="2028"/>
    <cellStyle name="Input 5 4" xfId="1088"/>
    <cellStyle name="Input 5 4 2" xfId="1990"/>
    <cellStyle name="Input 5 5" xfId="1137"/>
    <cellStyle name="Input 5 5 2" xfId="2005"/>
    <cellStyle name="Input 5 6" xfId="2661"/>
    <cellStyle name="Input 6" xfId="1194"/>
    <cellStyle name="Input 6 2" xfId="1426"/>
    <cellStyle name="Input 6 2 2" xfId="2098"/>
    <cellStyle name="Input 6 3" xfId="1607"/>
    <cellStyle name="Input 6 3 2" xfId="2276"/>
    <cellStyle name="Input 6 4" xfId="1796"/>
    <cellStyle name="Input 6 4 2" xfId="2465"/>
    <cellStyle name="Input 7" xfId="2593"/>
    <cellStyle name="Input_בחירה מרשימה" xfId="439"/>
    <cellStyle name="Linked Cell" xfId="226"/>
    <cellStyle name="Linked Cell 2" xfId="289"/>
    <cellStyle name="Linked Cell 3" xfId="440"/>
    <cellStyle name="Neutral" xfId="227"/>
    <cellStyle name="Neutral 2" xfId="290"/>
    <cellStyle name="Neutral 3" xfId="441"/>
    <cellStyle name="Normal" xfId="0" builtinId="0"/>
    <cellStyle name="Normal 10" xfId="4"/>
    <cellStyle name="Normal 10 2" xfId="291"/>
    <cellStyle name="Normal 10 2 2" xfId="442"/>
    <cellStyle name="Normal 10 2 3" xfId="677"/>
    <cellStyle name="Normal 10 3" xfId="443"/>
    <cellStyle name="Normal 10 4" xfId="650"/>
    <cellStyle name="Normal 10_בחירה מרשימה" xfId="444"/>
    <cellStyle name="Normal 11" xfId="5"/>
    <cellStyle name="Normal 11 2" xfId="888"/>
    <cellStyle name="Normal 11 3" xfId="292"/>
    <cellStyle name="Normal 12" xfId="6"/>
    <cellStyle name="Normal 12 2" xfId="445"/>
    <cellStyle name="Normal 12 3" xfId="892"/>
    <cellStyle name="Normal 12 4" xfId="691"/>
    <cellStyle name="Normal 13" xfId="7"/>
    <cellStyle name="Normal 13 2" xfId="446"/>
    <cellStyle name="Normal 13 3" xfId="692"/>
    <cellStyle name="Normal 14" xfId="86"/>
    <cellStyle name="Normal 14 2" xfId="447"/>
    <cellStyle name="Normal 14 3" xfId="693"/>
    <cellStyle name="Normal 15" xfId="87"/>
    <cellStyle name="Normal 15 2" xfId="448"/>
    <cellStyle name="Normal 15 3" xfId="694"/>
    <cellStyle name="Normal 15 4" xfId="293"/>
    <cellStyle name="Normal 16" xfId="89"/>
    <cellStyle name="Normal 16 2" xfId="449"/>
    <cellStyle name="Normal 16 3" xfId="695"/>
    <cellStyle name="Normal 16 4" xfId="294"/>
    <cellStyle name="Normal 17" xfId="130"/>
    <cellStyle name="Normal 17 2" xfId="707"/>
    <cellStyle name="Normal 17 3" xfId="2748"/>
    <cellStyle name="Normal 17 4" xfId="387"/>
    <cellStyle name="Normal 18" xfId="172"/>
    <cellStyle name="Normal 18 2" xfId="973"/>
    <cellStyle name="Normal 18 3" xfId="878"/>
    <cellStyle name="Normal 19" xfId="183"/>
    <cellStyle name="Normal 19 2" xfId="974"/>
    <cellStyle name="Normal 19 3" xfId="2788"/>
    <cellStyle name="Normal 2" xfId="8"/>
    <cellStyle name="Normal 2 10" xfId="184"/>
    <cellStyle name="Normal 2 2" xfId="20"/>
    <cellStyle name="Normal 2 2 2" xfId="135"/>
    <cellStyle name="Normal 2 2 2 2" xfId="181"/>
    <cellStyle name="Normal 2 2 3" xfId="450"/>
    <cellStyle name="Normal 2 2_בחירה מרשימה" xfId="451"/>
    <cellStyle name="Normal 2 3" xfId="18"/>
    <cellStyle name="Normal 2 3 2" xfId="136"/>
    <cellStyle name="Normal 2 3 2 2" xfId="889"/>
    <cellStyle name="Normal 2 3 3" xfId="295"/>
    <cellStyle name="Normal 2 4" xfId="21"/>
    <cellStyle name="Normal 2 5" xfId="22"/>
    <cellStyle name="Normal 2 5 2" xfId="145"/>
    <cellStyle name="Normal 2 5 2 2" xfId="452"/>
    <cellStyle name="Normal 2 5 3" xfId="696"/>
    <cellStyle name="Normal 2 6" xfId="137"/>
    <cellStyle name="Normal 2 7" xfId="132"/>
    <cellStyle name="Normal 2 8" xfId="138"/>
    <cellStyle name="Normal 2 8 2" xfId="146"/>
    <cellStyle name="Normal 2 9" xfId="148"/>
    <cellStyle name="Normal 2_בחירה מרשימה" xfId="453"/>
    <cellStyle name="Normal 20" xfId="1100"/>
    <cellStyle name="Normal 21" xfId="979"/>
    <cellStyle name="Normal 22" xfId="1334"/>
    <cellStyle name="Normal 23" xfId="1921"/>
    <cellStyle name="Normal 24" xfId="818"/>
    <cellStyle name="Normal 25" xfId="972"/>
    <cellStyle name="Normal 26" xfId="1922"/>
    <cellStyle name="Normal 27" xfId="815"/>
    <cellStyle name="Normal 28" xfId="2591"/>
    <cellStyle name="Normal 29" xfId="2590"/>
    <cellStyle name="Normal 3" xfId="2"/>
    <cellStyle name="Normal 3 10" xfId="794"/>
    <cellStyle name="Normal 3 11" xfId="633"/>
    <cellStyle name="Normal 3 12" xfId="2789"/>
    <cellStyle name="Normal 3 13" xfId="2786"/>
    <cellStyle name="Normal 3 14" xfId="2790"/>
    <cellStyle name="Normal 3 2" xfId="79"/>
    <cellStyle name="Normal 3 2 10" xfId="811"/>
    <cellStyle name="Normal 3 2 11" xfId="637"/>
    <cellStyle name="Normal 3 2 2" xfId="88"/>
    <cellStyle name="Normal 3 2 2 2" xfId="140"/>
    <cellStyle name="Normal 3 2 2 2 2" xfId="178"/>
    <cellStyle name="Normal 3 2 2 2 3" xfId="454"/>
    <cellStyle name="Normal 3 2 2 2 4" xfId="244"/>
    <cellStyle name="Normal 3 2 2 2_בחירה מרשימה" xfId="455"/>
    <cellStyle name="Normal 3 2 2 3" xfId="296"/>
    <cellStyle name="Normal 3 2 2 3 2" xfId="456"/>
    <cellStyle name="Normal 3 2 2 3 3" xfId="690"/>
    <cellStyle name="Normal 3 2 2 4" xfId="457"/>
    <cellStyle name="Normal 3 2 2 4 2" xfId="458"/>
    <cellStyle name="Normal 3 2 2 5" xfId="459"/>
    <cellStyle name="Normal 3 2 2 6" xfId="880"/>
    <cellStyle name="Normal 3 2 2 7" xfId="228"/>
    <cellStyle name="Normal 3 2 2_בחירה מרשימה" xfId="460"/>
    <cellStyle name="Normal 3 2 3" xfId="139"/>
    <cellStyle name="Normal 3 2 3 2" xfId="298"/>
    <cellStyle name="Normal 3 2 3 3" xfId="461"/>
    <cellStyle name="Normal 3 2 3 4" xfId="297"/>
    <cellStyle name="Normal 3 2 3_בחירה מרשימה" xfId="462"/>
    <cellStyle name="Normal 3 2 4" xfId="299"/>
    <cellStyle name="Normal 3 2 5" xfId="463"/>
    <cellStyle name="Normal 3 2 6" xfId="978"/>
    <cellStyle name="Normal 3 2 7" xfId="1002"/>
    <cellStyle name="Normal 3 2 8" xfId="1045"/>
    <cellStyle name="Normal 3 2 9" xfId="1388"/>
    <cellStyle name="Normal 3 2_בחירה מרשימה" xfId="464"/>
    <cellStyle name="Normal 3 3" xfId="83"/>
    <cellStyle name="Normal 3 3 2" xfId="164"/>
    <cellStyle name="Normal 3 3 2 2" xfId="301"/>
    <cellStyle name="Normal 3 3 2 2 2" xfId="465"/>
    <cellStyle name="Normal 3 3 2 2 3" xfId="678"/>
    <cellStyle name="Normal 3 3 2 3" xfId="466"/>
    <cellStyle name="Normal 3 3 2 4" xfId="651"/>
    <cellStyle name="Normal 3 3 2 5" xfId="300"/>
    <cellStyle name="Normal 3 3 2_בחירה מרשימה" xfId="467"/>
    <cellStyle name="Normal 3 3 3" xfId="302"/>
    <cellStyle name="Normal 3 3 3 2" xfId="468"/>
    <cellStyle name="Normal 3 3 3 3" xfId="666"/>
    <cellStyle name="Normal 3 3 4" xfId="469"/>
    <cellStyle name="Normal 3 3 5" xfId="638"/>
    <cellStyle name="Normal 3 3 6" xfId="229"/>
    <cellStyle name="Normal 3 3_בחירה מרשימה" xfId="470"/>
    <cellStyle name="Normal 3 4" xfId="303"/>
    <cellStyle name="Normal 3 5" xfId="471"/>
    <cellStyle name="Normal 3 6" xfId="879"/>
    <cellStyle name="Normal 3 6 2" xfId="975"/>
    <cellStyle name="Normal 3 7" xfId="1055"/>
    <cellStyle name="Normal 3 8" xfId="1102"/>
    <cellStyle name="Normal 3 9" xfId="1093"/>
    <cellStyle name="Normal 3_בחירה מרשימה" xfId="472"/>
    <cellStyle name="Normal 30" xfId="632"/>
    <cellStyle name="Normal 31" xfId="2749"/>
    <cellStyle name="Normal 32" xfId="2791"/>
    <cellStyle name="Normal 33" xfId="237"/>
    <cellStyle name="Normal 34" xfId="2779"/>
    <cellStyle name="Normal 35" xfId="2785"/>
    <cellStyle name="Normal 36" xfId="2777"/>
    <cellStyle name="Normal 37" xfId="2781"/>
    <cellStyle name="Normal 38" xfId="2787"/>
    <cellStyle name="Normal 39" xfId="2778"/>
    <cellStyle name="Normal 4" xfId="9"/>
    <cellStyle name="Normal 4 10" xfId="1103"/>
    <cellStyle name="Normal 4 11" xfId="808"/>
    <cellStyle name="Normal 4 12" xfId="634"/>
    <cellStyle name="Normal 4 13" xfId="2750"/>
    <cellStyle name="Normal 4 14" xfId="186"/>
    <cellStyle name="Normal 4 2" xfId="23"/>
    <cellStyle name="Normal 4 2 2" xfId="141"/>
    <cellStyle name="Normal 4 2 2 2" xfId="305"/>
    <cellStyle name="Normal 4 2 2 2 2" xfId="306"/>
    <cellStyle name="Normal 4 2 2 2 2 2" xfId="307"/>
    <cellStyle name="Normal 4 2 2 2 2 2 2" xfId="473"/>
    <cellStyle name="Normal 4 2 2 2 2 2 3" xfId="679"/>
    <cellStyle name="Normal 4 2 2 2 2 3" xfId="474"/>
    <cellStyle name="Normal 4 2 2 2 2 4" xfId="652"/>
    <cellStyle name="Normal 4 2 2 2 2_בחירה מרשימה" xfId="475"/>
    <cellStyle name="Normal 4 2 2 2 3" xfId="308"/>
    <cellStyle name="Normal 4 2 2 2 3 2" xfId="476"/>
    <cellStyle name="Normal 4 2 2 2 3 3" xfId="671"/>
    <cellStyle name="Normal 4 2 2 2 4" xfId="477"/>
    <cellStyle name="Normal 4 2 2 2 5" xfId="644"/>
    <cellStyle name="Normal 4 2 2 2_בחירה מרשימה" xfId="478"/>
    <cellStyle name="Normal 4 2 2 3" xfId="309"/>
    <cellStyle name="Normal 4 2 2 3 2" xfId="310"/>
    <cellStyle name="Normal 4 2 2 3 2 2" xfId="479"/>
    <cellStyle name="Normal 4 2 2 3 2 3" xfId="680"/>
    <cellStyle name="Normal 4 2 2 3 3" xfId="480"/>
    <cellStyle name="Normal 4 2 2 3 4" xfId="653"/>
    <cellStyle name="Normal 4 2 2 3_בחירה מרשימה" xfId="481"/>
    <cellStyle name="Normal 4 2 2 4" xfId="311"/>
    <cellStyle name="Normal 4 2 2 4 2" xfId="482"/>
    <cellStyle name="Normal 4 2 2 4 3" xfId="670"/>
    <cellStyle name="Normal 4 2 2 5" xfId="483"/>
    <cellStyle name="Normal 4 2 2 6" xfId="643"/>
    <cellStyle name="Normal 4 2 2 7" xfId="304"/>
    <cellStyle name="Normal 4 2 2_בחירה מרשימה" xfId="484"/>
    <cellStyle name="Normal 4 2 3" xfId="312"/>
    <cellStyle name="Normal 4 2 3 2" xfId="313"/>
    <cellStyle name="Normal 4 2 3 2 2" xfId="314"/>
    <cellStyle name="Normal 4 2 3 2 2 2" xfId="485"/>
    <cellStyle name="Normal 4 2 3 2 2 3" xfId="681"/>
    <cellStyle name="Normal 4 2 3 2 3" xfId="486"/>
    <cellStyle name="Normal 4 2 3 2 4" xfId="654"/>
    <cellStyle name="Normal 4 2 3 2_בחירה מרשימה" xfId="487"/>
    <cellStyle name="Normal 4 2 3 3" xfId="315"/>
    <cellStyle name="Normal 4 2 3 3 2" xfId="488"/>
    <cellStyle name="Normal 4 2 3 3 3" xfId="672"/>
    <cellStyle name="Normal 4 2 3 4" xfId="489"/>
    <cellStyle name="Normal 4 2 3 5" xfId="645"/>
    <cellStyle name="Normal 4 2 3_בחירה מרשימה" xfId="490"/>
    <cellStyle name="Normal 4 2 4" xfId="316"/>
    <cellStyle name="Normal 4 2 4 2" xfId="317"/>
    <cellStyle name="Normal 4 2 4 2 2" xfId="491"/>
    <cellStyle name="Normal 4 2 4 2 3" xfId="682"/>
    <cellStyle name="Normal 4 2 4 3" xfId="492"/>
    <cellStyle name="Normal 4 2 4 4" xfId="655"/>
    <cellStyle name="Normal 4 2 4_בחירה מרשימה" xfId="493"/>
    <cellStyle name="Normal 4 2 5" xfId="318"/>
    <cellStyle name="Normal 4 2 5 2" xfId="494"/>
    <cellStyle name="Normal 4 2 5 3" xfId="667"/>
    <cellStyle name="Normal 4 2 6" xfId="495"/>
    <cellStyle name="Normal 4 2 7" xfId="639"/>
    <cellStyle name="Normal 4 2 8" xfId="230"/>
    <cellStyle name="Normal 4 2_בחירה מרשימה" xfId="496"/>
    <cellStyle name="Normal 4 3" xfId="142"/>
    <cellStyle name="Normal 4 3 2" xfId="319"/>
    <cellStyle name="Normal 4 3 2 2" xfId="320"/>
    <cellStyle name="Normal 4 3 2 3" xfId="497"/>
    <cellStyle name="Normal 4 3 2_בחירה מרשימה" xfId="498"/>
    <cellStyle name="Normal 4 3 3" xfId="321"/>
    <cellStyle name="Normal 4 3 4" xfId="499"/>
    <cellStyle name="Normal 4 3 5" xfId="231"/>
    <cellStyle name="Normal 4 3_בחירה מרשימה" xfId="500"/>
    <cellStyle name="Normal 4 4" xfId="322"/>
    <cellStyle name="Normal 4 4 2" xfId="323"/>
    <cellStyle name="Normal 4 4 2 2" xfId="324"/>
    <cellStyle name="Normal 4 4 2 2 2" xfId="325"/>
    <cellStyle name="Normal 4 4 2 2 2 2" xfId="501"/>
    <cellStyle name="Normal 4 4 2 2 2 3" xfId="683"/>
    <cellStyle name="Normal 4 4 2 2 3" xfId="502"/>
    <cellStyle name="Normal 4 4 2 2 4" xfId="656"/>
    <cellStyle name="Normal 4 4 2 2_בחירה מרשימה" xfId="503"/>
    <cellStyle name="Normal 4 4 2 3" xfId="326"/>
    <cellStyle name="Normal 4 4 2 3 2" xfId="504"/>
    <cellStyle name="Normal 4 4 2 3 3" xfId="674"/>
    <cellStyle name="Normal 4 4 2 4" xfId="505"/>
    <cellStyle name="Normal 4 4 2 5" xfId="647"/>
    <cellStyle name="Normal 4 4 2_בחירה מרשימה" xfId="506"/>
    <cellStyle name="Normal 4 4 3" xfId="327"/>
    <cellStyle name="Normal 4 4 3 2" xfId="328"/>
    <cellStyle name="Normal 4 4 3 2 2" xfId="507"/>
    <cellStyle name="Normal 4 4 3 2 3" xfId="684"/>
    <cellStyle name="Normal 4 4 3 3" xfId="508"/>
    <cellStyle name="Normal 4 4 3 4" xfId="657"/>
    <cellStyle name="Normal 4 4 3_בחירה מרשימה" xfId="509"/>
    <cellStyle name="Normal 4 4 4" xfId="329"/>
    <cellStyle name="Normal 4 4 4 2" xfId="510"/>
    <cellStyle name="Normal 4 4 4 3" xfId="673"/>
    <cellStyle name="Normal 4 4 5" xfId="511"/>
    <cellStyle name="Normal 4 4 6" xfId="646"/>
    <cellStyle name="Normal 4 4_בחירה מרשימה" xfId="512"/>
    <cellStyle name="Normal 4 5" xfId="330"/>
    <cellStyle name="Normal 4 5 2" xfId="331"/>
    <cellStyle name="Normal 4 5 2 2" xfId="332"/>
    <cellStyle name="Normal 4 5 2 2 2" xfId="513"/>
    <cellStyle name="Normal 4 5 2 2 3" xfId="685"/>
    <cellStyle name="Normal 4 5 2 3" xfId="514"/>
    <cellStyle name="Normal 4 5 2 4" xfId="658"/>
    <cellStyle name="Normal 4 5 2_בחירה מרשימה" xfId="515"/>
    <cellStyle name="Normal 4 5 3" xfId="333"/>
    <cellStyle name="Normal 4 5 3 2" xfId="516"/>
    <cellStyle name="Normal 4 5 3 3" xfId="675"/>
    <cellStyle name="Normal 4 5 4" xfId="517"/>
    <cellStyle name="Normal 4 5 5" xfId="648"/>
    <cellStyle name="Normal 4 5_בחירה מרשימה" xfId="518"/>
    <cellStyle name="Normal 4 6" xfId="334"/>
    <cellStyle name="Normal 4 6 2" xfId="519"/>
    <cellStyle name="Normal 4 6 2 2" xfId="520"/>
    <cellStyle name="Normal 4 6_בחירה מרשימה" xfId="521"/>
    <cellStyle name="Normal 4 7" xfId="522"/>
    <cellStyle name="Normal 4 8" xfId="976"/>
    <cellStyle name="Normal 4 9" xfId="1027"/>
    <cellStyle name="Normal 4_בחירה מרשימה" xfId="523"/>
    <cellStyle name="Normal 40" xfId="2782"/>
    <cellStyle name="Normal 41" xfId="2997"/>
    <cellStyle name="Normal 42" xfId="2783"/>
    <cellStyle name="Normal 43" xfId="2780"/>
    <cellStyle name="Normal 44" xfId="2784"/>
    <cellStyle name="Normal 5" xfId="10"/>
    <cellStyle name="Normal 5 10" xfId="884"/>
    <cellStyle name="Normal 5 10 2" xfId="1132"/>
    <cellStyle name="Normal 5 11" xfId="788"/>
    <cellStyle name="Normal 5 12" xfId="720"/>
    <cellStyle name="Normal 5 13" xfId="635"/>
    <cellStyle name="Normal 5 14" xfId="2751"/>
    <cellStyle name="Normal 5 15" xfId="187"/>
    <cellStyle name="Normal 5 2" xfId="15"/>
    <cellStyle name="Normal 5 2 10" xfId="1188"/>
    <cellStyle name="Normal 5 2 11" xfId="636"/>
    <cellStyle name="Normal 5 2 2" xfId="73"/>
    <cellStyle name="Normal 5 2 2 2" xfId="80"/>
    <cellStyle name="Normal 5 2 2 2 10" xfId="1232"/>
    <cellStyle name="Normal 5 2 2 2 11" xfId="641"/>
    <cellStyle name="Normal 5 2 2 2 2" xfId="165"/>
    <cellStyle name="Normal 5 2 2 2 2 2" xfId="175"/>
    <cellStyle name="Normal 5 2 2 2 2 2 2" xfId="180"/>
    <cellStyle name="Normal 5 2 2 2 2 3" xfId="524"/>
    <cellStyle name="Normal 5 2 2 2 2_בחירה מרשימה" xfId="525"/>
    <cellStyle name="Normal 5 2 2 2 3" xfId="173"/>
    <cellStyle name="Normal 5 2 2 2 4" xfId="526"/>
    <cellStyle name="Normal 5 2 2 2 5" xfId="883"/>
    <cellStyle name="Normal 5 2 2 2 5 2" xfId="997"/>
    <cellStyle name="Normal 5 2 2 2 6" xfId="1048"/>
    <cellStyle name="Normal 5 2 2 2 7" xfId="1464"/>
    <cellStyle name="Normal 5 2 2 2 8" xfId="1569"/>
    <cellStyle name="Normal 5 2 2 2 9" xfId="795"/>
    <cellStyle name="Normal 5 2 2 2_בחירה מרשימה" xfId="527"/>
    <cellStyle name="Normal 5 2 2 3" xfId="245"/>
    <cellStyle name="Normal 5 2 2 3 2" xfId="335"/>
    <cellStyle name="Normal 5 2 2 3 3" xfId="528"/>
    <cellStyle name="Normal 5 2 2 3_בחירה מרשימה" xfId="529"/>
    <cellStyle name="Normal 5 2 2 4" xfId="336"/>
    <cellStyle name="Normal 5 2 2 5" xfId="530"/>
    <cellStyle name="Normal 5 2 2_בחירה מרשימה" xfId="531"/>
    <cellStyle name="Normal 5 2 3" xfId="337"/>
    <cellStyle name="Normal 5 2 4" xfId="532"/>
    <cellStyle name="Normal 5 2 5" xfId="885"/>
    <cellStyle name="Normal 5 2 5 2" xfId="977"/>
    <cellStyle name="Normal 5 2 6" xfId="1004"/>
    <cellStyle name="Normal 5 2 7" xfId="1006"/>
    <cellStyle name="Normal 5 2 8" xfId="1428"/>
    <cellStyle name="Normal 5 2 9" xfId="812"/>
    <cellStyle name="Normal 5 2_בחירה מרשימה" xfId="533"/>
    <cellStyle name="Normal 5 3" xfId="232"/>
    <cellStyle name="Normal 5 3 2" xfId="246"/>
    <cellStyle name="Normal 5 3 2 2" xfId="338"/>
    <cellStyle name="Normal 5 3 2 3" xfId="534"/>
    <cellStyle name="Normal 5 3 2_בחירה מרשימה" xfId="535"/>
    <cellStyle name="Normal 5 3 3" xfId="339"/>
    <cellStyle name="Normal 5 3 4" xfId="536"/>
    <cellStyle name="Normal 5 3_בחירה מרשימה" xfId="537"/>
    <cellStyle name="Normal 5 4" xfId="233"/>
    <cellStyle name="Normal 5 4 2" xfId="243"/>
    <cellStyle name="Normal 5 4 2 2" xfId="340"/>
    <cellStyle name="Normal 5 4 2 3" xfId="538"/>
    <cellStyle name="Normal 5 4 2_בחירה מרשימה" xfId="539"/>
    <cellStyle name="Normal 5 4 3" xfId="341"/>
    <cellStyle name="Normal 5 4 4" xfId="540"/>
    <cellStyle name="Normal 5 4_בחירה מרשימה" xfId="541"/>
    <cellStyle name="Normal 5 5" xfId="166"/>
    <cellStyle name="Normal 5 5 2" xfId="342"/>
    <cellStyle name="Normal 5 5 3" xfId="542"/>
    <cellStyle name="Normal 5 5_בחירה מרשימה" xfId="543"/>
    <cellStyle name="Normal 5 6" xfId="190"/>
    <cellStyle name="Normal 5 6 2" xfId="343"/>
    <cellStyle name="Normal 5 6 3" xfId="544"/>
    <cellStyle name="Normal 5 6_בחירה מרשימה" xfId="545"/>
    <cellStyle name="Normal 5 7" xfId="344"/>
    <cellStyle name="Normal 5 7 2" xfId="345"/>
    <cellStyle name="Normal 5 7 2 2" xfId="546"/>
    <cellStyle name="Normal 5 7 2 3" xfId="686"/>
    <cellStyle name="Normal 5 7 3" xfId="547"/>
    <cellStyle name="Normal 5 7 4" xfId="659"/>
    <cellStyle name="Normal 5 7_בחירה מרשימה" xfId="548"/>
    <cellStyle name="Normal 5 8" xfId="346"/>
    <cellStyle name="Normal 5 8 2" xfId="549"/>
    <cellStyle name="Normal 5 8 3" xfId="665"/>
    <cellStyle name="Normal 5 9" xfId="550"/>
    <cellStyle name="Normal 5_בחירה מרשימה" xfId="551"/>
    <cellStyle name="Normal 59" xfId="24"/>
    <cellStyle name="Normal 6" xfId="11"/>
    <cellStyle name="Normal 6 2" xfId="17"/>
    <cellStyle name="Normal 6 2 2" xfId="347"/>
    <cellStyle name="Normal 6 3" xfId="552"/>
    <cellStyle name="Normal 6_בחירה מרשימה" xfId="553"/>
    <cellStyle name="Normal 7" xfId="12"/>
    <cellStyle name="Normal 7 2" xfId="143"/>
    <cellStyle name="Normal 7 2 2" xfId="350"/>
    <cellStyle name="Normal 7 2 2 2" xfId="554"/>
    <cellStyle name="Normal 7 2 2 3" xfId="687"/>
    <cellStyle name="Normal 7 2 3" xfId="555"/>
    <cellStyle name="Normal 7 2 4" xfId="660"/>
    <cellStyle name="Normal 7 2 5" xfId="349"/>
    <cellStyle name="Normal 7 2_בחירה מרשימה" xfId="556"/>
    <cellStyle name="Normal 7 3" xfId="351"/>
    <cellStyle name="Normal 7 3 2" xfId="557"/>
    <cellStyle name="Normal 7 3 2 2" xfId="558"/>
    <cellStyle name="Normal 7 3 3" xfId="559"/>
    <cellStyle name="Normal 7 3 4" xfId="669"/>
    <cellStyle name="Normal 7 3_בחירה מרשימה" xfId="560"/>
    <cellStyle name="Normal 7 4" xfId="561"/>
    <cellStyle name="Normal 7 4 2" xfId="562"/>
    <cellStyle name="Normal 7 5" xfId="563"/>
    <cellStyle name="Normal 7 5 2" xfId="564"/>
    <cellStyle name="Normal 7 6" xfId="565"/>
    <cellStyle name="Normal 7 7" xfId="642"/>
    <cellStyle name="Normal 7 8" xfId="348"/>
    <cellStyle name="Normal 7_בחירה מרשימה" xfId="566"/>
    <cellStyle name="Normal 8" xfId="13"/>
    <cellStyle name="Normal 8 2" xfId="353"/>
    <cellStyle name="Normal 8 2 2" xfId="354"/>
    <cellStyle name="Normal 8 2 2 2" xfId="567"/>
    <cellStyle name="Normal 8 2 2 3" xfId="688"/>
    <cellStyle name="Normal 8 2 3" xfId="568"/>
    <cellStyle name="Normal 8 2 4" xfId="661"/>
    <cellStyle name="Normal 8 2_בחירה מרשימה" xfId="569"/>
    <cellStyle name="Normal 8 3" xfId="355"/>
    <cellStyle name="Normal 8 3 2" xfId="570"/>
    <cellStyle name="Normal 8 3 3" xfId="676"/>
    <cellStyle name="Normal 8 4" xfId="571"/>
    <cellStyle name="Normal 8 5" xfId="649"/>
    <cellStyle name="Normal 8 6" xfId="352"/>
    <cellStyle name="Normal 8_בחירה מרשימה" xfId="572"/>
    <cellStyle name="Normal 9" xfId="14"/>
    <cellStyle name="Normal 9 10" xfId="2594"/>
    <cellStyle name="Normal 9 10 2" xfId="2937"/>
    <cellStyle name="Normal 9 11" xfId="721"/>
    <cellStyle name="Normal 9 11 2" xfId="2837"/>
    <cellStyle name="Normal 9 12" xfId="640"/>
    <cellStyle name="Normal 9 12 2" xfId="2813"/>
    <cellStyle name="Normal 9 13" xfId="2752"/>
    <cellStyle name="Normal 9 13 2" xfId="2973"/>
    <cellStyle name="Normal 9 14" xfId="234"/>
    <cellStyle name="Normal 9 2" xfId="170"/>
    <cellStyle name="Normal 9 2 10" xfId="725"/>
    <cellStyle name="Normal 9 2 10 2" xfId="2838"/>
    <cellStyle name="Normal 9 2 11" xfId="662"/>
    <cellStyle name="Normal 9 2 11 2" xfId="2814"/>
    <cellStyle name="Normal 9 2 12" xfId="2753"/>
    <cellStyle name="Normal 9 2 12 2" xfId="2974"/>
    <cellStyle name="Normal 9 2 13" xfId="356"/>
    <cellStyle name="Normal 9 2 2" xfId="357"/>
    <cellStyle name="Normal 9 2 2 10" xfId="2754"/>
    <cellStyle name="Normal 9 2 2 10 2" xfId="2975"/>
    <cellStyle name="Normal 9 2 2 11" xfId="2792"/>
    <cellStyle name="Normal 9 2 2 2" xfId="573"/>
    <cellStyle name="Normal 9 2 2 2 10" xfId="2795"/>
    <cellStyle name="Normal 9 2 2 2 2" xfId="574"/>
    <cellStyle name="Normal 9 2 2 2 2 2" xfId="904"/>
    <cellStyle name="Normal 9 2 2 2 2 2 2" xfId="2890"/>
    <cellStyle name="Normal 9 2 2 2 2 3" xfId="868"/>
    <cellStyle name="Normal 9 2 2 2 2 3 2" xfId="2879"/>
    <cellStyle name="Normal 9 2 2 2 2 4" xfId="2666"/>
    <cellStyle name="Normal 9 2 2 2 2 4 2" xfId="2956"/>
    <cellStyle name="Normal 9 2 2 2 2 5" xfId="776"/>
    <cellStyle name="Normal 9 2 2 2 2 5 2" xfId="2855"/>
    <cellStyle name="Normal 9 2 2 2 2 6" xfId="714"/>
    <cellStyle name="Normal 9 2 2 2 2 6 2" xfId="2831"/>
    <cellStyle name="Normal 9 2 2 2 2 7" xfId="2755"/>
    <cellStyle name="Normal 9 2 2 2 2 7 2" xfId="2976"/>
    <cellStyle name="Normal 9 2 2 2 2 8" xfId="2796"/>
    <cellStyle name="Normal 9 2 2 2 3" xfId="903"/>
    <cellStyle name="Normal 9 2 2 2 3 2" xfId="1269"/>
    <cellStyle name="Normal 9 2 2 2 3 2 2" xfId="2934"/>
    <cellStyle name="Normal 9 2 2 2 3 3" xfId="2708"/>
    <cellStyle name="Normal 9 2 2 2 3 3 2" xfId="2970"/>
    <cellStyle name="Normal 9 2 2 2 3 4" xfId="2889"/>
    <cellStyle name="Normal 9 2 2 2 4" xfId="824"/>
    <cellStyle name="Normal 9 2 2 2 4 2" xfId="2870"/>
    <cellStyle name="Normal 9 2 2 2 5" xfId="1061"/>
    <cellStyle name="Normal 9 2 2 2 5 2" xfId="2918"/>
    <cellStyle name="Normal 9 2 2 2 6" xfId="2620"/>
    <cellStyle name="Normal 9 2 2 2 6 2" xfId="2946"/>
    <cellStyle name="Normal 9 2 2 2 7" xfId="742"/>
    <cellStyle name="Normal 9 2 2 2 7 2" xfId="2846"/>
    <cellStyle name="Normal 9 2 2 2 8" xfId="704"/>
    <cellStyle name="Normal 9 2 2 2 8 2" xfId="2822"/>
    <cellStyle name="Normal 9 2 2 2 9" xfId="2756"/>
    <cellStyle name="Normal 9 2 2 2 9 2" xfId="2977"/>
    <cellStyle name="Normal 9 2 2 3" xfId="575"/>
    <cellStyle name="Normal 9 2 2 3 2" xfId="905"/>
    <cellStyle name="Normal 9 2 2 3 2 2" xfId="2891"/>
    <cellStyle name="Normal 9 2 2 3 3" xfId="861"/>
    <cellStyle name="Normal 9 2 2 3 3 2" xfId="2878"/>
    <cellStyle name="Normal 9 2 2 3 4" xfId="2650"/>
    <cellStyle name="Normal 9 2 2 3 4 2" xfId="2954"/>
    <cellStyle name="Normal 9 2 2 3 5" xfId="769"/>
    <cellStyle name="Normal 9 2 2 3 5 2" xfId="2854"/>
    <cellStyle name="Normal 9 2 2 3 6" xfId="713"/>
    <cellStyle name="Normal 9 2 2 3 6 2" xfId="2830"/>
    <cellStyle name="Normal 9 2 2 3 7" xfId="2757"/>
    <cellStyle name="Normal 9 2 2 3 7 2" xfId="2978"/>
    <cellStyle name="Normal 9 2 2 3 8" xfId="2797"/>
    <cellStyle name="Normal 9 2 2 4" xfId="891"/>
    <cellStyle name="Normal 9 2 2 4 2" xfId="1253"/>
    <cellStyle name="Normal 9 2 2 4 2 2" xfId="2930"/>
    <cellStyle name="Normal 9 2 2 4 3" xfId="1153"/>
    <cellStyle name="Normal 9 2 2 4 3 2" xfId="2924"/>
    <cellStyle name="Normal 9 2 2 4 4" xfId="2692"/>
    <cellStyle name="Normal 9 2 2 4 4 2" xfId="2966"/>
    <cellStyle name="Normal 9 2 2 4 5" xfId="2888"/>
    <cellStyle name="Normal 9 2 2 5" xfId="810"/>
    <cellStyle name="Normal 9 2 2 5 2" xfId="2866"/>
    <cellStyle name="Normal 9 2 2 6" xfId="1029"/>
    <cellStyle name="Normal 9 2 2 6 2" xfId="2914"/>
    <cellStyle name="Normal 9 2 2 7" xfId="2610"/>
    <cellStyle name="Normal 9 2 2 7 2" xfId="2942"/>
    <cellStyle name="Normal 9 2 2 8" xfId="733"/>
    <cellStyle name="Normal 9 2 2 8 2" xfId="2842"/>
    <cellStyle name="Normal 9 2 2 9" xfId="689"/>
    <cellStyle name="Normal 9 2 2 9 2" xfId="2818"/>
    <cellStyle name="Normal 9 2 2_בחירה מרשימה" xfId="576"/>
    <cellStyle name="Normal 9 2 3" xfId="358"/>
    <cellStyle name="Normal 9 2 3 10" xfId="2758"/>
    <cellStyle name="Normal 9 2 3 10 2" xfId="2979"/>
    <cellStyle name="Normal 9 2 3 11" xfId="2793"/>
    <cellStyle name="Normal 9 2 3 2" xfId="577"/>
    <cellStyle name="Normal 9 2 3 2 10" xfId="2798"/>
    <cellStyle name="Normal 9 2 3 2 2" xfId="578"/>
    <cellStyle name="Normal 9 2 3 2 2 2" xfId="908"/>
    <cellStyle name="Normal 9 2 3 2 2 2 2" xfId="2894"/>
    <cellStyle name="Normal 9 2 3 2 2 3" xfId="869"/>
    <cellStyle name="Normal 9 2 3 2 2 3 2" xfId="2880"/>
    <cellStyle name="Normal 9 2 3 2 2 4" xfId="2667"/>
    <cellStyle name="Normal 9 2 3 2 2 4 2" xfId="2957"/>
    <cellStyle name="Normal 9 2 3 2 2 5" xfId="777"/>
    <cellStyle name="Normal 9 2 3 2 2 5 2" xfId="2856"/>
    <cellStyle name="Normal 9 2 3 2 2 6" xfId="715"/>
    <cellStyle name="Normal 9 2 3 2 2 6 2" xfId="2832"/>
    <cellStyle name="Normal 9 2 3 2 2 7" xfId="2759"/>
    <cellStyle name="Normal 9 2 3 2 2 7 2" xfId="2980"/>
    <cellStyle name="Normal 9 2 3 2 2 8" xfId="2799"/>
    <cellStyle name="Normal 9 2 3 2 3" xfId="907"/>
    <cellStyle name="Normal 9 2 3 2 3 2" xfId="1270"/>
    <cellStyle name="Normal 9 2 3 2 3 2 2" xfId="2935"/>
    <cellStyle name="Normal 9 2 3 2 3 3" xfId="2709"/>
    <cellStyle name="Normal 9 2 3 2 3 3 2" xfId="2971"/>
    <cellStyle name="Normal 9 2 3 2 3 4" xfId="2893"/>
    <cellStyle name="Normal 9 2 3 2 4" xfId="825"/>
    <cellStyle name="Normal 9 2 3 2 4 2" xfId="2871"/>
    <cellStyle name="Normal 9 2 3 2 5" xfId="1062"/>
    <cellStyle name="Normal 9 2 3 2 5 2" xfId="2919"/>
    <cellStyle name="Normal 9 2 3 2 6" xfId="2621"/>
    <cellStyle name="Normal 9 2 3 2 6 2" xfId="2947"/>
    <cellStyle name="Normal 9 2 3 2 7" xfId="743"/>
    <cellStyle name="Normal 9 2 3 2 7 2" xfId="2847"/>
    <cellStyle name="Normal 9 2 3 2 8" xfId="705"/>
    <cellStyle name="Normal 9 2 3 2 8 2" xfId="2823"/>
    <cellStyle name="Normal 9 2 3 2 9" xfId="2760"/>
    <cellStyle name="Normal 9 2 3 2 9 2" xfId="2981"/>
    <cellStyle name="Normal 9 2 3 3" xfId="579"/>
    <cellStyle name="Normal 9 2 3 3 2" xfId="909"/>
    <cellStyle name="Normal 9 2 3 3 2 2" xfId="2895"/>
    <cellStyle name="Normal 9 2 3 3 3" xfId="856"/>
    <cellStyle name="Normal 9 2 3 3 3 2" xfId="2876"/>
    <cellStyle name="Normal 9 2 3 3 4" xfId="2648"/>
    <cellStyle name="Normal 9 2 3 3 4 2" xfId="2952"/>
    <cellStyle name="Normal 9 2 3 3 5" xfId="767"/>
    <cellStyle name="Normal 9 2 3 3 5 2" xfId="2852"/>
    <cellStyle name="Normal 9 2 3 3 6" xfId="711"/>
    <cellStyle name="Normal 9 2 3 3 6 2" xfId="2828"/>
    <cellStyle name="Normal 9 2 3 3 7" xfId="2761"/>
    <cellStyle name="Normal 9 2 3 3 7 2" xfId="2982"/>
    <cellStyle name="Normal 9 2 3 3 8" xfId="2800"/>
    <cellStyle name="Normal 9 2 3 4" xfId="906"/>
    <cellStyle name="Normal 9 2 3 4 2" xfId="1250"/>
    <cellStyle name="Normal 9 2 3 4 2 2" xfId="2928"/>
    <cellStyle name="Normal 9 2 3 4 3" xfId="2689"/>
    <cellStyle name="Normal 9 2 3 4 3 2" xfId="2964"/>
    <cellStyle name="Normal 9 2 3 4 4" xfId="2892"/>
    <cellStyle name="Normal 9 2 3 5" xfId="804"/>
    <cellStyle name="Normal 9 2 3 5 2" xfId="2864"/>
    <cellStyle name="Normal 9 2 3 6" xfId="1019"/>
    <cellStyle name="Normal 9 2 3 6 2" xfId="2912"/>
    <cellStyle name="Normal 9 2 3 7" xfId="2608"/>
    <cellStyle name="Normal 9 2 3 7 2" xfId="2940"/>
    <cellStyle name="Normal 9 2 3 8" xfId="731"/>
    <cellStyle name="Normal 9 2 3 8 2" xfId="2840"/>
    <cellStyle name="Normal 9 2 3 9" xfId="664"/>
    <cellStyle name="Normal 9 2 3 9 2" xfId="2816"/>
    <cellStyle name="Normal 9 2 3_בחירה מרשימה" xfId="580"/>
    <cellStyle name="Normal 9 2 4" xfId="581"/>
    <cellStyle name="Normal 9 2 4 10" xfId="2801"/>
    <cellStyle name="Normal 9 2 4 2" xfId="582"/>
    <cellStyle name="Normal 9 2 4 2 2" xfId="911"/>
    <cellStyle name="Normal 9 2 4 2 2 2" xfId="2897"/>
    <cellStyle name="Normal 9 2 4 2 3" xfId="870"/>
    <cellStyle name="Normal 9 2 4 2 3 2" xfId="2881"/>
    <cellStyle name="Normal 9 2 4 2 4" xfId="2668"/>
    <cellStyle name="Normal 9 2 4 2 4 2" xfId="2958"/>
    <cellStyle name="Normal 9 2 4 2 5" xfId="778"/>
    <cellStyle name="Normal 9 2 4 2 5 2" xfId="2857"/>
    <cellStyle name="Normal 9 2 4 2 6" xfId="716"/>
    <cellStyle name="Normal 9 2 4 2 6 2" xfId="2833"/>
    <cellStyle name="Normal 9 2 4 2 7" xfId="2762"/>
    <cellStyle name="Normal 9 2 4 2 7 2" xfId="2983"/>
    <cellStyle name="Normal 9 2 4 2 8" xfId="2802"/>
    <cellStyle name="Normal 9 2 4 3" xfId="910"/>
    <cellStyle name="Normal 9 2 4 3 2" xfId="1263"/>
    <cellStyle name="Normal 9 2 4 3 2 2" xfId="2932"/>
    <cellStyle name="Normal 9 2 4 3 3" xfId="2702"/>
    <cellStyle name="Normal 9 2 4 3 3 2" xfId="2968"/>
    <cellStyle name="Normal 9 2 4 3 4" xfId="2896"/>
    <cellStyle name="Normal 9 2 4 4" xfId="817"/>
    <cellStyle name="Normal 9 2 4 4 2" xfId="2868"/>
    <cellStyle name="Normal 9 2 4 5" xfId="1052"/>
    <cellStyle name="Normal 9 2 4 5 2" xfId="2916"/>
    <cellStyle name="Normal 9 2 4 6" xfId="2614"/>
    <cellStyle name="Normal 9 2 4 6 2" xfId="2944"/>
    <cellStyle name="Normal 9 2 4 7" xfId="736"/>
    <cellStyle name="Normal 9 2 4 7 2" xfId="2844"/>
    <cellStyle name="Normal 9 2 4 8" xfId="698"/>
    <cellStyle name="Normal 9 2 4 8 2" xfId="2820"/>
    <cellStyle name="Normal 9 2 4 9" xfId="2763"/>
    <cellStyle name="Normal 9 2 4 9 2" xfId="2984"/>
    <cellStyle name="Normal 9 2 5" xfId="583"/>
    <cellStyle name="Normal 9 2 5 2" xfId="912"/>
    <cellStyle name="Normal 9 2 5 2 2" xfId="2898"/>
    <cellStyle name="Normal 9 2 5 3" xfId="848"/>
    <cellStyle name="Normal 9 2 5 3 2" xfId="2874"/>
    <cellStyle name="Normal 9 2 5 4" xfId="2638"/>
    <cellStyle name="Normal 9 2 5 4 2" xfId="2950"/>
    <cellStyle name="Normal 9 2 5 5" xfId="757"/>
    <cellStyle name="Normal 9 2 5 5 2" xfId="2850"/>
    <cellStyle name="Normal 9 2 5 6" xfId="709"/>
    <cellStyle name="Normal 9 2 5 6 2" xfId="2826"/>
    <cellStyle name="Normal 9 2 5 7" xfId="2764"/>
    <cellStyle name="Normal 9 2 5 7 2" xfId="2985"/>
    <cellStyle name="Normal 9 2 5 8" xfId="2803"/>
    <cellStyle name="Normal 9 2 6" xfId="887"/>
    <cellStyle name="Normal 9 2 6 2" xfId="1240"/>
    <cellStyle name="Normal 9 2 6 2 2" xfId="2926"/>
    <cellStyle name="Normal 9 2 6 3" xfId="1145"/>
    <cellStyle name="Normal 9 2 6 3 2" xfId="2922"/>
    <cellStyle name="Normal 9 2 6 4" xfId="2679"/>
    <cellStyle name="Normal 9 2 6 4 2" xfId="2962"/>
    <cellStyle name="Normal 9 2 6 5" xfId="2886"/>
    <cellStyle name="Normal 9 2 7" xfId="797"/>
    <cellStyle name="Normal 9 2 7 2" xfId="2862"/>
    <cellStyle name="Normal 9 2 8" xfId="1008"/>
    <cellStyle name="Normal 9 2 8 2" xfId="2910"/>
    <cellStyle name="Normal 9 2 9" xfId="2598"/>
    <cellStyle name="Normal 9 2 9 2" xfId="2938"/>
    <cellStyle name="Normal 9 2_בחירה מרשימה" xfId="584"/>
    <cellStyle name="Normal 9 3" xfId="171"/>
    <cellStyle name="Normal 9 3 10" xfId="2765"/>
    <cellStyle name="Normal 9 3 10 2" xfId="2986"/>
    <cellStyle name="Normal 9 3 11" xfId="359"/>
    <cellStyle name="Normal 9 3 2" xfId="585"/>
    <cellStyle name="Normal 9 3 2 10" xfId="2804"/>
    <cellStyle name="Normal 9 3 2 2" xfId="586"/>
    <cellStyle name="Normal 9 3 2 2 2" xfId="914"/>
    <cellStyle name="Normal 9 3 2 2 2 2" xfId="2900"/>
    <cellStyle name="Normal 9 3 2 2 3" xfId="871"/>
    <cellStyle name="Normal 9 3 2 2 3 2" xfId="2882"/>
    <cellStyle name="Normal 9 3 2 2 4" xfId="2669"/>
    <cellStyle name="Normal 9 3 2 2 4 2" xfId="2959"/>
    <cellStyle name="Normal 9 3 2 2 5" xfId="779"/>
    <cellStyle name="Normal 9 3 2 2 5 2" xfId="2858"/>
    <cellStyle name="Normal 9 3 2 2 6" xfId="717"/>
    <cellStyle name="Normal 9 3 2 2 6 2" xfId="2834"/>
    <cellStyle name="Normal 9 3 2 2 7" xfId="2766"/>
    <cellStyle name="Normal 9 3 2 2 7 2" xfId="2987"/>
    <cellStyle name="Normal 9 3 2 2 8" xfId="2805"/>
    <cellStyle name="Normal 9 3 2 3" xfId="913"/>
    <cellStyle name="Normal 9 3 2 3 2" xfId="1264"/>
    <cellStyle name="Normal 9 3 2 3 2 2" xfId="2933"/>
    <cellStyle name="Normal 9 3 2 3 3" xfId="2703"/>
    <cellStyle name="Normal 9 3 2 3 3 2" xfId="2969"/>
    <cellStyle name="Normal 9 3 2 3 4" xfId="2899"/>
    <cellStyle name="Normal 9 3 2 4" xfId="819"/>
    <cellStyle name="Normal 9 3 2 4 2" xfId="2869"/>
    <cellStyle name="Normal 9 3 2 5" xfId="1056"/>
    <cellStyle name="Normal 9 3 2 5 2" xfId="2917"/>
    <cellStyle name="Normal 9 3 2 6" xfId="2615"/>
    <cellStyle name="Normal 9 3 2 6 2" xfId="2945"/>
    <cellStyle name="Normal 9 3 2 7" xfId="737"/>
    <cellStyle name="Normal 9 3 2 7 2" xfId="2845"/>
    <cellStyle name="Normal 9 3 2 8" xfId="699"/>
    <cellStyle name="Normal 9 3 2 8 2" xfId="2821"/>
    <cellStyle name="Normal 9 3 2 9" xfId="2767"/>
    <cellStyle name="Normal 9 3 2 9 2" xfId="2988"/>
    <cellStyle name="Normal 9 3 3" xfId="587"/>
    <cellStyle name="Normal 9 3 3 2" xfId="915"/>
    <cellStyle name="Normal 9 3 3 2 2" xfId="2901"/>
    <cellStyle name="Normal 9 3 3 3" xfId="857"/>
    <cellStyle name="Normal 9 3 3 3 2" xfId="2877"/>
    <cellStyle name="Normal 9 3 3 4" xfId="2649"/>
    <cellStyle name="Normal 9 3 3 4 2" xfId="2953"/>
    <cellStyle name="Normal 9 3 3 5" xfId="768"/>
    <cellStyle name="Normal 9 3 3 5 2" xfId="2853"/>
    <cellStyle name="Normal 9 3 3 6" xfId="712"/>
    <cellStyle name="Normal 9 3 3 6 2" xfId="2829"/>
    <cellStyle name="Normal 9 3 3 7" xfId="2768"/>
    <cellStyle name="Normal 9 3 3 7 2" xfId="2989"/>
    <cellStyle name="Normal 9 3 3 8" xfId="2806"/>
    <cellStyle name="Normal 9 3 4" xfId="890"/>
    <cellStyle name="Normal 9 3 4 2" xfId="1251"/>
    <cellStyle name="Normal 9 3 4 2 2" xfId="2929"/>
    <cellStyle name="Normal 9 3 4 3" xfId="1151"/>
    <cellStyle name="Normal 9 3 4 3 2" xfId="2923"/>
    <cellStyle name="Normal 9 3 4 4" xfId="2690"/>
    <cellStyle name="Normal 9 3 4 4 2" xfId="2965"/>
    <cellStyle name="Normal 9 3 4 5" xfId="2887"/>
    <cellStyle name="Normal 9 3 5" xfId="806"/>
    <cellStyle name="Normal 9 3 5 2" xfId="2865"/>
    <cellStyle name="Normal 9 3 6" xfId="1021"/>
    <cellStyle name="Normal 9 3 6 2" xfId="2913"/>
    <cellStyle name="Normal 9 3 7" xfId="2609"/>
    <cellStyle name="Normal 9 3 7 2" xfId="2941"/>
    <cellStyle name="Normal 9 3 8" xfId="732"/>
    <cellStyle name="Normal 9 3 8 2" xfId="2841"/>
    <cellStyle name="Normal 9 3 9" xfId="668"/>
    <cellStyle name="Normal 9 3 9 2" xfId="2817"/>
    <cellStyle name="Normal 9 3_בחירה מרשימה" xfId="588"/>
    <cellStyle name="Normal 9 4" xfId="360"/>
    <cellStyle name="Normal 9 4 10" xfId="2769"/>
    <cellStyle name="Normal 9 4 10 2" xfId="2990"/>
    <cellStyle name="Normal 9 4 11" xfId="2794"/>
    <cellStyle name="Normal 9 4 2" xfId="589"/>
    <cellStyle name="Normal 9 4 2 10" xfId="2807"/>
    <cellStyle name="Normal 9 4 2 2" xfId="590"/>
    <cellStyle name="Normal 9 4 2 2 2" xfId="918"/>
    <cellStyle name="Normal 9 4 2 2 2 2" xfId="2904"/>
    <cellStyle name="Normal 9 4 2 2 3" xfId="872"/>
    <cellStyle name="Normal 9 4 2 2 3 2" xfId="2883"/>
    <cellStyle name="Normal 9 4 2 2 4" xfId="2670"/>
    <cellStyle name="Normal 9 4 2 2 4 2" xfId="2960"/>
    <cellStyle name="Normal 9 4 2 2 5" xfId="780"/>
    <cellStyle name="Normal 9 4 2 2 5 2" xfId="2859"/>
    <cellStyle name="Normal 9 4 2 2 6" xfId="718"/>
    <cellStyle name="Normal 9 4 2 2 6 2" xfId="2835"/>
    <cellStyle name="Normal 9 4 2 2 7" xfId="2770"/>
    <cellStyle name="Normal 9 4 2 2 7 2" xfId="2991"/>
    <cellStyle name="Normal 9 4 2 2 8" xfId="2808"/>
    <cellStyle name="Normal 9 4 2 3" xfId="917"/>
    <cellStyle name="Normal 9 4 2 3 2" xfId="1271"/>
    <cellStyle name="Normal 9 4 2 3 2 2" xfId="2936"/>
    <cellStyle name="Normal 9 4 2 3 3" xfId="2710"/>
    <cellStyle name="Normal 9 4 2 3 3 2" xfId="2972"/>
    <cellStyle name="Normal 9 4 2 3 4" xfId="2903"/>
    <cellStyle name="Normal 9 4 2 4" xfId="826"/>
    <cellStyle name="Normal 9 4 2 4 2" xfId="2872"/>
    <cellStyle name="Normal 9 4 2 5" xfId="1063"/>
    <cellStyle name="Normal 9 4 2 5 2" xfId="2920"/>
    <cellStyle name="Normal 9 4 2 6" xfId="2622"/>
    <cellStyle name="Normal 9 4 2 6 2" xfId="2948"/>
    <cellStyle name="Normal 9 4 2 7" xfId="744"/>
    <cellStyle name="Normal 9 4 2 7 2" xfId="2848"/>
    <cellStyle name="Normal 9 4 2 8" xfId="706"/>
    <cellStyle name="Normal 9 4 2 8 2" xfId="2824"/>
    <cellStyle name="Normal 9 4 2 9" xfId="2771"/>
    <cellStyle name="Normal 9 4 2 9 2" xfId="2992"/>
    <cellStyle name="Normal 9 4 3" xfId="591"/>
    <cellStyle name="Normal 9 4 3 2" xfId="919"/>
    <cellStyle name="Normal 9 4 3 2 2" xfId="2905"/>
    <cellStyle name="Normal 9 4 3 3" xfId="853"/>
    <cellStyle name="Normal 9 4 3 3 2" xfId="2875"/>
    <cellStyle name="Normal 9 4 3 4" xfId="2644"/>
    <cellStyle name="Normal 9 4 3 4 2" xfId="2951"/>
    <cellStyle name="Normal 9 4 3 5" xfId="763"/>
    <cellStyle name="Normal 9 4 3 5 2" xfId="2851"/>
    <cellStyle name="Normal 9 4 3 6" xfId="710"/>
    <cellStyle name="Normal 9 4 3 6 2" xfId="2827"/>
    <cellStyle name="Normal 9 4 3 7" xfId="2772"/>
    <cellStyle name="Normal 9 4 3 7 2" xfId="2993"/>
    <cellStyle name="Normal 9 4 3 8" xfId="2809"/>
    <cellStyle name="Normal 9 4 4" xfId="916"/>
    <cellStyle name="Normal 9 4 4 2" xfId="1246"/>
    <cellStyle name="Normal 9 4 4 2 2" xfId="2927"/>
    <cellStyle name="Normal 9 4 4 3" xfId="2685"/>
    <cellStyle name="Normal 9 4 4 3 2" xfId="2963"/>
    <cellStyle name="Normal 9 4 4 4" xfId="2902"/>
    <cellStyle name="Normal 9 4 5" xfId="800"/>
    <cellStyle name="Normal 9 4 5 2" xfId="2863"/>
    <cellStyle name="Normal 9 4 6" xfId="1015"/>
    <cellStyle name="Normal 9 4 6 2" xfId="2911"/>
    <cellStyle name="Normal 9 4 7" xfId="2604"/>
    <cellStyle name="Normal 9 4 7 2" xfId="2939"/>
    <cellStyle name="Normal 9 4 8" xfId="727"/>
    <cellStyle name="Normal 9 4 8 2" xfId="2839"/>
    <cellStyle name="Normal 9 4 9" xfId="663"/>
    <cellStyle name="Normal 9 4 9 2" xfId="2815"/>
    <cellStyle name="Normal 9 4_בחירה מרשימה" xfId="592"/>
    <cellStyle name="Normal 9 5" xfId="593"/>
    <cellStyle name="Normal 9 5 10" xfId="2810"/>
    <cellStyle name="Normal 9 5 2" xfId="594"/>
    <cellStyle name="Normal 9 5 2 2" xfId="921"/>
    <cellStyle name="Normal 9 5 2 2 2" xfId="2907"/>
    <cellStyle name="Normal 9 5 2 3" xfId="873"/>
    <cellStyle name="Normal 9 5 2 3 2" xfId="2884"/>
    <cellStyle name="Normal 9 5 2 4" xfId="2671"/>
    <cellStyle name="Normal 9 5 2 4 2" xfId="2961"/>
    <cellStyle name="Normal 9 5 2 5" xfId="781"/>
    <cellStyle name="Normal 9 5 2 5 2" xfId="2860"/>
    <cellStyle name="Normal 9 5 2 6" xfId="719"/>
    <cellStyle name="Normal 9 5 2 6 2" xfId="2836"/>
    <cellStyle name="Normal 9 5 2 7" xfId="2773"/>
    <cellStyle name="Normal 9 5 2 7 2" xfId="2994"/>
    <cellStyle name="Normal 9 5 2 8" xfId="2811"/>
    <cellStyle name="Normal 9 5 3" xfId="920"/>
    <cellStyle name="Normal 9 5 3 2" xfId="1262"/>
    <cellStyle name="Normal 9 5 3 2 2" xfId="2931"/>
    <cellStyle name="Normal 9 5 3 3" xfId="2701"/>
    <cellStyle name="Normal 9 5 3 3 2" xfId="2967"/>
    <cellStyle name="Normal 9 5 3 4" xfId="2906"/>
    <cellStyle name="Normal 9 5 4" xfId="816"/>
    <cellStyle name="Normal 9 5 4 2" xfId="2867"/>
    <cellStyle name="Normal 9 5 5" xfId="1051"/>
    <cellStyle name="Normal 9 5 5 2" xfId="2915"/>
    <cellStyle name="Normal 9 5 6" xfId="2613"/>
    <cellStyle name="Normal 9 5 6 2" xfId="2943"/>
    <cellStyle name="Normal 9 5 7" xfId="735"/>
    <cellStyle name="Normal 9 5 7 2" xfId="2843"/>
    <cellStyle name="Normal 9 5 8" xfId="697"/>
    <cellStyle name="Normal 9 5 8 2" xfId="2819"/>
    <cellStyle name="Normal 9 5 9" xfId="2774"/>
    <cellStyle name="Normal 9 5 9 2" xfId="2995"/>
    <cellStyle name="Normal 9 6" xfId="595"/>
    <cellStyle name="Normal 9 6 2" xfId="922"/>
    <cellStyle name="Normal 9 6 2 2" xfId="2908"/>
    <cellStyle name="Normal 9 6 3" xfId="841"/>
    <cellStyle name="Normal 9 6 3 2" xfId="2873"/>
    <cellStyle name="Normal 9 6 4" xfId="2633"/>
    <cellStyle name="Normal 9 6 4 2" xfId="2949"/>
    <cellStyle name="Normal 9 6 5" xfId="753"/>
    <cellStyle name="Normal 9 6 5 2" xfId="2849"/>
    <cellStyle name="Normal 9 6 6" xfId="708"/>
    <cellStyle name="Normal 9 6 6 2" xfId="2825"/>
    <cellStyle name="Normal 9 6 7" xfId="2775"/>
    <cellStyle name="Normal 9 6 7 2" xfId="2996"/>
    <cellStyle name="Normal 9 6 8" xfId="2812"/>
    <cellStyle name="Normal 9 7" xfId="886"/>
    <cellStyle name="Normal 9 7 2" xfId="1222"/>
    <cellStyle name="Normal 9 7 2 2" xfId="2925"/>
    <cellStyle name="Normal 9 7 3" xfId="1125"/>
    <cellStyle name="Normal 9 7 3 2" xfId="2921"/>
    <cellStyle name="Normal 9 7 4" xfId="2656"/>
    <cellStyle name="Normal 9 7 4 2" xfId="2955"/>
    <cellStyle name="Normal 9 7 5" xfId="2885"/>
    <cellStyle name="Normal 9 8" xfId="790"/>
    <cellStyle name="Normal 9 8 2" xfId="2861"/>
    <cellStyle name="Normal 9 9" xfId="990"/>
    <cellStyle name="Normal 9 9 2" xfId="2909"/>
    <cellStyle name="Normal 9_בחירה מרשימה" xfId="596"/>
    <cellStyle name="Normal_בקשות מהמרכבה" xfId="67"/>
    <cellStyle name="Normal_גיליון1" xfId="1"/>
    <cellStyle name="Normal_גיליון1 11" xfId="74"/>
    <cellStyle name="Normal_גיליון1 2" xfId="16"/>
    <cellStyle name="Normal_גיליון16" xfId="68"/>
    <cellStyle name="Normal_גיליון17" xfId="69"/>
    <cellStyle name="Normal_גיליון2" xfId="70"/>
    <cellStyle name="Normal_גיליון3" xfId="75"/>
    <cellStyle name="Normal_גיליון5" xfId="71"/>
    <cellStyle name="Normal_סופי רשויות" xfId="76"/>
    <cellStyle name="Normal_עמותות בקשות 2013" xfId="77"/>
    <cellStyle name="Normal_קבוצות תיאטרון" xfId="78"/>
    <cellStyle name="Normal_תקנת ירושלים 2006 2" xfId="85"/>
    <cellStyle name="Note" xfId="235"/>
    <cellStyle name="Note 10" xfId="722"/>
    <cellStyle name="Note 2" xfId="361"/>
    <cellStyle name="Note 2 10" xfId="728"/>
    <cellStyle name="Note 2 2" xfId="597"/>
    <cellStyle name="Note 2 2 2" xfId="598"/>
    <cellStyle name="Note 2 2 2 10" xfId="782"/>
    <cellStyle name="Note 2 2 2 2" xfId="925"/>
    <cellStyle name="Note 2 2 2 2 2" xfId="1302"/>
    <cellStyle name="Note 2 2 2 2 2 2" xfId="1524"/>
    <cellStyle name="Note 2 2 2 2 2 2 2" xfId="2194"/>
    <cellStyle name="Note 2 2 2 2 2 3" xfId="1702"/>
    <cellStyle name="Note 2 2 2 2 2 3 2" xfId="2371"/>
    <cellStyle name="Note 2 2 2 2 2 4" xfId="1891"/>
    <cellStyle name="Note 2 2 2 2 2 4 2" xfId="2560"/>
    <cellStyle name="Note 2 2 2 2 3" xfId="1330"/>
    <cellStyle name="Note 2 2 2 2 3 2" xfId="1544"/>
    <cellStyle name="Note 2 2 2 2 3 2 2" xfId="2214"/>
    <cellStyle name="Note 2 2 2 2 3 3" xfId="1730"/>
    <cellStyle name="Note 2 2 2 2 3 3 2" xfId="2399"/>
    <cellStyle name="Note 2 2 2 2 3 4" xfId="1919"/>
    <cellStyle name="Note 2 2 2 2 3 4 2" xfId="2588"/>
    <cellStyle name="Note 2 2 2 2 4" xfId="1417"/>
    <cellStyle name="Note 2 2 2 2 4 2" xfId="2089"/>
    <cellStyle name="Note 2 2 2 2 5" xfId="1598"/>
    <cellStyle name="Note 2 2 2 2 5 2" xfId="2267"/>
    <cellStyle name="Note 2 2 2 2 6" xfId="1787"/>
    <cellStyle name="Note 2 2 2 2 6 2" xfId="2456"/>
    <cellStyle name="Note 2 2 2 2 7" xfId="1184"/>
    <cellStyle name="Note 2 2 2 2 8" xfId="2741"/>
    <cellStyle name="Note 2 2 2 3" xfId="874"/>
    <cellStyle name="Note 2 2 2 3 2" xfId="1465"/>
    <cellStyle name="Note 2 2 2 3 2 2" xfId="2135"/>
    <cellStyle name="Note 2 2 2 3 3" xfId="1644"/>
    <cellStyle name="Note 2 2 2 3 3 2" xfId="2313"/>
    <cellStyle name="Note 2 2 2 3 4" xfId="1833"/>
    <cellStyle name="Note 2 2 2 3 4 2" xfId="2502"/>
    <cellStyle name="Note 2 2 2 3 5" xfId="1233"/>
    <cellStyle name="Note 2 2 2 4" xfId="1138"/>
    <cellStyle name="Note 2 2 2 5" xfId="1361"/>
    <cellStyle name="Note 2 2 2 5 2" xfId="2034"/>
    <cellStyle name="Note 2 2 2 6" xfId="1031"/>
    <cellStyle name="Note 2 2 2 6 2" xfId="1952"/>
    <cellStyle name="Note 2 2 2 7" xfId="1732"/>
    <cellStyle name="Note 2 2 2 7 2" xfId="2401"/>
    <cellStyle name="Note 2 2 2 8" xfId="947"/>
    <cellStyle name="Note 2 2 2 9" xfId="2672"/>
    <cellStyle name="Note 2 2 3" xfId="924"/>
    <cellStyle name="Note 2 2 3 2" xfId="1272"/>
    <cellStyle name="Note 2 2 3 2 2" xfId="1494"/>
    <cellStyle name="Note 2 2 3 2 2 2" xfId="2164"/>
    <cellStyle name="Note 2 2 3 2 3" xfId="1672"/>
    <cellStyle name="Note 2 2 3 2 3 2" xfId="2341"/>
    <cellStyle name="Note 2 2 3 2 4" xfId="1861"/>
    <cellStyle name="Note 2 2 3 2 4 2" xfId="2530"/>
    <cellStyle name="Note 2 2 3 3" xfId="1389"/>
    <cellStyle name="Note 2 2 3 3 2" xfId="2061"/>
    <cellStyle name="Note 2 2 3 4" xfId="1570"/>
    <cellStyle name="Note 2 2 3 4 2" xfId="2239"/>
    <cellStyle name="Note 2 2 3 5" xfId="1759"/>
    <cellStyle name="Note 2 2 3 5 2" xfId="2428"/>
    <cellStyle name="Note 2 2 3 6" xfId="2711"/>
    <cellStyle name="Note 2 2 4" xfId="827"/>
    <cellStyle name="Note 2 2 4 2" xfId="1279"/>
    <cellStyle name="Note 2 2 4 2 2" xfId="1501"/>
    <cellStyle name="Note 2 2 4 2 2 2" xfId="2171"/>
    <cellStyle name="Note 2 2 4 2 3" xfId="1679"/>
    <cellStyle name="Note 2 2 4 2 3 2" xfId="2348"/>
    <cellStyle name="Note 2 2 4 2 4" xfId="1868"/>
    <cellStyle name="Note 2 2 4 2 4 2" xfId="2537"/>
    <cellStyle name="Note 2 2 4 3" xfId="1396"/>
    <cellStyle name="Note 2 2 4 3 2" xfId="2068"/>
    <cellStyle name="Note 2 2 4 4" xfId="1577"/>
    <cellStyle name="Note 2 2 4 4 2" xfId="2246"/>
    <cellStyle name="Note 2 2 4 5" xfId="1766"/>
    <cellStyle name="Note 2 2 4 5 2" xfId="2435"/>
    <cellStyle name="Note 2 2 4 6" xfId="1163"/>
    <cellStyle name="Note 2 2 4 7" xfId="2718"/>
    <cellStyle name="Note 2 2 5" xfId="1064"/>
    <cellStyle name="Note 2 2 6" xfId="1083"/>
    <cellStyle name="Note 2 2 6 2" xfId="1985"/>
    <cellStyle name="Note 2 2 7" xfId="946"/>
    <cellStyle name="Note 2 2 8" xfId="2623"/>
    <cellStyle name="Note 2 2 9" xfId="745"/>
    <cellStyle name="Note 2 3" xfId="599"/>
    <cellStyle name="Note 2 3 10" xfId="764"/>
    <cellStyle name="Note 2 3 2" xfId="926"/>
    <cellStyle name="Note 2 3 2 2" xfId="1200"/>
    <cellStyle name="Note 2 3 2 2 2" xfId="1433"/>
    <cellStyle name="Note 2 3 2 2 2 2" xfId="2104"/>
    <cellStyle name="Note 2 3 2 2 3" xfId="1613"/>
    <cellStyle name="Note 2 3 2 2 3 2" xfId="2282"/>
    <cellStyle name="Note 2 3 2 2 4" xfId="1802"/>
    <cellStyle name="Note 2 3 2 2 4 2" xfId="2471"/>
    <cellStyle name="Note 2 3 2 3" xfId="1190"/>
    <cellStyle name="Note 2 3 2 3 2" xfId="1423"/>
    <cellStyle name="Note 2 3 2 3 2 2" xfId="2095"/>
    <cellStyle name="Note 2 3 2 3 3" xfId="1603"/>
    <cellStyle name="Note 2 3 2 3 3 2" xfId="2272"/>
    <cellStyle name="Note 2 3 2 3 4" xfId="1792"/>
    <cellStyle name="Note 2 3 2 3 4 2" xfId="2461"/>
    <cellStyle name="Note 2 3 2 4" xfId="1091"/>
    <cellStyle name="Note 2 3 2 4 2" xfId="1993"/>
    <cellStyle name="Note 2 3 2 5" xfId="1105"/>
    <cellStyle name="Note 2 3 2 5 2" xfId="1997"/>
    <cellStyle name="Note 2 3 2 6" xfId="1119"/>
    <cellStyle name="Note 2 3 2 6 2" xfId="2003"/>
    <cellStyle name="Note 2 3 2 7" xfId="1081"/>
    <cellStyle name="Note 2 3 2 8" xfId="2629"/>
    <cellStyle name="Note 2 3 3" xfId="854"/>
    <cellStyle name="Note 2 3 3 2" xfId="1446"/>
    <cellStyle name="Note 2 3 3 2 2" xfId="2117"/>
    <cellStyle name="Note 2 3 3 3" xfId="1626"/>
    <cellStyle name="Note 2 3 3 3 2" xfId="2295"/>
    <cellStyle name="Note 2 3 3 4" xfId="1815"/>
    <cellStyle name="Note 2 3 3 4 2" xfId="2484"/>
    <cellStyle name="Note 2 3 3 5" xfId="1213"/>
    <cellStyle name="Note 2 3 4" xfId="1114"/>
    <cellStyle name="Note 2 3 5" xfId="1340"/>
    <cellStyle name="Note 2 3 5 2" xfId="2013"/>
    <cellStyle name="Note 2 3 6" xfId="1080"/>
    <cellStyle name="Note 2 3 6 2" xfId="1984"/>
    <cellStyle name="Note 2 3 7" xfId="1345"/>
    <cellStyle name="Note 2 3 7 2" xfId="2018"/>
    <cellStyle name="Note 2 3 8" xfId="948"/>
    <cellStyle name="Note 2 3 9" xfId="2645"/>
    <cellStyle name="Note 2 4" xfId="923"/>
    <cellStyle name="Note 2 4 2" xfId="1247"/>
    <cellStyle name="Note 2 4 2 2" xfId="1478"/>
    <cellStyle name="Note 2 4 2 2 2" xfId="2148"/>
    <cellStyle name="Note 2 4 2 3" xfId="1656"/>
    <cellStyle name="Note 2 4 2 3 2" xfId="2325"/>
    <cellStyle name="Note 2 4 2 4" xfId="1845"/>
    <cellStyle name="Note 2 4 2 4 2" xfId="2514"/>
    <cellStyle name="Note 2 4 3" xfId="1373"/>
    <cellStyle name="Note 2 4 3 2" xfId="2046"/>
    <cellStyle name="Note 2 4 4" xfId="1554"/>
    <cellStyle name="Note 2 4 4 2" xfId="2224"/>
    <cellStyle name="Note 2 4 5" xfId="1744"/>
    <cellStyle name="Note 2 4 5 2" xfId="2413"/>
    <cellStyle name="Note 2 4 6" xfId="2686"/>
    <cellStyle name="Note 2 5" xfId="801"/>
    <cellStyle name="Note 2 5 2" xfId="1289"/>
    <cellStyle name="Note 2 5 2 2" xfId="1511"/>
    <cellStyle name="Note 2 5 2 2 2" xfId="2181"/>
    <cellStyle name="Note 2 5 2 3" xfId="1689"/>
    <cellStyle name="Note 2 5 2 3 2" xfId="2358"/>
    <cellStyle name="Note 2 5 2 4" xfId="1878"/>
    <cellStyle name="Note 2 5 2 4 2" xfId="2547"/>
    <cellStyle name="Note 2 5 3" xfId="1404"/>
    <cellStyle name="Note 2 5 3 2" xfId="2076"/>
    <cellStyle name="Note 2 5 4" xfId="1585"/>
    <cellStyle name="Note 2 5 4 2" xfId="2254"/>
    <cellStyle name="Note 2 5 5" xfId="1774"/>
    <cellStyle name="Note 2 5 5 2" xfId="2443"/>
    <cellStyle name="Note 2 5 6" xfId="1172"/>
    <cellStyle name="Note 2 5 7" xfId="2728"/>
    <cellStyle name="Note 2 6" xfId="1016"/>
    <cellStyle name="Note 2 7" xfId="1044"/>
    <cellStyle name="Note 2 7 2" xfId="1963"/>
    <cellStyle name="Note 2 8" xfId="945"/>
    <cellStyle name="Note 2 9" xfId="2605"/>
    <cellStyle name="Note 2_בחירה מרשימה" xfId="600"/>
    <cellStyle name="Note 3" xfId="362"/>
    <cellStyle name="Note 3 10" xfId="726"/>
    <cellStyle name="Note 3 2" xfId="601"/>
    <cellStyle name="Note 3 2 2" xfId="602"/>
    <cellStyle name="Note 3 2 2 10" xfId="783"/>
    <cellStyle name="Note 3 2 2 2" xfId="929"/>
    <cellStyle name="Note 3 2 2 2 2" xfId="1303"/>
    <cellStyle name="Note 3 2 2 2 2 2" xfId="1525"/>
    <cellStyle name="Note 3 2 2 2 2 2 2" xfId="2195"/>
    <cellStyle name="Note 3 2 2 2 2 3" xfId="1703"/>
    <cellStyle name="Note 3 2 2 2 2 3 2" xfId="2372"/>
    <cellStyle name="Note 3 2 2 2 2 4" xfId="1892"/>
    <cellStyle name="Note 3 2 2 2 2 4 2" xfId="2561"/>
    <cellStyle name="Note 3 2 2 2 3" xfId="1331"/>
    <cellStyle name="Note 3 2 2 2 3 2" xfId="1545"/>
    <cellStyle name="Note 3 2 2 2 3 2 2" xfId="2215"/>
    <cellStyle name="Note 3 2 2 2 3 3" xfId="1731"/>
    <cellStyle name="Note 3 2 2 2 3 3 2" xfId="2400"/>
    <cellStyle name="Note 3 2 2 2 3 4" xfId="1920"/>
    <cellStyle name="Note 3 2 2 2 3 4 2" xfId="2589"/>
    <cellStyle name="Note 3 2 2 2 4" xfId="1418"/>
    <cellStyle name="Note 3 2 2 2 4 2" xfId="2090"/>
    <cellStyle name="Note 3 2 2 2 5" xfId="1599"/>
    <cellStyle name="Note 3 2 2 2 5 2" xfId="2268"/>
    <cellStyle name="Note 3 2 2 2 6" xfId="1788"/>
    <cellStyle name="Note 3 2 2 2 6 2" xfId="2457"/>
    <cellStyle name="Note 3 2 2 2 7" xfId="1185"/>
    <cellStyle name="Note 3 2 2 2 8" xfId="2742"/>
    <cellStyle name="Note 3 2 2 3" xfId="875"/>
    <cellStyle name="Note 3 2 2 3 2" xfId="1466"/>
    <cellStyle name="Note 3 2 2 3 2 2" xfId="2136"/>
    <cellStyle name="Note 3 2 2 3 3" xfId="1645"/>
    <cellStyle name="Note 3 2 2 3 3 2" xfId="2314"/>
    <cellStyle name="Note 3 2 2 3 4" xfId="1834"/>
    <cellStyle name="Note 3 2 2 3 4 2" xfId="2503"/>
    <cellStyle name="Note 3 2 2 3 5" xfId="1234"/>
    <cellStyle name="Note 3 2 2 4" xfId="1139"/>
    <cellStyle name="Note 3 2 2 5" xfId="1362"/>
    <cellStyle name="Note 3 2 2 5 2" xfId="2035"/>
    <cellStyle name="Note 3 2 2 6" xfId="1040"/>
    <cellStyle name="Note 3 2 2 6 2" xfId="1959"/>
    <cellStyle name="Note 3 2 2 7" xfId="1733"/>
    <cellStyle name="Note 3 2 2 7 2" xfId="2402"/>
    <cellStyle name="Note 3 2 2 8" xfId="951"/>
    <cellStyle name="Note 3 2 2 9" xfId="2673"/>
    <cellStyle name="Note 3 2 3" xfId="928"/>
    <cellStyle name="Note 3 2 3 2" xfId="1273"/>
    <cellStyle name="Note 3 2 3 2 2" xfId="1495"/>
    <cellStyle name="Note 3 2 3 2 2 2" xfId="2165"/>
    <cellStyle name="Note 3 2 3 2 3" xfId="1673"/>
    <cellStyle name="Note 3 2 3 2 3 2" xfId="2342"/>
    <cellStyle name="Note 3 2 3 2 4" xfId="1862"/>
    <cellStyle name="Note 3 2 3 2 4 2" xfId="2531"/>
    <cellStyle name="Note 3 2 3 3" xfId="1390"/>
    <cellStyle name="Note 3 2 3 3 2" xfId="2062"/>
    <cellStyle name="Note 3 2 3 4" xfId="1571"/>
    <cellStyle name="Note 3 2 3 4 2" xfId="2240"/>
    <cellStyle name="Note 3 2 3 5" xfId="1760"/>
    <cellStyle name="Note 3 2 3 5 2" xfId="2429"/>
    <cellStyle name="Note 3 2 3 6" xfId="2712"/>
    <cellStyle name="Note 3 2 4" xfId="828"/>
    <cellStyle name="Note 3 2 4 2" xfId="1290"/>
    <cellStyle name="Note 3 2 4 2 2" xfId="1512"/>
    <cellStyle name="Note 3 2 4 2 2 2" xfId="2182"/>
    <cellStyle name="Note 3 2 4 2 3" xfId="1690"/>
    <cellStyle name="Note 3 2 4 2 3 2" xfId="2359"/>
    <cellStyle name="Note 3 2 4 2 4" xfId="1879"/>
    <cellStyle name="Note 3 2 4 2 4 2" xfId="2548"/>
    <cellStyle name="Note 3 2 4 3" xfId="1405"/>
    <cellStyle name="Note 3 2 4 3 2" xfId="2077"/>
    <cellStyle name="Note 3 2 4 4" xfId="1586"/>
    <cellStyle name="Note 3 2 4 4 2" xfId="2255"/>
    <cellStyle name="Note 3 2 4 5" xfId="1775"/>
    <cellStyle name="Note 3 2 4 5 2" xfId="2444"/>
    <cellStyle name="Note 3 2 4 6" xfId="1173"/>
    <cellStyle name="Note 3 2 4 7" xfId="2729"/>
    <cellStyle name="Note 3 2 5" xfId="1065"/>
    <cellStyle name="Note 3 2 6" xfId="1042"/>
    <cellStyle name="Note 3 2 6 2" xfId="1961"/>
    <cellStyle name="Note 3 2 7" xfId="950"/>
    <cellStyle name="Note 3 2 8" xfId="2624"/>
    <cellStyle name="Note 3 2 9" xfId="746"/>
    <cellStyle name="Note 3 3" xfId="603"/>
    <cellStyle name="Note 3 3 10" xfId="758"/>
    <cellStyle name="Note 3 3 2" xfId="930"/>
    <cellStyle name="Note 3 3 2 2" xfId="1224"/>
    <cellStyle name="Note 3 3 2 2 2" xfId="1456"/>
    <cellStyle name="Note 3 3 2 2 2 2" xfId="2127"/>
    <cellStyle name="Note 3 3 2 2 3" xfId="1636"/>
    <cellStyle name="Note 3 3 2 2 3 2" xfId="2305"/>
    <cellStyle name="Note 3 3 2 2 4" xfId="1825"/>
    <cellStyle name="Note 3 3 2 2 4 2" xfId="2494"/>
    <cellStyle name="Note 3 3 2 3" xfId="1309"/>
    <cellStyle name="Note 3 3 2 3 2" xfId="1530"/>
    <cellStyle name="Note 3 3 2 3 2 2" xfId="2200"/>
    <cellStyle name="Note 3 3 2 3 3" xfId="1709"/>
    <cellStyle name="Note 3 3 2 3 3 2" xfId="2378"/>
    <cellStyle name="Note 3 3 2 3 4" xfId="1898"/>
    <cellStyle name="Note 3 3 2 3 4 2" xfId="2567"/>
    <cellStyle name="Note 3 3 2 4" xfId="1352"/>
    <cellStyle name="Note 3 3 2 4 2" xfId="2025"/>
    <cellStyle name="Note 3 3 2 5" xfId="1039"/>
    <cellStyle name="Note 3 3 2 5 2" xfId="1958"/>
    <cellStyle name="Note 3 3 2 6" xfId="1073"/>
    <cellStyle name="Note 3 3 2 6 2" xfId="1977"/>
    <cellStyle name="Note 3 3 2 7" xfId="1127"/>
    <cellStyle name="Note 3 3 2 8" xfId="2658"/>
    <cellStyle name="Note 3 3 3" xfId="849"/>
    <cellStyle name="Note 3 3 3 2" xfId="1441"/>
    <cellStyle name="Note 3 3 3 2 2" xfId="2112"/>
    <cellStyle name="Note 3 3 3 3" xfId="1621"/>
    <cellStyle name="Note 3 3 3 3 2" xfId="2290"/>
    <cellStyle name="Note 3 3 3 4" xfId="1810"/>
    <cellStyle name="Note 3 3 3 4 2" xfId="2479"/>
    <cellStyle name="Note 3 3 3 5" xfId="1208"/>
    <cellStyle name="Note 3 3 4" xfId="1109"/>
    <cellStyle name="Note 3 3 5" xfId="1335"/>
    <cellStyle name="Note 3 3 5 2" xfId="2008"/>
    <cellStyle name="Note 3 3 6" xfId="1078"/>
    <cellStyle name="Note 3 3 6 2" xfId="1982"/>
    <cellStyle name="Note 3 3 7" xfId="998"/>
    <cellStyle name="Note 3 3 7 2" xfId="1936"/>
    <cellStyle name="Note 3 3 8" xfId="952"/>
    <cellStyle name="Note 3 3 9" xfId="2639"/>
    <cellStyle name="Note 3 4" xfId="927"/>
    <cellStyle name="Note 3 4 2" xfId="1241"/>
    <cellStyle name="Note 3 4 2 2" xfId="1473"/>
    <cellStyle name="Note 3 4 2 2 2" xfId="2143"/>
    <cellStyle name="Note 3 4 2 3" xfId="1651"/>
    <cellStyle name="Note 3 4 2 3 2" xfId="2320"/>
    <cellStyle name="Note 3 4 2 4" xfId="1840"/>
    <cellStyle name="Note 3 4 2 4 2" xfId="2509"/>
    <cellStyle name="Note 3 4 3" xfId="1368"/>
    <cellStyle name="Note 3 4 3 2" xfId="2041"/>
    <cellStyle name="Note 3 4 4" xfId="1549"/>
    <cellStyle name="Note 3 4 4 2" xfId="2219"/>
    <cellStyle name="Note 3 4 5" xfId="1739"/>
    <cellStyle name="Note 3 4 5 2" xfId="2408"/>
    <cellStyle name="Note 3 4 6" xfId="2680"/>
    <cellStyle name="Note 3 5" xfId="798"/>
    <cellStyle name="Note 3 5 2" xfId="1201"/>
    <cellStyle name="Note 3 5 2 2" xfId="1434"/>
    <cellStyle name="Note 3 5 2 2 2" xfId="2105"/>
    <cellStyle name="Note 3 5 2 3" xfId="1614"/>
    <cellStyle name="Note 3 5 2 3 2" xfId="2283"/>
    <cellStyle name="Note 3 5 2 4" xfId="1803"/>
    <cellStyle name="Note 3 5 2 4 2" xfId="2472"/>
    <cellStyle name="Note 3 5 3" xfId="1090"/>
    <cellStyle name="Note 3 5 3 2" xfId="1992"/>
    <cellStyle name="Note 3 5 4" xfId="1118"/>
    <cellStyle name="Note 3 5 4 2" xfId="2002"/>
    <cellStyle name="Note 3 5 5" xfId="1041"/>
    <cellStyle name="Note 3 5 5 2" xfId="1960"/>
    <cellStyle name="Note 3 5 6" xfId="1082"/>
    <cellStyle name="Note 3 5 7" xfId="2630"/>
    <cellStyle name="Note 3 6" xfId="1010"/>
    <cellStyle name="Note 3 7" xfId="1076"/>
    <cellStyle name="Note 3 7 2" xfId="1980"/>
    <cellStyle name="Note 3 8" xfId="949"/>
    <cellStyle name="Note 3 9" xfId="2599"/>
    <cellStyle name="Note 3_בחירה מרשימה" xfId="604"/>
    <cellStyle name="Note 4" xfId="605"/>
    <cellStyle name="Note 4 10" xfId="754"/>
    <cellStyle name="Note 4 2" xfId="931"/>
    <cellStyle name="Note 4 2 2" xfId="1287"/>
    <cellStyle name="Note 4 2 2 2" xfId="1509"/>
    <cellStyle name="Note 4 2 2 2 2" xfId="2179"/>
    <cellStyle name="Note 4 2 2 3" xfId="1687"/>
    <cellStyle name="Note 4 2 2 3 2" xfId="2356"/>
    <cellStyle name="Note 4 2 2 4" xfId="1876"/>
    <cellStyle name="Note 4 2 2 4 2" xfId="2545"/>
    <cellStyle name="Note 4 2 3" xfId="1321"/>
    <cellStyle name="Note 4 2 3 2" xfId="1537"/>
    <cellStyle name="Note 4 2 3 2 2" xfId="2207"/>
    <cellStyle name="Note 4 2 3 3" xfId="1721"/>
    <cellStyle name="Note 4 2 3 3 2" xfId="2390"/>
    <cellStyle name="Note 4 2 3 4" xfId="1910"/>
    <cellStyle name="Note 4 2 3 4 2" xfId="2579"/>
    <cellStyle name="Note 4 2 4" xfId="1402"/>
    <cellStyle name="Note 4 2 4 2" xfId="2074"/>
    <cellStyle name="Note 4 2 5" xfId="1583"/>
    <cellStyle name="Note 4 2 5 2" xfId="2252"/>
    <cellStyle name="Note 4 2 6" xfId="1772"/>
    <cellStyle name="Note 4 2 6 2" xfId="2441"/>
    <cellStyle name="Note 4 2 7" xfId="1170"/>
    <cellStyle name="Note 4 2 8" xfId="2726"/>
    <cellStyle name="Note 4 3" xfId="842"/>
    <cellStyle name="Note 4 3 2" xfId="1437"/>
    <cellStyle name="Note 4 3 2 2" xfId="2108"/>
    <cellStyle name="Note 4 3 3" xfId="1617"/>
    <cellStyle name="Note 4 3 3 2" xfId="2286"/>
    <cellStyle name="Note 4 3 4" xfId="1806"/>
    <cellStyle name="Note 4 3 4 2" xfId="2475"/>
    <cellStyle name="Note 4 3 5" xfId="1204"/>
    <cellStyle name="Note 4 4" xfId="1097"/>
    <cellStyle name="Note 4 5" xfId="1036"/>
    <cellStyle name="Note 4 5 2" xfId="1955"/>
    <cellStyle name="Note 4 6" xfId="1085"/>
    <cellStyle name="Note 4 6 2" xfId="1987"/>
    <cellStyle name="Note 4 7" xfId="1532"/>
    <cellStyle name="Note 4 7 2" xfId="2202"/>
    <cellStyle name="Note 4 8" xfId="953"/>
    <cellStyle name="Note 4 9" xfId="2634"/>
    <cellStyle name="Note 5" xfId="791"/>
    <cellStyle name="Note 5 2" xfId="1221"/>
    <cellStyle name="Note 5 2 2" xfId="1454"/>
    <cellStyle name="Note 5 2 2 2" xfId="2125"/>
    <cellStyle name="Note 5 2 3" xfId="1634"/>
    <cellStyle name="Note 5 2 3 2" xfId="2303"/>
    <cellStyle name="Note 5 2 4" xfId="1823"/>
    <cellStyle name="Note 5 2 4 2" xfId="2492"/>
    <cellStyle name="Note 5 3" xfId="1350"/>
    <cellStyle name="Note 5 3 2" xfId="2023"/>
    <cellStyle name="Note 5 4" xfId="984"/>
    <cellStyle name="Note 5 4 2" xfId="1927"/>
    <cellStyle name="Note 5 5" xfId="1075"/>
    <cellStyle name="Note 5 5 2" xfId="1979"/>
    <cellStyle name="Note 5 6" xfId="1124"/>
    <cellStyle name="Note 5 7" xfId="2655"/>
    <cellStyle name="Note 6" xfId="1174"/>
    <cellStyle name="Note 6 2" xfId="1291"/>
    <cellStyle name="Note 6 2 2" xfId="1513"/>
    <cellStyle name="Note 6 2 2 2" xfId="2183"/>
    <cellStyle name="Note 6 2 3" xfId="1691"/>
    <cellStyle name="Note 6 2 3 2" xfId="2360"/>
    <cellStyle name="Note 6 2 4" xfId="1880"/>
    <cellStyle name="Note 6 2 4 2" xfId="2549"/>
    <cellStyle name="Note 6 3" xfId="1406"/>
    <cellStyle name="Note 6 3 2" xfId="2078"/>
    <cellStyle name="Note 6 4" xfId="1587"/>
    <cellStyle name="Note 6 4 2" xfId="2256"/>
    <cellStyle name="Note 6 5" xfId="1776"/>
    <cellStyle name="Note 6 5 2" xfId="2445"/>
    <cellStyle name="Note 6 6" xfId="2730"/>
    <cellStyle name="Note 7" xfId="991"/>
    <cellStyle name="Note 8" xfId="1054"/>
    <cellStyle name="Note 8 2" xfId="1969"/>
    <cellStyle name="Note 9" xfId="2595"/>
    <cellStyle name="Note_בחירה מרשימה" xfId="606"/>
    <cellStyle name="Output" xfId="236"/>
    <cellStyle name="Output 10" xfId="723"/>
    <cellStyle name="Output 2" xfId="363"/>
    <cellStyle name="Output 2 10" xfId="729"/>
    <cellStyle name="Output 2 2" xfId="607"/>
    <cellStyle name="Output 2 2 2" xfId="608"/>
    <cellStyle name="Output 2 2 2 10" xfId="784"/>
    <cellStyle name="Output 2 2 2 2" xfId="1186"/>
    <cellStyle name="Output 2 2 2 2 2" xfId="1304"/>
    <cellStyle name="Output 2 2 2 2 2 2" xfId="1526"/>
    <cellStyle name="Output 2 2 2 2 2 2 2" xfId="2196"/>
    <cellStyle name="Output 2 2 2 2 2 3" xfId="1704"/>
    <cellStyle name="Output 2 2 2 2 2 3 2" xfId="2373"/>
    <cellStyle name="Output 2 2 2 2 2 4" xfId="1893"/>
    <cellStyle name="Output 2 2 2 2 2 4 2" xfId="2562"/>
    <cellStyle name="Output 2 2 2 2 3" xfId="2743"/>
    <cellStyle name="Output 2 2 2 3" xfId="1235"/>
    <cellStyle name="Output 2 2 2 3 2" xfId="1467"/>
    <cellStyle name="Output 2 2 2 3 2 2" xfId="2137"/>
    <cellStyle name="Output 2 2 2 3 3" xfId="1646"/>
    <cellStyle name="Output 2 2 2 3 3 2" xfId="2315"/>
    <cellStyle name="Output 2 2 2 3 4" xfId="1835"/>
    <cellStyle name="Output 2 2 2 3 4 2" xfId="2504"/>
    <cellStyle name="Output 2 2 2 4" xfId="1140"/>
    <cellStyle name="Output 2 2 2 5" xfId="1363"/>
    <cellStyle name="Output 2 2 2 5 2" xfId="2036"/>
    <cellStyle name="Output 2 2 2 6" xfId="1003"/>
    <cellStyle name="Output 2 2 2 6 2" xfId="1940"/>
    <cellStyle name="Output 2 2 2 7" xfId="1734"/>
    <cellStyle name="Output 2 2 2 7 2" xfId="2403"/>
    <cellStyle name="Output 2 2 2 8" xfId="956"/>
    <cellStyle name="Output 2 2 2 9" xfId="2674"/>
    <cellStyle name="Output 2 2 3" xfId="933"/>
    <cellStyle name="Output 2 2 3 2" xfId="1274"/>
    <cellStyle name="Output 2 2 3 2 2" xfId="1496"/>
    <cellStyle name="Output 2 2 3 2 2 2" xfId="2166"/>
    <cellStyle name="Output 2 2 3 2 3" xfId="1674"/>
    <cellStyle name="Output 2 2 3 2 3 2" xfId="2343"/>
    <cellStyle name="Output 2 2 3 2 4" xfId="1863"/>
    <cellStyle name="Output 2 2 3 2 4 2" xfId="2532"/>
    <cellStyle name="Output 2 2 3 3" xfId="1317"/>
    <cellStyle name="Output 2 2 3 3 2" xfId="1717"/>
    <cellStyle name="Output 2 2 3 3 2 2" xfId="2386"/>
    <cellStyle name="Output 2 2 3 3 3" xfId="1906"/>
    <cellStyle name="Output 2 2 3 3 3 2" xfId="2575"/>
    <cellStyle name="Output 2 2 3 4" xfId="1391"/>
    <cellStyle name="Output 2 2 3 4 2" xfId="2063"/>
    <cellStyle name="Output 2 2 3 5" xfId="1572"/>
    <cellStyle name="Output 2 2 3 5 2" xfId="2241"/>
    <cellStyle name="Output 2 2 3 6" xfId="1761"/>
    <cellStyle name="Output 2 2 3 6 2" xfId="2430"/>
    <cellStyle name="Output 2 2 3 7" xfId="1160"/>
    <cellStyle name="Output 2 2 3 8" xfId="2713"/>
    <cellStyle name="Output 2 2 4" xfId="829"/>
    <cellStyle name="Output 2 2 4 2" xfId="1292"/>
    <cellStyle name="Output 2 2 4 2 2" xfId="1514"/>
    <cellStyle name="Output 2 2 4 2 2 2" xfId="2184"/>
    <cellStyle name="Output 2 2 4 2 3" xfId="1692"/>
    <cellStyle name="Output 2 2 4 2 3 2" xfId="2361"/>
    <cellStyle name="Output 2 2 4 2 4" xfId="1881"/>
    <cellStyle name="Output 2 2 4 2 4 2" xfId="2550"/>
    <cellStyle name="Output 2 2 4 3" xfId="1323"/>
    <cellStyle name="Output 2 2 4 3 2" xfId="1723"/>
    <cellStyle name="Output 2 2 4 3 2 2" xfId="2392"/>
    <cellStyle name="Output 2 2 4 3 3" xfId="1912"/>
    <cellStyle name="Output 2 2 4 3 3 2" xfId="2581"/>
    <cellStyle name="Output 2 2 4 4" xfId="1407"/>
    <cellStyle name="Output 2 2 4 4 2" xfId="2079"/>
    <cellStyle name="Output 2 2 4 5" xfId="1588"/>
    <cellStyle name="Output 2 2 4 5 2" xfId="2257"/>
    <cellStyle name="Output 2 2 4 6" xfId="1777"/>
    <cellStyle name="Output 2 2 4 6 2" xfId="2446"/>
    <cellStyle name="Output 2 2 4 7" xfId="1175"/>
    <cellStyle name="Output 2 2 4 8" xfId="2731"/>
    <cellStyle name="Output 2 2 5" xfId="1066"/>
    <cellStyle name="Output 2 2 6" xfId="955"/>
    <cellStyle name="Output 2 2 7" xfId="2625"/>
    <cellStyle name="Output 2 2 8" xfId="747"/>
    <cellStyle name="Output 2 3" xfId="609"/>
    <cellStyle name="Output 2 3 10" xfId="765"/>
    <cellStyle name="Output 2 3 2" xfId="1167"/>
    <cellStyle name="Output 2 3 2 2" xfId="1283"/>
    <cellStyle name="Output 2 3 2 2 2" xfId="1505"/>
    <cellStyle name="Output 2 3 2 2 2 2" xfId="2175"/>
    <cellStyle name="Output 2 3 2 2 3" xfId="1683"/>
    <cellStyle name="Output 2 3 2 2 3 2" xfId="2352"/>
    <cellStyle name="Output 2 3 2 2 4" xfId="1872"/>
    <cellStyle name="Output 2 3 2 2 4 2" xfId="2541"/>
    <cellStyle name="Output 2 3 2 3" xfId="2722"/>
    <cellStyle name="Output 2 3 3" xfId="1214"/>
    <cellStyle name="Output 2 3 3 2" xfId="1447"/>
    <cellStyle name="Output 2 3 3 2 2" xfId="2118"/>
    <cellStyle name="Output 2 3 3 3" xfId="1627"/>
    <cellStyle name="Output 2 3 3 3 2" xfId="2296"/>
    <cellStyle name="Output 2 3 3 4" xfId="1816"/>
    <cellStyle name="Output 2 3 3 4 2" xfId="2485"/>
    <cellStyle name="Output 2 3 4" xfId="1115"/>
    <cellStyle name="Output 2 3 5" xfId="1341"/>
    <cellStyle name="Output 2 3 5 2" xfId="2014"/>
    <cellStyle name="Output 2 3 6" xfId="1038"/>
    <cellStyle name="Output 2 3 6 2" xfId="1957"/>
    <cellStyle name="Output 2 3 7" xfId="1009"/>
    <cellStyle name="Output 2 3 7 2" xfId="1943"/>
    <cellStyle name="Output 2 3 8" xfId="957"/>
    <cellStyle name="Output 2 3 9" xfId="2646"/>
    <cellStyle name="Output 2 4" xfId="932"/>
    <cellStyle name="Output 2 4 2" xfId="1248"/>
    <cellStyle name="Output 2 4 2 2" xfId="1479"/>
    <cellStyle name="Output 2 4 2 2 2" xfId="2149"/>
    <cellStyle name="Output 2 4 2 3" xfId="1657"/>
    <cellStyle name="Output 2 4 2 3 2" xfId="2326"/>
    <cellStyle name="Output 2 4 2 4" xfId="1846"/>
    <cellStyle name="Output 2 4 2 4 2" xfId="2515"/>
    <cellStyle name="Output 2 4 3" xfId="1312"/>
    <cellStyle name="Output 2 4 3 2" xfId="1712"/>
    <cellStyle name="Output 2 4 3 2 2" xfId="2381"/>
    <cellStyle name="Output 2 4 3 3" xfId="1901"/>
    <cellStyle name="Output 2 4 3 3 2" xfId="2570"/>
    <cellStyle name="Output 2 4 4" xfId="1374"/>
    <cellStyle name="Output 2 4 4 2" xfId="2047"/>
    <cellStyle name="Output 2 4 5" xfId="1555"/>
    <cellStyle name="Output 2 4 5 2" xfId="2225"/>
    <cellStyle name="Output 2 4 6" xfId="1745"/>
    <cellStyle name="Output 2 4 6 2" xfId="2414"/>
    <cellStyle name="Output 2 4 7" xfId="1150"/>
    <cellStyle name="Output 2 4 8" xfId="2687"/>
    <cellStyle name="Output 2 5" xfId="802"/>
    <cellStyle name="Output 2 5 2" xfId="1261"/>
    <cellStyle name="Output 2 5 2 2" xfId="1489"/>
    <cellStyle name="Output 2 5 2 2 2" xfId="2159"/>
    <cellStyle name="Output 2 5 2 3" xfId="1667"/>
    <cellStyle name="Output 2 5 2 3 2" xfId="2336"/>
    <cellStyle name="Output 2 5 2 4" xfId="1856"/>
    <cellStyle name="Output 2 5 2 4 2" xfId="2525"/>
    <cellStyle name="Output 2 5 3" xfId="1316"/>
    <cellStyle name="Output 2 5 3 2" xfId="1716"/>
    <cellStyle name="Output 2 5 3 2 2" xfId="2385"/>
    <cellStyle name="Output 2 5 3 3" xfId="1905"/>
    <cellStyle name="Output 2 5 3 3 2" xfId="2574"/>
    <cellStyle name="Output 2 5 4" xfId="1383"/>
    <cellStyle name="Output 2 5 4 2" xfId="2056"/>
    <cellStyle name="Output 2 5 5" xfId="1564"/>
    <cellStyle name="Output 2 5 5 2" xfId="2234"/>
    <cellStyle name="Output 2 5 6" xfId="1754"/>
    <cellStyle name="Output 2 5 6 2" xfId="2423"/>
    <cellStyle name="Output 2 5 7" xfId="1159"/>
    <cellStyle name="Output 2 5 8" xfId="2700"/>
    <cellStyle name="Output 2 6" xfId="1192"/>
    <cellStyle name="Output 2 6 2" xfId="1605"/>
    <cellStyle name="Output 2 6 2 2" xfId="2274"/>
    <cellStyle name="Output 2 6 3" xfId="1794"/>
    <cellStyle name="Output 2 6 3 2" xfId="2463"/>
    <cellStyle name="Output 2 7" xfId="1017"/>
    <cellStyle name="Output 2 8" xfId="954"/>
    <cellStyle name="Output 2 9" xfId="2606"/>
    <cellStyle name="Output 2_בחירה מרשימה" xfId="610"/>
    <cellStyle name="Output 3" xfId="364"/>
    <cellStyle name="Output 3 2" xfId="611"/>
    <cellStyle name="Output 3 2 2" xfId="612"/>
    <cellStyle name="Output 3 2 2 10" xfId="785"/>
    <cellStyle name="Output 3 2 2 2" xfId="1187"/>
    <cellStyle name="Output 3 2 2 2 2" xfId="1305"/>
    <cellStyle name="Output 3 2 2 2 2 2" xfId="1527"/>
    <cellStyle name="Output 3 2 2 2 2 2 2" xfId="2197"/>
    <cellStyle name="Output 3 2 2 2 2 3" xfId="1705"/>
    <cellStyle name="Output 3 2 2 2 2 3 2" xfId="2374"/>
    <cellStyle name="Output 3 2 2 2 2 4" xfId="1894"/>
    <cellStyle name="Output 3 2 2 2 2 4 2" xfId="2563"/>
    <cellStyle name="Output 3 2 2 2 3" xfId="2744"/>
    <cellStyle name="Output 3 2 2 3" xfId="1236"/>
    <cellStyle name="Output 3 2 2 3 2" xfId="1468"/>
    <cellStyle name="Output 3 2 2 3 2 2" xfId="2138"/>
    <cellStyle name="Output 3 2 2 3 3" xfId="1647"/>
    <cellStyle name="Output 3 2 2 3 3 2" xfId="2316"/>
    <cellStyle name="Output 3 2 2 3 4" xfId="1836"/>
    <cellStyle name="Output 3 2 2 3 4 2" xfId="2505"/>
    <cellStyle name="Output 3 2 2 4" xfId="1141"/>
    <cellStyle name="Output 3 2 2 5" xfId="1364"/>
    <cellStyle name="Output 3 2 2 5 2" xfId="2037"/>
    <cellStyle name="Output 3 2 2 6" xfId="1023"/>
    <cellStyle name="Output 3 2 2 6 2" xfId="1946"/>
    <cellStyle name="Output 3 2 2 7" xfId="1735"/>
    <cellStyle name="Output 3 2 2 7 2" xfId="2404"/>
    <cellStyle name="Output 3 2 2 8" xfId="960"/>
    <cellStyle name="Output 3 2 2 9" xfId="2675"/>
    <cellStyle name="Output 3 2 3" xfId="935"/>
    <cellStyle name="Output 3 2 3 2" xfId="1275"/>
    <cellStyle name="Output 3 2 3 2 2" xfId="1497"/>
    <cellStyle name="Output 3 2 3 2 2 2" xfId="2167"/>
    <cellStyle name="Output 3 2 3 2 3" xfId="1675"/>
    <cellStyle name="Output 3 2 3 2 3 2" xfId="2344"/>
    <cellStyle name="Output 3 2 3 2 4" xfId="1864"/>
    <cellStyle name="Output 3 2 3 2 4 2" xfId="2533"/>
    <cellStyle name="Output 3 2 3 3" xfId="1318"/>
    <cellStyle name="Output 3 2 3 3 2" xfId="1718"/>
    <cellStyle name="Output 3 2 3 3 2 2" xfId="2387"/>
    <cellStyle name="Output 3 2 3 3 3" xfId="1907"/>
    <cellStyle name="Output 3 2 3 3 3 2" xfId="2576"/>
    <cellStyle name="Output 3 2 3 4" xfId="1392"/>
    <cellStyle name="Output 3 2 3 4 2" xfId="2064"/>
    <cellStyle name="Output 3 2 3 5" xfId="1573"/>
    <cellStyle name="Output 3 2 3 5 2" xfId="2242"/>
    <cellStyle name="Output 3 2 3 6" xfId="1762"/>
    <cellStyle name="Output 3 2 3 6 2" xfId="2431"/>
    <cellStyle name="Output 3 2 3 7" xfId="1161"/>
    <cellStyle name="Output 3 2 3 8" xfId="2714"/>
    <cellStyle name="Output 3 2 4" xfId="830"/>
    <cellStyle name="Output 3 2 4 2" xfId="1252"/>
    <cellStyle name="Output 3 2 4 2 2" xfId="1481"/>
    <cellStyle name="Output 3 2 4 2 2 2" xfId="2151"/>
    <cellStyle name="Output 3 2 4 2 3" xfId="1659"/>
    <cellStyle name="Output 3 2 4 2 3 2" xfId="2328"/>
    <cellStyle name="Output 3 2 4 2 4" xfId="1848"/>
    <cellStyle name="Output 3 2 4 2 4 2" xfId="2517"/>
    <cellStyle name="Output 3 2 4 3" xfId="1313"/>
    <cellStyle name="Output 3 2 4 3 2" xfId="1713"/>
    <cellStyle name="Output 3 2 4 3 2 2" xfId="2382"/>
    <cellStyle name="Output 3 2 4 3 3" xfId="1902"/>
    <cellStyle name="Output 3 2 4 3 3 2" xfId="2571"/>
    <cellStyle name="Output 3 2 4 4" xfId="1376"/>
    <cellStyle name="Output 3 2 4 4 2" xfId="2049"/>
    <cellStyle name="Output 3 2 4 5" xfId="1557"/>
    <cellStyle name="Output 3 2 4 5 2" xfId="2227"/>
    <cellStyle name="Output 3 2 4 6" xfId="1747"/>
    <cellStyle name="Output 3 2 4 6 2" xfId="2416"/>
    <cellStyle name="Output 3 2 4 7" xfId="1152"/>
    <cellStyle name="Output 3 2 4 8" xfId="2691"/>
    <cellStyle name="Output 3 2 5" xfId="1067"/>
    <cellStyle name="Output 3 2 6" xfId="959"/>
    <cellStyle name="Output 3 2 7" xfId="2626"/>
    <cellStyle name="Output 3 2 8" xfId="748"/>
    <cellStyle name="Output 3 3" xfId="613"/>
    <cellStyle name="Output 3 3 10" xfId="759"/>
    <cellStyle name="Output 3 3 2" xfId="1169"/>
    <cellStyle name="Output 3 3 2 2" xfId="1285"/>
    <cellStyle name="Output 3 3 2 2 2" xfId="1507"/>
    <cellStyle name="Output 3 3 2 2 2 2" xfId="2177"/>
    <cellStyle name="Output 3 3 2 2 3" xfId="1685"/>
    <cellStyle name="Output 3 3 2 2 3 2" xfId="2354"/>
    <cellStyle name="Output 3 3 2 2 4" xfId="1874"/>
    <cellStyle name="Output 3 3 2 2 4 2" xfId="2543"/>
    <cellStyle name="Output 3 3 2 3" xfId="2724"/>
    <cellStyle name="Output 3 3 3" xfId="1209"/>
    <cellStyle name="Output 3 3 3 2" xfId="1442"/>
    <cellStyle name="Output 3 3 3 2 2" xfId="2113"/>
    <cellStyle name="Output 3 3 3 3" xfId="1622"/>
    <cellStyle name="Output 3 3 3 3 2" xfId="2291"/>
    <cellStyle name="Output 3 3 3 4" xfId="1811"/>
    <cellStyle name="Output 3 3 3 4 2" xfId="2480"/>
    <cellStyle name="Output 3 3 4" xfId="1110"/>
    <cellStyle name="Output 3 3 5" xfId="1336"/>
    <cellStyle name="Output 3 3 5 2" xfId="2009"/>
    <cellStyle name="Output 3 3 6" xfId="1086"/>
    <cellStyle name="Output 3 3 6 2" xfId="1988"/>
    <cellStyle name="Output 3 3 7" xfId="996"/>
    <cellStyle name="Output 3 3 7 2" xfId="1935"/>
    <cellStyle name="Output 3 3 8" xfId="961"/>
    <cellStyle name="Output 3 3 9" xfId="2640"/>
    <cellStyle name="Output 3 4" xfId="934"/>
    <cellStyle name="Output 3 4 2" xfId="1242"/>
    <cellStyle name="Output 3 4 2 2" xfId="1474"/>
    <cellStyle name="Output 3 4 2 2 2" xfId="2144"/>
    <cellStyle name="Output 3 4 2 3" xfId="1652"/>
    <cellStyle name="Output 3 4 2 3 2" xfId="2321"/>
    <cellStyle name="Output 3 4 2 4" xfId="1841"/>
    <cellStyle name="Output 3 4 2 4 2" xfId="2510"/>
    <cellStyle name="Output 3 4 3" xfId="1311"/>
    <cellStyle name="Output 3 4 3 2" xfId="1711"/>
    <cellStyle name="Output 3 4 3 2 2" xfId="2380"/>
    <cellStyle name="Output 3 4 3 3" xfId="1900"/>
    <cellStyle name="Output 3 4 3 3 2" xfId="2569"/>
    <cellStyle name="Output 3 4 4" xfId="1369"/>
    <cellStyle name="Output 3 4 4 2" xfId="2042"/>
    <cellStyle name="Output 3 4 5" xfId="1550"/>
    <cellStyle name="Output 3 4 5 2" xfId="2220"/>
    <cellStyle name="Output 3 4 6" xfId="1740"/>
    <cellStyle name="Output 3 4 6 2" xfId="2409"/>
    <cellStyle name="Output 3 4 7" xfId="1146"/>
    <cellStyle name="Output 3 4 8" xfId="2681"/>
    <cellStyle name="Output 3 5" xfId="799"/>
    <cellStyle name="Output 3 5 2" xfId="1281"/>
    <cellStyle name="Output 3 5 2 2" xfId="1503"/>
    <cellStyle name="Output 3 5 2 2 2" xfId="2173"/>
    <cellStyle name="Output 3 5 2 3" xfId="1681"/>
    <cellStyle name="Output 3 5 2 3 2" xfId="2350"/>
    <cellStyle name="Output 3 5 2 4" xfId="1870"/>
    <cellStyle name="Output 3 5 2 4 2" xfId="2539"/>
    <cellStyle name="Output 3 5 3" xfId="1319"/>
    <cellStyle name="Output 3 5 3 2" xfId="1719"/>
    <cellStyle name="Output 3 5 3 2 2" xfId="2388"/>
    <cellStyle name="Output 3 5 3 3" xfId="1908"/>
    <cellStyle name="Output 3 5 3 3 2" xfId="2577"/>
    <cellStyle name="Output 3 5 4" xfId="1398"/>
    <cellStyle name="Output 3 5 4 2" xfId="2070"/>
    <cellStyle name="Output 3 5 5" xfId="1579"/>
    <cellStyle name="Output 3 5 5 2" xfId="2248"/>
    <cellStyle name="Output 3 5 6" xfId="1768"/>
    <cellStyle name="Output 3 5 6 2" xfId="2437"/>
    <cellStyle name="Output 3 5 7" xfId="1165"/>
    <cellStyle name="Output 3 5 8" xfId="2720"/>
    <cellStyle name="Output 3 6" xfId="1011"/>
    <cellStyle name="Output 3 7" xfId="958"/>
    <cellStyle name="Output 3 8" xfId="2600"/>
    <cellStyle name="Output 3_בחירה מרשימה" xfId="614"/>
    <cellStyle name="Output 4" xfId="615"/>
    <cellStyle name="Output 4 10" xfId="755"/>
    <cellStyle name="Output 4 2" xfId="1156"/>
    <cellStyle name="Output 4 2 2" xfId="1258"/>
    <cellStyle name="Output 4 2 2 2" xfId="1486"/>
    <cellStyle name="Output 4 2 2 2 2" xfId="2156"/>
    <cellStyle name="Output 4 2 2 3" xfId="1664"/>
    <cellStyle name="Output 4 2 2 3 2" xfId="2333"/>
    <cellStyle name="Output 4 2 2 4" xfId="1853"/>
    <cellStyle name="Output 4 2 2 4 2" xfId="2522"/>
    <cellStyle name="Output 4 2 3" xfId="2697"/>
    <cellStyle name="Output 4 3" xfId="1205"/>
    <cellStyle name="Output 4 3 2" xfId="1438"/>
    <cellStyle name="Output 4 3 2 2" xfId="2109"/>
    <cellStyle name="Output 4 3 3" xfId="1618"/>
    <cellStyle name="Output 4 3 3 2" xfId="2287"/>
    <cellStyle name="Output 4 3 4" xfId="1807"/>
    <cellStyle name="Output 4 3 4 2" xfId="2476"/>
    <cellStyle name="Output 4 4" xfId="1098"/>
    <cellStyle name="Output 4 5" xfId="980"/>
    <cellStyle name="Output 4 5 2" xfId="1923"/>
    <cellStyle name="Output 4 6" xfId="1024"/>
    <cellStyle name="Output 4 6 2" xfId="1947"/>
    <cellStyle name="Output 4 7" xfId="1356"/>
    <cellStyle name="Output 4 7 2" xfId="2029"/>
    <cellStyle name="Output 4 8" xfId="962"/>
    <cellStyle name="Output 4 9" xfId="2635"/>
    <cellStyle name="Output 5" xfId="792"/>
    <cellStyle name="Output 5 2" xfId="1220"/>
    <cellStyle name="Output 5 2 2" xfId="1453"/>
    <cellStyle name="Output 5 2 2 2" xfId="2124"/>
    <cellStyle name="Output 5 2 3" xfId="1633"/>
    <cellStyle name="Output 5 2 3 2" xfId="2302"/>
    <cellStyle name="Output 5 2 4" xfId="1822"/>
    <cellStyle name="Output 5 2 4 2" xfId="2491"/>
    <cellStyle name="Output 5 3" xfId="1308"/>
    <cellStyle name="Output 5 3 2" xfId="1708"/>
    <cellStyle name="Output 5 3 2 2" xfId="2377"/>
    <cellStyle name="Output 5 3 3" xfId="1897"/>
    <cellStyle name="Output 5 3 3 2" xfId="2566"/>
    <cellStyle name="Output 5 4" xfId="1349"/>
    <cellStyle name="Output 5 4 2" xfId="2022"/>
    <cellStyle name="Output 5 5" xfId="1000"/>
    <cellStyle name="Output 5 5 2" xfId="1938"/>
    <cellStyle name="Output 5 6" xfId="1007"/>
    <cellStyle name="Output 5 6 2" xfId="1942"/>
    <cellStyle name="Output 5 7" xfId="1123"/>
    <cellStyle name="Output 5 8" xfId="2654"/>
    <cellStyle name="Output 6" xfId="1178"/>
    <cellStyle name="Output 6 2" xfId="1295"/>
    <cellStyle name="Output 6 2 2" xfId="1517"/>
    <cellStyle name="Output 6 2 2 2" xfId="2187"/>
    <cellStyle name="Output 6 2 3" xfId="1695"/>
    <cellStyle name="Output 6 2 3 2" xfId="2364"/>
    <cellStyle name="Output 6 2 4" xfId="1884"/>
    <cellStyle name="Output 6 2 4 2" xfId="2553"/>
    <cellStyle name="Output 6 3" xfId="1324"/>
    <cellStyle name="Output 6 3 2" xfId="1724"/>
    <cellStyle name="Output 6 3 2 2" xfId="2393"/>
    <cellStyle name="Output 6 3 3" xfId="1913"/>
    <cellStyle name="Output 6 3 3 2" xfId="2582"/>
    <cellStyle name="Output 6 4" xfId="1410"/>
    <cellStyle name="Output 6 4 2" xfId="2082"/>
    <cellStyle name="Output 6 5" xfId="1591"/>
    <cellStyle name="Output 6 5 2" xfId="2260"/>
    <cellStyle name="Output 6 6" xfId="1780"/>
    <cellStyle name="Output 6 6 2" xfId="2449"/>
    <cellStyle name="Output 6 7" xfId="2734"/>
    <cellStyle name="Output 7" xfId="992"/>
    <cellStyle name="Output 8" xfId="858"/>
    <cellStyle name="Output 9" xfId="2596"/>
    <cellStyle name="Output_בחירה מרשימה" xfId="616"/>
    <cellStyle name="Percent 2" xfId="25"/>
    <cellStyle name="Percent 2 2" xfId="26"/>
    <cellStyle name="Percent 2 2 2" xfId="144"/>
    <cellStyle name="Percent 2 2 3" xfId="881"/>
    <cellStyle name="Percent 2 3" xfId="182"/>
    <cellStyle name="Percent 2 3 2" xfId="247"/>
    <cellStyle name="Percent 3" xfId="167"/>
    <cellStyle name="Percent 3 2" xfId="188"/>
    <cellStyle name="Percent 3 3" xfId="185"/>
    <cellStyle name="Percent 4" xfId="149"/>
    <cellStyle name="Percent 4 2" xfId="238"/>
    <cellStyle name="Percent 4 2 2" xfId="248"/>
    <cellStyle name="Percent 4 3" xfId="239"/>
    <cellStyle name="Percent 4 3 2" xfId="2776"/>
    <cellStyle name="Percent 4 4" xfId="365"/>
    <cellStyle name="Percent 4 5" xfId="882"/>
    <cellStyle name="Percent 4 6" xfId="189"/>
    <cellStyle name="Percent 5" xfId="176"/>
    <cellStyle name="Percent 5 2" xfId="366"/>
    <cellStyle name="Percent 5 2 2" xfId="367"/>
    <cellStyle name="Percent 5 3" xfId="368"/>
    <cellStyle name="Percent 5 4" xfId="617"/>
    <cellStyle name="Percent 5 5" xfId="249"/>
    <cellStyle name="Percent 6" xfId="369"/>
    <cellStyle name="Percent 6 2" xfId="370"/>
    <cellStyle name="Percent 6 2 2" xfId="371"/>
    <cellStyle name="Percent 6 3" xfId="372"/>
    <cellStyle name="Percent 7" xfId="373"/>
    <cellStyle name="Percent 7 2" xfId="374"/>
    <cellStyle name="Percent 7 2 2" xfId="375"/>
    <cellStyle name="Percent 7 3" xfId="376"/>
    <cellStyle name="Percent 8" xfId="377"/>
    <cellStyle name="Percent 8 2" xfId="378"/>
    <cellStyle name="Percent 8 2 2" xfId="379"/>
    <cellStyle name="Percent 8 3" xfId="380"/>
    <cellStyle name="Percent 9" xfId="381"/>
    <cellStyle name="Percent 9 2" xfId="382"/>
    <cellStyle name="SAPBEXaggData" xfId="27"/>
    <cellStyle name="SAPBEXaggDataEmph" xfId="28"/>
    <cellStyle name="SAPBEXaggItem" xfId="29"/>
    <cellStyle name="SAPBEXaggItemX" xfId="30"/>
    <cellStyle name="SAPBEXchaText" xfId="31"/>
    <cellStyle name="SAPBEXexcBad7" xfId="32"/>
    <cellStyle name="SAPBEXexcBad8" xfId="33"/>
    <cellStyle name="SAPBEXexcBad9" xfId="34"/>
    <cellStyle name="SAPBEXexcCritical4" xfId="35"/>
    <cellStyle name="SAPBEXexcCritical5" xfId="36"/>
    <cellStyle name="SAPBEXexcCritical6" xfId="37"/>
    <cellStyle name="SAPBEXexcGood1" xfId="38"/>
    <cellStyle name="SAPBEXexcGood2" xfId="39"/>
    <cellStyle name="SAPBEXexcGood3" xfId="40"/>
    <cellStyle name="SAPBEXfilterDrill" xfId="41"/>
    <cellStyle name="SAPBEXfilterItem" xfId="42"/>
    <cellStyle name="SAPBEXfilterText" xfId="43"/>
    <cellStyle name="SAPBEXformats" xfId="44"/>
    <cellStyle name="SAPBEXheaderItem" xfId="45"/>
    <cellStyle name="SAPBEXheaderText" xfId="46"/>
    <cellStyle name="SAPBEXHLevel0" xfId="47"/>
    <cellStyle name="SAPBEXHLevel0X" xfId="48"/>
    <cellStyle name="SAPBEXHLevel1" xfId="49"/>
    <cellStyle name="SAPBEXHLevel1X" xfId="50"/>
    <cellStyle name="SAPBEXHLevel2" xfId="51"/>
    <cellStyle name="SAPBEXHLevel2X" xfId="52"/>
    <cellStyle name="SAPBEXHLevel3" xfId="53"/>
    <cellStyle name="SAPBEXHLevel3X" xfId="54"/>
    <cellStyle name="SAPBEXresData" xfId="55"/>
    <cellStyle name="SAPBEXresDataEmph" xfId="56"/>
    <cellStyle name="SAPBEXresItem" xfId="57"/>
    <cellStyle name="SAPBEXresItemX" xfId="58"/>
    <cellStyle name="SAPBEXstdData" xfId="59"/>
    <cellStyle name="SAPBEXstdDataEmph" xfId="60"/>
    <cellStyle name="SAPBEXstdItem" xfId="61"/>
    <cellStyle name="SAPBEXstdItemX" xfId="62"/>
    <cellStyle name="SAPBEXtitle" xfId="63"/>
    <cellStyle name="SAPBEXundefined" xfId="64"/>
    <cellStyle name="Title" xfId="240"/>
    <cellStyle name="Title 2" xfId="383"/>
    <cellStyle name="Title 3" xfId="618"/>
    <cellStyle name="Total" xfId="241"/>
    <cellStyle name="Total 2" xfId="384"/>
    <cellStyle name="Total 2 2" xfId="619"/>
    <cellStyle name="Total 2 2 2" xfId="620"/>
    <cellStyle name="Total 2 2 2 10" xfId="786"/>
    <cellStyle name="Total 2 2 2 2" xfId="938"/>
    <cellStyle name="Total 2 2 2 2 2" xfId="1306"/>
    <cellStyle name="Total 2 2 2 2 2 2" xfId="1528"/>
    <cellStyle name="Total 2 2 2 2 2 2 2" xfId="2198"/>
    <cellStyle name="Total 2 2 2 2 2 3" xfId="1706"/>
    <cellStyle name="Total 2 2 2 2 2 3 2" xfId="2375"/>
    <cellStyle name="Total 2 2 2 2 2 4" xfId="1895"/>
    <cellStyle name="Total 2 2 2 2 2 4 2" xfId="2564"/>
    <cellStyle name="Total 2 2 2 2 3" xfId="1420"/>
    <cellStyle name="Total 2 2 2 2 3 2" xfId="2092"/>
    <cellStyle name="Total 2 2 2 2 4" xfId="1600"/>
    <cellStyle name="Total 2 2 2 2 4 2" xfId="2269"/>
    <cellStyle name="Total 2 2 2 2 5" xfId="1789"/>
    <cellStyle name="Total 2 2 2 2 5 2" xfId="2458"/>
    <cellStyle name="Total 2 2 2 2 6" xfId="2745"/>
    <cellStyle name="Total 2 2 2 3" xfId="876"/>
    <cellStyle name="Total 2 2 2 3 2" xfId="1469"/>
    <cellStyle name="Total 2 2 2 3 2 2" xfId="2139"/>
    <cellStyle name="Total 2 2 2 3 3" xfId="1648"/>
    <cellStyle name="Total 2 2 2 3 3 2" xfId="2317"/>
    <cellStyle name="Total 2 2 2 3 4" xfId="1837"/>
    <cellStyle name="Total 2 2 2 3 4 2" xfId="2506"/>
    <cellStyle name="Total 2 2 2 3 5" xfId="1237"/>
    <cellStyle name="Total 2 2 2 4" xfId="1142"/>
    <cellStyle name="Total 2 2 2 5" xfId="1365"/>
    <cellStyle name="Total 2 2 2 5 2" xfId="2038"/>
    <cellStyle name="Total 2 2 2 6" xfId="1546"/>
    <cellStyle name="Total 2 2 2 6 2" xfId="2216"/>
    <cellStyle name="Total 2 2 2 7" xfId="1736"/>
    <cellStyle name="Total 2 2 2 7 2" xfId="2405"/>
    <cellStyle name="Total 2 2 2 8" xfId="965"/>
    <cellStyle name="Total 2 2 2 9" xfId="2676"/>
    <cellStyle name="Total 2 2 3" xfId="937"/>
    <cellStyle name="Total 2 2 3 2" xfId="1276"/>
    <cellStyle name="Total 2 2 3 2 2" xfId="1498"/>
    <cellStyle name="Total 2 2 3 2 2 2" xfId="2168"/>
    <cellStyle name="Total 2 2 3 2 3" xfId="1676"/>
    <cellStyle name="Total 2 2 3 2 3 2" xfId="2345"/>
    <cellStyle name="Total 2 2 3 2 4" xfId="1865"/>
    <cellStyle name="Total 2 2 3 2 4 2" xfId="2534"/>
    <cellStyle name="Total 2 2 3 3" xfId="1393"/>
    <cellStyle name="Total 2 2 3 3 2" xfId="2065"/>
    <cellStyle name="Total 2 2 3 4" xfId="1574"/>
    <cellStyle name="Total 2 2 3 4 2" xfId="2243"/>
    <cellStyle name="Total 2 2 3 5" xfId="1763"/>
    <cellStyle name="Total 2 2 3 5 2" xfId="2432"/>
    <cellStyle name="Total 2 2 3 6" xfId="2715"/>
    <cellStyle name="Total 2 2 4" xfId="831"/>
    <cellStyle name="Total 2 2 4 2" xfId="1239"/>
    <cellStyle name="Total 2 2 4 2 2" xfId="1471"/>
    <cellStyle name="Total 2 2 4 2 2 2" xfId="2141"/>
    <cellStyle name="Total 2 2 4 2 3" xfId="1650"/>
    <cellStyle name="Total 2 2 4 2 3 2" xfId="2319"/>
    <cellStyle name="Total 2 2 4 2 4" xfId="1839"/>
    <cellStyle name="Total 2 2 4 2 4 2" xfId="2508"/>
    <cellStyle name="Total 2 2 4 3" xfId="1367"/>
    <cellStyle name="Total 2 2 4 3 2" xfId="2040"/>
    <cellStyle name="Total 2 2 4 4" xfId="1548"/>
    <cellStyle name="Total 2 2 4 4 2" xfId="2218"/>
    <cellStyle name="Total 2 2 4 5" xfId="1738"/>
    <cellStyle name="Total 2 2 4 5 2" xfId="2407"/>
    <cellStyle name="Total 2 2 4 6" xfId="1144"/>
    <cellStyle name="Total 2 2 4 7" xfId="2678"/>
    <cellStyle name="Total 2 2 5" xfId="1068"/>
    <cellStyle name="Total 2 2 6" xfId="964"/>
    <cellStyle name="Total 2 2 7" xfId="2627"/>
    <cellStyle name="Total 2 2 8" xfId="749"/>
    <cellStyle name="Total 2 3" xfId="621"/>
    <cellStyle name="Total 2 3 10" xfId="766"/>
    <cellStyle name="Total 2 3 2" xfId="939"/>
    <cellStyle name="Total 2 3 2 2" xfId="1256"/>
    <cellStyle name="Total 2 3 2 2 2" xfId="1484"/>
    <cellStyle name="Total 2 3 2 2 2 2" xfId="2154"/>
    <cellStyle name="Total 2 3 2 2 3" xfId="1662"/>
    <cellStyle name="Total 2 3 2 2 3 2" xfId="2331"/>
    <cellStyle name="Total 2 3 2 2 4" xfId="1851"/>
    <cellStyle name="Total 2 3 2 2 4 2" xfId="2520"/>
    <cellStyle name="Total 2 3 2 3" xfId="1379"/>
    <cellStyle name="Total 2 3 2 3 2" xfId="2052"/>
    <cellStyle name="Total 2 3 2 4" xfId="1560"/>
    <cellStyle name="Total 2 3 2 4 2" xfId="2230"/>
    <cellStyle name="Total 2 3 2 5" xfId="1750"/>
    <cellStyle name="Total 2 3 2 5 2" xfId="2419"/>
    <cellStyle name="Total 2 3 2 6" xfId="2695"/>
    <cellStyle name="Total 2 3 3" xfId="855"/>
    <cellStyle name="Total 2 3 3 2" xfId="1448"/>
    <cellStyle name="Total 2 3 3 2 2" xfId="2119"/>
    <cellStyle name="Total 2 3 3 3" xfId="1628"/>
    <cellStyle name="Total 2 3 3 3 2" xfId="2297"/>
    <cellStyle name="Total 2 3 3 4" xfId="1817"/>
    <cellStyle name="Total 2 3 3 4 2" xfId="2486"/>
    <cellStyle name="Total 2 3 3 5" xfId="1215"/>
    <cellStyle name="Total 2 3 4" xfId="1116"/>
    <cellStyle name="Total 2 3 5" xfId="1342"/>
    <cellStyle name="Total 2 3 5 2" xfId="2015"/>
    <cellStyle name="Total 2 3 6" xfId="1025"/>
    <cellStyle name="Total 2 3 6 2" xfId="1948"/>
    <cellStyle name="Total 2 3 7" xfId="1049"/>
    <cellStyle name="Total 2 3 7 2" xfId="1966"/>
    <cellStyle name="Total 2 3 8" xfId="966"/>
    <cellStyle name="Total 2 3 9" xfId="2647"/>
    <cellStyle name="Total 2 4" xfId="936"/>
    <cellStyle name="Total 2 4 2" xfId="1249"/>
    <cellStyle name="Total 2 4 2 2" xfId="1480"/>
    <cellStyle name="Total 2 4 2 2 2" xfId="2150"/>
    <cellStyle name="Total 2 4 2 3" xfId="1658"/>
    <cellStyle name="Total 2 4 2 3 2" xfId="2327"/>
    <cellStyle name="Total 2 4 2 4" xfId="1847"/>
    <cellStyle name="Total 2 4 2 4 2" xfId="2516"/>
    <cellStyle name="Total 2 4 3" xfId="1375"/>
    <cellStyle name="Total 2 4 3 2" xfId="2048"/>
    <cellStyle name="Total 2 4 4" xfId="1556"/>
    <cellStyle name="Total 2 4 4 2" xfId="2226"/>
    <cellStyle name="Total 2 4 5" xfId="1746"/>
    <cellStyle name="Total 2 4 5 2" xfId="2415"/>
    <cellStyle name="Total 2 4 6" xfId="2688"/>
    <cellStyle name="Total 2 5" xfId="803"/>
    <cellStyle name="Total 2 5 2" xfId="1280"/>
    <cellStyle name="Total 2 5 2 2" xfId="1502"/>
    <cellStyle name="Total 2 5 2 2 2" xfId="2172"/>
    <cellStyle name="Total 2 5 2 3" xfId="1680"/>
    <cellStyle name="Total 2 5 2 3 2" xfId="2349"/>
    <cellStyle name="Total 2 5 2 4" xfId="1869"/>
    <cellStyle name="Total 2 5 2 4 2" xfId="2538"/>
    <cellStyle name="Total 2 5 3" xfId="1397"/>
    <cellStyle name="Total 2 5 3 2" xfId="2069"/>
    <cellStyle name="Total 2 5 4" xfId="1578"/>
    <cellStyle name="Total 2 5 4 2" xfId="2247"/>
    <cellStyle name="Total 2 5 5" xfId="1767"/>
    <cellStyle name="Total 2 5 5 2" xfId="2436"/>
    <cellStyle name="Total 2 5 6" xfId="1164"/>
    <cellStyle name="Total 2 5 7" xfId="2719"/>
    <cellStyle name="Total 2 6" xfId="1018"/>
    <cellStyle name="Total 2 7" xfId="963"/>
    <cellStyle name="Total 2 8" xfId="2607"/>
    <cellStyle name="Total 2 9" xfId="730"/>
    <cellStyle name="Total 2_בחירה מרשימה" xfId="622"/>
    <cellStyle name="Total 3" xfId="385"/>
    <cellStyle name="Total 3 2" xfId="623"/>
    <cellStyle name="Total 3 2 2" xfId="624"/>
    <cellStyle name="Total 3 2 2 10" xfId="787"/>
    <cellStyle name="Total 3 2 2 2" xfId="942"/>
    <cellStyle name="Total 3 2 2 2 2" xfId="1307"/>
    <cellStyle name="Total 3 2 2 2 2 2" xfId="1529"/>
    <cellStyle name="Total 3 2 2 2 2 2 2" xfId="2199"/>
    <cellStyle name="Total 3 2 2 2 2 3" xfId="1707"/>
    <cellStyle name="Total 3 2 2 2 2 3 2" xfId="2376"/>
    <cellStyle name="Total 3 2 2 2 2 4" xfId="1896"/>
    <cellStyle name="Total 3 2 2 2 2 4 2" xfId="2565"/>
    <cellStyle name="Total 3 2 2 2 3" xfId="1421"/>
    <cellStyle name="Total 3 2 2 2 3 2" xfId="2093"/>
    <cellStyle name="Total 3 2 2 2 4" xfId="1601"/>
    <cellStyle name="Total 3 2 2 2 4 2" xfId="2270"/>
    <cellStyle name="Total 3 2 2 2 5" xfId="1790"/>
    <cellStyle name="Total 3 2 2 2 5 2" xfId="2459"/>
    <cellStyle name="Total 3 2 2 2 6" xfId="2746"/>
    <cellStyle name="Total 3 2 2 3" xfId="877"/>
    <cellStyle name="Total 3 2 2 3 2" xfId="1470"/>
    <cellStyle name="Total 3 2 2 3 2 2" xfId="2140"/>
    <cellStyle name="Total 3 2 2 3 3" xfId="1649"/>
    <cellStyle name="Total 3 2 2 3 3 2" xfId="2318"/>
    <cellStyle name="Total 3 2 2 3 4" xfId="1838"/>
    <cellStyle name="Total 3 2 2 3 4 2" xfId="2507"/>
    <cellStyle name="Total 3 2 2 3 5" xfId="1238"/>
    <cellStyle name="Total 3 2 2 4" xfId="1143"/>
    <cellStyle name="Total 3 2 2 5" xfId="1366"/>
    <cellStyle name="Total 3 2 2 5 2" xfId="2039"/>
    <cellStyle name="Total 3 2 2 6" xfId="1547"/>
    <cellStyle name="Total 3 2 2 6 2" xfId="2217"/>
    <cellStyle name="Total 3 2 2 7" xfId="1737"/>
    <cellStyle name="Total 3 2 2 7 2" xfId="2406"/>
    <cellStyle name="Total 3 2 2 8" xfId="969"/>
    <cellStyle name="Total 3 2 2 9" xfId="2677"/>
    <cellStyle name="Total 3 2 3" xfId="941"/>
    <cellStyle name="Total 3 2 3 2" xfId="1277"/>
    <cellStyle name="Total 3 2 3 2 2" xfId="1499"/>
    <cellStyle name="Total 3 2 3 2 2 2" xfId="2169"/>
    <cellStyle name="Total 3 2 3 2 3" xfId="1677"/>
    <cellStyle name="Total 3 2 3 2 3 2" xfId="2346"/>
    <cellStyle name="Total 3 2 3 2 4" xfId="1866"/>
    <cellStyle name="Total 3 2 3 2 4 2" xfId="2535"/>
    <cellStyle name="Total 3 2 3 3" xfId="1394"/>
    <cellStyle name="Total 3 2 3 3 2" xfId="2066"/>
    <cellStyle name="Total 3 2 3 4" xfId="1575"/>
    <cellStyle name="Total 3 2 3 4 2" xfId="2244"/>
    <cellStyle name="Total 3 2 3 5" xfId="1764"/>
    <cellStyle name="Total 3 2 3 5 2" xfId="2433"/>
    <cellStyle name="Total 3 2 3 6" xfId="2716"/>
    <cellStyle name="Total 3 2 4" xfId="832"/>
    <cellStyle name="Total 3 2 4 2" xfId="1226"/>
    <cellStyle name="Total 3 2 4 2 2" xfId="1458"/>
    <cellStyle name="Total 3 2 4 2 2 2" xfId="2129"/>
    <cellStyle name="Total 3 2 4 2 3" xfId="1638"/>
    <cellStyle name="Total 3 2 4 2 3 2" xfId="2307"/>
    <cellStyle name="Total 3 2 4 2 4" xfId="1827"/>
    <cellStyle name="Total 3 2 4 2 4 2" xfId="2496"/>
    <cellStyle name="Total 3 2 4 3" xfId="1354"/>
    <cellStyle name="Total 3 2 4 3 2" xfId="2027"/>
    <cellStyle name="Total 3 2 4 4" xfId="1050"/>
    <cellStyle name="Total 3 2 4 4 2" xfId="1967"/>
    <cellStyle name="Total 3 2 4 5" xfId="1072"/>
    <cellStyle name="Total 3 2 4 5 2" xfId="1976"/>
    <cellStyle name="Total 3 2 4 6" xfId="1129"/>
    <cellStyle name="Total 3 2 4 7" xfId="2660"/>
    <cellStyle name="Total 3 2 5" xfId="1069"/>
    <cellStyle name="Total 3 2 6" xfId="968"/>
    <cellStyle name="Total 3 2 7" xfId="2628"/>
    <cellStyle name="Total 3 2 8" xfId="750"/>
    <cellStyle name="Total 3 3" xfId="625"/>
    <cellStyle name="Total 3 3 10" xfId="770"/>
    <cellStyle name="Total 3 3 2" xfId="943"/>
    <cellStyle name="Total 3 3 2 2" xfId="1296"/>
    <cellStyle name="Total 3 3 2 2 2" xfId="1518"/>
    <cellStyle name="Total 3 3 2 2 2 2" xfId="2188"/>
    <cellStyle name="Total 3 3 2 2 3" xfId="1696"/>
    <cellStyle name="Total 3 3 2 2 3 2" xfId="2365"/>
    <cellStyle name="Total 3 3 2 2 4" xfId="1885"/>
    <cellStyle name="Total 3 3 2 2 4 2" xfId="2554"/>
    <cellStyle name="Total 3 3 2 3" xfId="1411"/>
    <cellStyle name="Total 3 3 2 3 2" xfId="2083"/>
    <cellStyle name="Total 3 3 2 4" xfId="1592"/>
    <cellStyle name="Total 3 3 2 4 2" xfId="2261"/>
    <cellStyle name="Total 3 3 2 5" xfId="1781"/>
    <cellStyle name="Total 3 3 2 5 2" xfId="2450"/>
    <cellStyle name="Total 3 3 2 6" xfId="2735"/>
    <cellStyle name="Total 3 3 3" xfId="862"/>
    <cellStyle name="Total 3 3 3 2" xfId="1450"/>
    <cellStyle name="Total 3 3 3 2 2" xfId="2121"/>
    <cellStyle name="Total 3 3 3 3" xfId="1630"/>
    <cellStyle name="Total 3 3 3 3 2" xfId="2299"/>
    <cellStyle name="Total 3 3 3 4" xfId="1819"/>
    <cellStyle name="Total 3 3 3 4 2" xfId="2488"/>
    <cellStyle name="Total 3 3 3 5" xfId="1217"/>
    <cellStyle name="Total 3 3 4" xfId="1120"/>
    <cellStyle name="Total 3 3 5" xfId="1346"/>
    <cellStyle name="Total 3 3 5 2" xfId="2019"/>
    <cellStyle name="Total 3 3 6" xfId="1020"/>
    <cellStyle name="Total 3 3 6 2" xfId="1944"/>
    <cellStyle name="Total 3 3 7" xfId="1077"/>
    <cellStyle name="Total 3 3 7 2" xfId="1981"/>
    <cellStyle name="Total 3 3 8" xfId="970"/>
    <cellStyle name="Total 3 3 9" xfId="2651"/>
    <cellStyle name="Total 3 4" xfId="940"/>
    <cellStyle name="Total 3 4 2" xfId="1254"/>
    <cellStyle name="Total 3 4 2 2" xfId="1482"/>
    <cellStyle name="Total 3 4 2 2 2" xfId="2152"/>
    <cellStyle name="Total 3 4 2 3" xfId="1660"/>
    <cellStyle name="Total 3 4 2 3 2" xfId="2329"/>
    <cellStyle name="Total 3 4 2 4" xfId="1849"/>
    <cellStyle name="Total 3 4 2 4 2" xfId="2518"/>
    <cellStyle name="Total 3 4 3" xfId="1377"/>
    <cellStyle name="Total 3 4 3 2" xfId="2050"/>
    <cellStyle name="Total 3 4 4" xfId="1558"/>
    <cellStyle name="Total 3 4 4 2" xfId="2228"/>
    <cellStyle name="Total 3 4 5" xfId="1748"/>
    <cellStyle name="Total 3 4 5 2" xfId="2417"/>
    <cellStyle name="Total 3 4 6" xfId="2693"/>
    <cellStyle name="Total 3 5" xfId="813"/>
    <cellStyle name="Total 3 5 2" xfId="1294"/>
    <cellStyle name="Total 3 5 2 2" xfId="1516"/>
    <cellStyle name="Total 3 5 2 2 2" xfId="2186"/>
    <cellStyle name="Total 3 5 2 3" xfId="1694"/>
    <cellStyle name="Total 3 5 2 3 2" xfId="2363"/>
    <cellStyle name="Total 3 5 2 4" xfId="1883"/>
    <cellStyle name="Total 3 5 2 4 2" xfId="2552"/>
    <cellStyle name="Total 3 5 3" xfId="1409"/>
    <cellStyle name="Total 3 5 3 2" xfId="2081"/>
    <cellStyle name="Total 3 5 4" xfId="1590"/>
    <cellStyle name="Total 3 5 4 2" xfId="2259"/>
    <cellStyle name="Total 3 5 5" xfId="1779"/>
    <cellStyle name="Total 3 5 5 2" xfId="2448"/>
    <cellStyle name="Total 3 5 6" xfId="1177"/>
    <cellStyle name="Total 3 5 7" xfId="2733"/>
    <cellStyle name="Total 3 6" xfId="1033"/>
    <cellStyle name="Total 3 7" xfId="967"/>
    <cellStyle name="Total 3 8" xfId="2611"/>
    <cellStyle name="Total 3 9" xfId="734"/>
    <cellStyle name="Total 3_בחירה מרשימה" xfId="626"/>
    <cellStyle name="Total 4" xfId="627"/>
    <cellStyle name="Total 4 10" xfId="756"/>
    <cellStyle name="Total 4 2" xfId="944"/>
    <cellStyle name="Total 4 2 2" xfId="1286"/>
    <cellStyle name="Total 4 2 2 2" xfId="1508"/>
    <cellStyle name="Total 4 2 2 2 2" xfId="2178"/>
    <cellStyle name="Total 4 2 2 3" xfId="1686"/>
    <cellStyle name="Total 4 2 2 3 2" xfId="2355"/>
    <cellStyle name="Total 4 2 2 4" xfId="1875"/>
    <cellStyle name="Total 4 2 2 4 2" xfId="2544"/>
    <cellStyle name="Total 4 2 3" xfId="1401"/>
    <cellStyle name="Total 4 2 3 2" xfId="2073"/>
    <cellStyle name="Total 4 2 4" xfId="1582"/>
    <cellStyle name="Total 4 2 4 2" xfId="2251"/>
    <cellStyle name="Total 4 2 5" xfId="1771"/>
    <cellStyle name="Total 4 2 5 2" xfId="2440"/>
    <cellStyle name="Total 4 2 6" xfId="2725"/>
    <cellStyle name="Total 4 3" xfId="843"/>
    <cellStyle name="Total 4 3 2" xfId="1439"/>
    <cellStyle name="Total 4 3 2 2" xfId="2110"/>
    <cellStyle name="Total 4 3 3" xfId="1619"/>
    <cellStyle name="Total 4 3 3 2" xfId="2288"/>
    <cellStyle name="Total 4 3 4" xfId="1808"/>
    <cellStyle name="Total 4 3 4 2" xfId="2477"/>
    <cellStyle name="Total 4 3 5" xfId="1206"/>
    <cellStyle name="Total 4 4" xfId="1099"/>
    <cellStyle name="Total 4 5" xfId="1035"/>
    <cellStyle name="Total 4 5 2" xfId="1954"/>
    <cellStyle name="Total 4 6" xfId="981"/>
    <cellStyle name="Total 4 6 2" xfId="1924"/>
    <cellStyle name="Total 4 7" xfId="1535"/>
    <cellStyle name="Total 4 7 2" xfId="2205"/>
    <cellStyle name="Total 4 8" xfId="971"/>
    <cellStyle name="Total 4 9" xfId="2636"/>
    <cellStyle name="Total 5" xfId="793"/>
    <cellStyle name="Total 5 2" xfId="1219"/>
    <cellStyle name="Total 5 2 2" xfId="1452"/>
    <cellStyle name="Total 5 2 2 2" xfId="2123"/>
    <cellStyle name="Total 5 2 3" xfId="1632"/>
    <cellStyle name="Total 5 2 3 2" xfId="2301"/>
    <cellStyle name="Total 5 2 4" xfId="1821"/>
    <cellStyle name="Total 5 2 4 2" xfId="2490"/>
    <cellStyle name="Total 5 3" xfId="1348"/>
    <cellStyle name="Total 5 3 2" xfId="2021"/>
    <cellStyle name="Total 5 4" xfId="1117"/>
    <cellStyle name="Total 5 4 2" xfId="2001"/>
    <cellStyle name="Total 5 5" xfId="1074"/>
    <cellStyle name="Total 5 5 2" xfId="1978"/>
    <cellStyle name="Total 5 6" xfId="1122"/>
    <cellStyle name="Total 5 7" xfId="2653"/>
    <cellStyle name="Total 6" xfId="1176"/>
    <cellStyle name="Total 6 2" xfId="1293"/>
    <cellStyle name="Total 6 2 2" xfId="1515"/>
    <cellStyle name="Total 6 2 2 2" xfId="2185"/>
    <cellStyle name="Total 6 2 3" xfId="1693"/>
    <cellStyle name="Total 6 2 3 2" xfId="2362"/>
    <cellStyle name="Total 6 2 4" xfId="1882"/>
    <cellStyle name="Total 6 2 4 2" xfId="2551"/>
    <cellStyle name="Total 6 3" xfId="1408"/>
    <cellStyle name="Total 6 3 2" xfId="2080"/>
    <cellStyle name="Total 6 4" xfId="1589"/>
    <cellStyle name="Total 6 4 2" xfId="2258"/>
    <cellStyle name="Total 6 5" xfId="1778"/>
    <cellStyle name="Total 6 5 2" xfId="2447"/>
    <cellStyle name="Total 6 6" xfId="2732"/>
    <cellStyle name="Total 7" xfId="995"/>
    <cellStyle name="Total 8" xfId="2597"/>
    <cellStyle name="Total 9" xfId="724"/>
    <cellStyle name="Total_בחירה מרשימה" xfId="628"/>
    <cellStyle name="Warning Text" xfId="242"/>
    <cellStyle name="Warning Text 2" xfId="386"/>
    <cellStyle name="Warning Text 2 2" xfId="629"/>
    <cellStyle name="Warning Text 2 2 2" xfId="630"/>
    <cellStyle name="Warning Text 3" xfId="631"/>
    <cellStyle name="הדגשה1" xfId="106" builtinId="29" customBuiltin="1"/>
    <cellStyle name="הדגשה2" xfId="110" builtinId="33" customBuiltin="1"/>
    <cellStyle name="הדגשה3" xfId="114" builtinId="37" customBuiltin="1"/>
    <cellStyle name="הדגשה4" xfId="118" builtinId="41" customBuiltin="1"/>
    <cellStyle name="הדגשה5" xfId="122" builtinId="45" customBuiltin="1"/>
    <cellStyle name="הדגשה6" xfId="126" builtinId="49" customBuiltin="1"/>
    <cellStyle name="היפר-קישור 2" xfId="65"/>
    <cellStyle name="הערה 2" xfId="147"/>
    <cellStyle name="חישוב" xfId="100" builtinId="22" customBuiltin="1"/>
    <cellStyle name="טוב" xfId="95" builtinId="26" customBuiltin="1"/>
    <cellStyle name="טקסט אזהרה" xfId="103" builtinId="11" customBuiltin="1"/>
    <cellStyle name="טקסט הסברי" xfId="104" builtinId="53" customBuiltin="1"/>
    <cellStyle name="כותרת" xfId="90" builtinId="15" customBuiltin="1"/>
    <cellStyle name="כותרת 1" xfId="91" builtinId="16" customBuiltin="1"/>
    <cellStyle name="כותרת 2" xfId="92" builtinId="17" customBuiltin="1"/>
    <cellStyle name="כותרת 3" xfId="93" builtinId="18" customBuiltin="1"/>
    <cellStyle name="כותרת 4" xfId="94" builtinId="19" customBuiltin="1"/>
    <cellStyle name="ניטראלי" xfId="97" builtinId="28" customBuiltin="1"/>
    <cellStyle name="סה&quot;כ" xfId="105" builtinId="25" customBuiltin="1"/>
    <cellStyle name="פלט" xfId="99" builtinId="21" customBuiltin="1"/>
    <cellStyle name="קלט" xfId="98" builtinId="20" customBuiltin="1"/>
    <cellStyle name="רע" xfId="96" builtinId="27" customBuiltin="1"/>
    <cellStyle name="תא מסומן" xfId="102" builtinId="23" customBuiltin="1"/>
    <cellStyle name="תא מקושר" xfId="101" builtinId="24" customBuiltin="1"/>
  </cellStyles>
  <dxfs count="1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</font>
      <fill>
        <patternFill>
          <bgColor theme="7" tint="0.59996337778862885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סגנון PivotTable 1" table="0" count="6">
      <tableStyleElement type="wholeTable" dxfId="18"/>
      <tableStyleElement type="headerRow" dxfId="17"/>
      <tableStyleElement type="totalRow" dxfId="16"/>
      <tableStyleElement type="firstRowSubheading" dxfId="15"/>
      <tableStyleElement type="secondRowSubheading" dxfId="14"/>
      <tableStyleElement type="thirdRowSubheading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2"/>
  <sheetViews>
    <sheetView rightToLeft="1" zoomScale="90" zoomScaleNormal="90" workbookViewId="0">
      <pane xSplit="2" ySplit="2" topLeftCell="D3" activePane="bottomRight" state="frozen"/>
      <selection activeCell="S19" sqref="S19"/>
      <selection pane="topRight" activeCell="S19" sqref="S19"/>
      <selection pane="bottomLeft" activeCell="S19" sqref="S19"/>
      <selection pane="bottomRight" activeCell="M1" sqref="M1:N1048576"/>
    </sheetView>
  </sheetViews>
  <sheetFormatPr defaultColWidth="1.85546875" defaultRowHeight="12.75" x14ac:dyDescent="0.2"/>
  <cols>
    <col min="1" max="1" width="13.42578125" style="195" customWidth="1"/>
    <col min="2" max="2" width="30.7109375" style="242" customWidth="1"/>
    <col min="3" max="3" width="15.42578125" style="195" hidden="1" customWidth="1"/>
    <col min="4" max="5" width="0.28515625" style="197" customWidth="1"/>
    <col min="6" max="6" width="17.7109375" style="880" customWidth="1"/>
    <col min="7" max="7" width="0.28515625" style="197" customWidth="1"/>
    <col min="8" max="8" width="17.5703125" style="880" customWidth="1"/>
    <col min="9" max="9" width="0.28515625" style="197" customWidth="1"/>
    <col min="10" max="10" width="17.5703125" style="880" customWidth="1"/>
    <col min="11" max="11" width="0.28515625" style="197" customWidth="1"/>
    <col min="12" max="12" width="17.5703125" style="880" customWidth="1"/>
    <col min="13" max="14" width="11.28515625" style="195" hidden="1" customWidth="1"/>
    <col min="15" max="16384" width="1.85546875" style="195"/>
  </cols>
  <sheetData>
    <row r="1" spans="1:14" s="240" customFormat="1" ht="23.25" customHeight="1" x14ac:dyDescent="0.35">
      <c r="B1" s="874"/>
      <c r="C1" s="931"/>
      <c r="D1" s="397"/>
      <c r="E1" s="397"/>
      <c r="F1" s="895">
        <v>2016</v>
      </c>
      <c r="G1" s="397"/>
      <c r="H1" s="915">
        <v>2017</v>
      </c>
      <c r="I1" s="397"/>
      <c r="J1" s="931">
        <v>2018</v>
      </c>
      <c r="K1" s="397"/>
      <c r="L1" s="1004">
        <v>2019</v>
      </c>
      <c r="M1" s="875"/>
      <c r="N1" s="875"/>
    </row>
    <row r="2" spans="1:14" s="163" customFormat="1" ht="52.5" customHeight="1" x14ac:dyDescent="0.2">
      <c r="A2" s="162" t="s">
        <v>272</v>
      </c>
      <c r="B2" s="162" t="s">
        <v>1</v>
      </c>
      <c r="C2" s="162" t="s">
        <v>4</v>
      </c>
      <c r="D2" s="876"/>
      <c r="E2" s="876"/>
      <c r="F2" s="162" t="s">
        <v>341</v>
      </c>
      <c r="G2" s="876"/>
      <c r="H2" s="162" t="s">
        <v>341</v>
      </c>
      <c r="I2" s="876"/>
      <c r="J2" s="162" t="s">
        <v>341</v>
      </c>
      <c r="K2" s="876"/>
      <c r="L2" s="162" t="s">
        <v>341</v>
      </c>
      <c r="M2" s="162" t="s">
        <v>340</v>
      </c>
      <c r="N2" s="162" t="s">
        <v>6</v>
      </c>
    </row>
    <row r="3" spans="1:14" s="163" customFormat="1" ht="29.25" customHeight="1" x14ac:dyDescent="0.2">
      <c r="A3" s="1066" t="s">
        <v>3056</v>
      </c>
      <c r="B3" s="1067"/>
      <c r="C3" s="162"/>
      <c r="D3" s="876"/>
      <c r="E3" s="876"/>
      <c r="F3" s="162"/>
      <c r="G3" s="876"/>
      <c r="H3" s="162">
        <f>H4+H37</f>
        <v>18596802</v>
      </c>
      <c r="I3" s="876"/>
      <c r="J3" s="162">
        <f>J4+J37</f>
        <v>21137441</v>
      </c>
      <c r="K3" s="876"/>
      <c r="L3" s="162">
        <f>L4+L37</f>
        <v>21063576</v>
      </c>
      <c r="M3" s="162"/>
      <c r="N3" s="162"/>
    </row>
    <row r="4" spans="1:14" s="207" customFormat="1" ht="28.5" customHeight="1" x14ac:dyDescent="0.2">
      <c r="A4" s="204" t="s">
        <v>8</v>
      </c>
      <c r="B4" s="204" t="s">
        <v>3055</v>
      </c>
      <c r="C4" s="204"/>
      <c r="D4" s="876"/>
      <c r="E4" s="876"/>
      <c r="F4" s="877">
        <f>SUM(F5:F46)</f>
        <v>15990000</v>
      </c>
      <c r="G4" s="876"/>
      <c r="H4" s="877">
        <f>SUM(H5:H35)</f>
        <v>5444999</v>
      </c>
      <c r="I4" s="876"/>
      <c r="J4" s="877">
        <f>SUM(J5:J35)</f>
        <v>6224442</v>
      </c>
      <c r="K4" s="876"/>
      <c r="L4" s="877">
        <f>SUM(L5:L35)</f>
        <v>6906361</v>
      </c>
      <c r="M4" s="204"/>
      <c r="N4" s="204"/>
    </row>
    <row r="5" spans="1:14" ht="25.5" x14ac:dyDescent="0.2">
      <c r="A5" s="878" t="s">
        <v>335</v>
      </c>
      <c r="B5" s="879" t="s">
        <v>334</v>
      </c>
      <c r="C5" s="164"/>
      <c r="D5" s="876"/>
      <c r="E5" s="876"/>
      <c r="F5" s="47">
        <v>2214186</v>
      </c>
      <c r="G5" s="876"/>
      <c r="H5" s="47">
        <v>1798363</v>
      </c>
      <c r="I5" s="876"/>
      <c r="J5" s="941">
        <v>1676729</v>
      </c>
      <c r="K5" s="876"/>
      <c r="L5" s="1005">
        <v>1665234</v>
      </c>
      <c r="M5" s="164" t="s">
        <v>53</v>
      </c>
      <c r="N5" s="164" t="s">
        <v>53</v>
      </c>
    </row>
    <row r="6" spans="1:14" s="231" customFormat="1" ht="31.5" customHeight="1" x14ac:dyDescent="0.2">
      <c r="A6" s="878">
        <v>580046860</v>
      </c>
      <c r="B6" s="879" t="s">
        <v>320</v>
      </c>
      <c r="C6" s="164"/>
      <c r="D6" s="876"/>
      <c r="E6" s="876"/>
      <c r="F6" s="47">
        <v>210000</v>
      </c>
      <c r="G6" s="876"/>
      <c r="H6" s="47">
        <v>229891</v>
      </c>
      <c r="I6" s="876"/>
      <c r="J6" s="941">
        <f>210000+140000</f>
        <v>350000</v>
      </c>
      <c r="K6" s="876"/>
      <c r="L6" s="1005">
        <f>350000</f>
        <v>350000</v>
      </c>
      <c r="M6" s="164" t="s">
        <v>53</v>
      </c>
      <c r="N6" s="164" t="s">
        <v>53</v>
      </c>
    </row>
    <row r="7" spans="1:14" ht="22.5" customHeight="1" x14ac:dyDescent="0.2">
      <c r="A7" s="878">
        <v>580210839</v>
      </c>
      <c r="B7" s="879" t="s">
        <v>319</v>
      </c>
      <c r="C7" s="332"/>
      <c r="D7" s="876"/>
      <c r="E7" s="876"/>
      <c r="F7" s="47">
        <v>213041</v>
      </c>
      <c r="G7" s="876"/>
      <c r="H7" s="47">
        <v>240000</v>
      </c>
      <c r="I7" s="876"/>
      <c r="J7" s="941">
        <v>419441</v>
      </c>
      <c r="K7" s="876"/>
      <c r="L7" s="1005"/>
      <c r="M7" s="164" t="s">
        <v>53</v>
      </c>
      <c r="N7" s="164" t="s">
        <v>53</v>
      </c>
    </row>
    <row r="8" spans="1:14" ht="27.75" customHeight="1" x14ac:dyDescent="0.2">
      <c r="A8" s="878">
        <v>580004729</v>
      </c>
      <c r="B8" s="879" t="s">
        <v>318</v>
      </c>
      <c r="C8" s="164"/>
      <c r="D8" s="876"/>
      <c r="E8" s="876"/>
      <c r="F8" s="47">
        <v>399649</v>
      </c>
      <c r="G8" s="876"/>
      <c r="H8" s="47">
        <v>450000</v>
      </c>
      <c r="I8" s="876"/>
      <c r="J8" s="941">
        <v>500000</v>
      </c>
      <c r="K8" s="876"/>
      <c r="L8" s="941">
        <v>180000</v>
      </c>
      <c r="M8" s="164" t="s">
        <v>53</v>
      </c>
      <c r="N8" s="164" t="s">
        <v>53</v>
      </c>
    </row>
    <row r="9" spans="1:14" ht="39" customHeight="1" x14ac:dyDescent="0.2">
      <c r="A9" s="878">
        <v>580021228</v>
      </c>
      <c r="B9" s="879" t="s">
        <v>314</v>
      </c>
      <c r="C9" s="164"/>
      <c r="D9" s="876"/>
      <c r="E9" s="876"/>
      <c r="F9" s="47">
        <v>80832</v>
      </c>
      <c r="G9" s="876"/>
      <c r="H9" s="47">
        <v>69651</v>
      </c>
      <c r="I9" s="876"/>
      <c r="J9" s="47">
        <v>100783</v>
      </c>
      <c r="K9" s="876"/>
      <c r="L9" s="1005">
        <v>117999</v>
      </c>
      <c r="M9" s="164" t="s">
        <v>73</v>
      </c>
      <c r="N9" s="164" t="s">
        <v>136</v>
      </c>
    </row>
    <row r="10" spans="1:14" ht="22.5" customHeight="1" x14ac:dyDescent="0.2">
      <c r="A10" s="224" t="s">
        <v>313</v>
      </c>
      <c r="B10" s="879" t="s">
        <v>312</v>
      </c>
      <c r="C10" s="164"/>
      <c r="D10" s="876"/>
      <c r="E10" s="876"/>
      <c r="F10" s="47">
        <v>484991</v>
      </c>
      <c r="G10" s="876"/>
      <c r="H10" s="47">
        <v>452849</v>
      </c>
      <c r="I10" s="876"/>
      <c r="J10" s="47">
        <v>472419</v>
      </c>
      <c r="K10" s="876"/>
      <c r="L10" s="1005">
        <v>322317</v>
      </c>
      <c r="M10" s="164" t="s">
        <v>73</v>
      </c>
      <c r="N10" s="164" t="s">
        <v>136</v>
      </c>
    </row>
    <row r="11" spans="1:14" ht="27.75" customHeight="1" x14ac:dyDescent="0.2">
      <c r="A11" s="224" t="s">
        <v>308</v>
      </c>
      <c r="B11" s="879" t="s">
        <v>307</v>
      </c>
      <c r="C11" s="216"/>
      <c r="D11" s="876"/>
      <c r="E11" s="876"/>
      <c r="F11" s="47">
        <v>248558</v>
      </c>
      <c r="G11" s="876"/>
      <c r="H11" s="47">
        <v>223479</v>
      </c>
      <c r="I11" s="876"/>
      <c r="J11" s="47">
        <v>193081</v>
      </c>
      <c r="K11" s="876"/>
      <c r="L11" s="1005">
        <v>171589</v>
      </c>
      <c r="M11" s="164" t="s">
        <v>73</v>
      </c>
      <c r="N11" s="164" t="s">
        <v>136</v>
      </c>
    </row>
    <row r="12" spans="1:14" ht="27.75" customHeight="1" x14ac:dyDescent="0.2">
      <c r="A12" s="224" t="s">
        <v>305</v>
      </c>
      <c r="B12" s="879" t="s">
        <v>304</v>
      </c>
      <c r="C12" s="164"/>
      <c r="D12" s="876"/>
      <c r="E12" s="876"/>
      <c r="F12" s="47"/>
      <c r="G12" s="876"/>
      <c r="H12" s="47"/>
      <c r="I12" s="876"/>
      <c r="J12" s="941">
        <v>59520</v>
      </c>
      <c r="K12" s="876"/>
      <c r="L12" s="1005"/>
      <c r="M12" s="164" t="s">
        <v>303</v>
      </c>
      <c r="N12" s="164" t="s">
        <v>12</v>
      </c>
    </row>
    <row r="13" spans="1:14" ht="21" customHeight="1" x14ac:dyDescent="0.2">
      <c r="A13" s="224" t="s">
        <v>302</v>
      </c>
      <c r="B13" s="225" t="s">
        <v>301</v>
      </c>
      <c r="C13" s="164"/>
      <c r="D13" s="876"/>
      <c r="E13" s="876"/>
      <c r="F13" s="47">
        <v>112910</v>
      </c>
      <c r="G13" s="876"/>
      <c r="H13" s="47">
        <v>91705</v>
      </c>
      <c r="I13" s="876"/>
      <c r="J13" s="47">
        <v>92161</v>
      </c>
      <c r="K13" s="876"/>
      <c r="L13" s="1005">
        <v>150000</v>
      </c>
      <c r="M13" s="164" t="s">
        <v>300</v>
      </c>
      <c r="N13" s="164" t="s">
        <v>282</v>
      </c>
    </row>
    <row r="14" spans="1:14" ht="21" customHeight="1" x14ac:dyDescent="0.2">
      <c r="A14" s="224" t="s">
        <v>299</v>
      </c>
      <c r="B14" s="225" t="s">
        <v>298</v>
      </c>
      <c r="C14" s="164"/>
      <c r="D14" s="876"/>
      <c r="E14" s="876"/>
      <c r="F14" s="47">
        <v>350000</v>
      </c>
      <c r="G14" s="876"/>
      <c r="H14" s="47">
        <v>407078</v>
      </c>
      <c r="I14" s="876"/>
      <c r="J14" s="47">
        <v>441173</v>
      </c>
      <c r="K14" s="876"/>
      <c r="L14" s="1005">
        <v>457999</v>
      </c>
      <c r="M14" s="164" t="s">
        <v>297</v>
      </c>
      <c r="N14" s="164" t="s">
        <v>12</v>
      </c>
    </row>
    <row r="15" spans="1:14" ht="18" customHeight="1" x14ac:dyDescent="0.2">
      <c r="A15" s="224">
        <v>580356210</v>
      </c>
      <c r="B15" s="879" t="s">
        <v>296</v>
      </c>
      <c r="C15" s="164"/>
      <c r="D15" s="876"/>
      <c r="E15" s="876"/>
      <c r="F15" s="47">
        <v>193997</v>
      </c>
      <c r="G15" s="876"/>
      <c r="H15" s="47">
        <v>273737</v>
      </c>
      <c r="I15" s="876"/>
      <c r="J15" s="47">
        <v>768647</v>
      </c>
      <c r="K15" s="876"/>
      <c r="L15" s="1005">
        <f>307459+625691</f>
        <v>933150</v>
      </c>
      <c r="M15" s="164" t="s">
        <v>73</v>
      </c>
      <c r="N15" s="164" t="s">
        <v>136</v>
      </c>
    </row>
    <row r="16" spans="1:14" ht="25.5" x14ac:dyDescent="0.2">
      <c r="A16" s="111">
        <v>580379428</v>
      </c>
      <c r="B16" s="109" t="s">
        <v>288</v>
      </c>
      <c r="C16" s="107"/>
      <c r="D16" s="876"/>
      <c r="E16" s="876"/>
      <c r="F16" s="47">
        <v>193997</v>
      </c>
      <c r="G16" s="876"/>
      <c r="H16" s="47">
        <v>167563</v>
      </c>
      <c r="I16" s="876"/>
      <c r="J16" s="47">
        <v>198696</v>
      </c>
      <c r="K16" s="876"/>
      <c r="L16" s="1005">
        <v>150064</v>
      </c>
      <c r="M16" s="164" t="s">
        <v>280</v>
      </c>
      <c r="N16" s="164" t="s">
        <v>136</v>
      </c>
    </row>
    <row r="17" spans="1:14" ht="29.25" customHeight="1" x14ac:dyDescent="0.2">
      <c r="A17" s="110">
        <v>580108660</v>
      </c>
      <c r="B17" s="109" t="s">
        <v>287</v>
      </c>
      <c r="C17" s="107"/>
      <c r="D17" s="876"/>
      <c r="E17" s="876"/>
      <c r="F17" s="47">
        <v>111052</v>
      </c>
      <c r="G17" s="876"/>
      <c r="H17" s="47">
        <v>151553</v>
      </c>
      <c r="I17" s="876"/>
      <c r="J17" s="47">
        <v>162061</v>
      </c>
      <c r="K17" s="876"/>
      <c r="L17" s="1005">
        <v>261709</v>
      </c>
      <c r="M17" s="164" t="s">
        <v>53</v>
      </c>
      <c r="N17" s="164" t="s">
        <v>53</v>
      </c>
    </row>
    <row r="18" spans="1:14" ht="29.25" customHeight="1" x14ac:dyDescent="0.2">
      <c r="A18" s="110">
        <v>580063568</v>
      </c>
      <c r="B18" s="109" t="s">
        <v>286</v>
      </c>
      <c r="C18" s="107"/>
      <c r="D18" s="876"/>
      <c r="E18" s="876"/>
      <c r="F18" s="47">
        <v>30312</v>
      </c>
      <c r="G18" s="876"/>
      <c r="H18" s="47">
        <v>31739</v>
      </c>
      <c r="I18" s="876"/>
      <c r="J18" s="941">
        <v>148908</v>
      </c>
      <c r="K18" s="876"/>
      <c r="L18" s="1005">
        <v>78757</v>
      </c>
      <c r="M18" s="164" t="s">
        <v>73</v>
      </c>
      <c r="N18" s="164" t="s">
        <v>136</v>
      </c>
    </row>
    <row r="19" spans="1:14" ht="29.25" customHeight="1" x14ac:dyDescent="0.2">
      <c r="A19" s="110">
        <v>511021156</v>
      </c>
      <c r="B19" s="109" t="s">
        <v>285</v>
      </c>
      <c r="C19" s="107"/>
      <c r="D19" s="876"/>
      <c r="E19" s="876"/>
      <c r="F19" s="47">
        <v>72271</v>
      </c>
      <c r="G19" s="876"/>
      <c r="H19" s="47">
        <v>180628</v>
      </c>
      <c r="I19" s="876"/>
      <c r="J19" s="47">
        <v>72251</v>
      </c>
      <c r="K19" s="876"/>
      <c r="L19" s="1005"/>
      <c r="M19" s="164" t="s">
        <v>53</v>
      </c>
      <c r="N19" s="164" t="s">
        <v>53</v>
      </c>
    </row>
    <row r="20" spans="1:14" ht="29.25" customHeight="1" x14ac:dyDescent="0.2">
      <c r="A20" s="108">
        <v>580125367</v>
      </c>
      <c r="B20" s="55" t="s">
        <v>284</v>
      </c>
      <c r="C20" s="107"/>
      <c r="D20" s="876"/>
      <c r="E20" s="876"/>
      <c r="F20" s="47">
        <v>70000</v>
      </c>
      <c r="G20" s="876"/>
      <c r="H20" s="47">
        <v>67048</v>
      </c>
      <c r="I20" s="876"/>
      <c r="J20" s="941">
        <v>40000</v>
      </c>
      <c r="K20" s="876"/>
      <c r="L20" s="1005"/>
      <c r="M20" s="164" t="s">
        <v>283</v>
      </c>
      <c r="N20" s="164" t="s">
        <v>282</v>
      </c>
    </row>
    <row r="21" spans="1:14" ht="29.25" customHeight="1" x14ac:dyDescent="0.2">
      <c r="A21" s="788">
        <v>580416154</v>
      </c>
      <c r="B21" s="855" t="s">
        <v>2383</v>
      </c>
      <c r="C21" s="107"/>
      <c r="D21" s="876"/>
      <c r="E21" s="876"/>
      <c r="F21" s="47">
        <v>174896</v>
      </c>
      <c r="G21" s="876"/>
      <c r="H21" s="47">
        <v>237657</v>
      </c>
      <c r="I21" s="876"/>
      <c r="J21" s="47">
        <v>222159</v>
      </c>
      <c r="K21" s="876"/>
      <c r="L21" s="1005">
        <v>220636</v>
      </c>
      <c r="M21" s="164" t="s">
        <v>2384</v>
      </c>
      <c r="N21" s="164" t="s">
        <v>282</v>
      </c>
    </row>
    <row r="22" spans="1:14" ht="25.5" customHeight="1" x14ac:dyDescent="0.2">
      <c r="A22" s="224" t="s">
        <v>2915</v>
      </c>
      <c r="B22" s="55" t="s">
        <v>2916</v>
      </c>
      <c r="C22" s="107"/>
      <c r="D22" s="876"/>
      <c r="E22" s="876"/>
      <c r="F22" s="47"/>
      <c r="G22" s="876"/>
      <c r="H22" s="47">
        <v>79260</v>
      </c>
      <c r="I22" s="876"/>
      <c r="J22" s="47">
        <v>77130</v>
      </c>
      <c r="K22" s="876"/>
      <c r="L22" s="1005">
        <v>76601</v>
      </c>
      <c r="M22" s="164" t="s">
        <v>53</v>
      </c>
      <c r="N22" s="164" t="s">
        <v>53</v>
      </c>
    </row>
    <row r="23" spans="1:14" ht="25.5" customHeight="1" x14ac:dyDescent="0.2">
      <c r="A23" s="882" t="s">
        <v>2441</v>
      </c>
      <c r="B23" s="883" t="s">
        <v>2442</v>
      </c>
      <c r="C23" s="107"/>
      <c r="D23" s="876"/>
      <c r="E23" s="876"/>
      <c r="F23" s="47">
        <v>184759</v>
      </c>
      <c r="G23" s="876"/>
      <c r="H23" s="47">
        <v>161791</v>
      </c>
      <c r="I23" s="876"/>
      <c r="J23" s="47">
        <v>126483</v>
      </c>
      <c r="K23" s="876"/>
      <c r="L23" s="1005">
        <v>105184</v>
      </c>
      <c r="M23" s="164" t="s">
        <v>73</v>
      </c>
      <c r="N23" s="164" t="s">
        <v>136</v>
      </c>
    </row>
    <row r="24" spans="1:14" ht="29.25" customHeight="1" x14ac:dyDescent="0.2">
      <c r="A24" s="882" t="s">
        <v>2443</v>
      </c>
      <c r="B24" s="883" t="s">
        <v>2444</v>
      </c>
      <c r="C24" s="107"/>
      <c r="D24" s="876"/>
      <c r="E24" s="876"/>
      <c r="F24" s="47">
        <v>92379</v>
      </c>
      <c r="G24" s="876"/>
      <c r="H24" s="47">
        <v>79189</v>
      </c>
      <c r="I24" s="876"/>
      <c r="J24" s="47">
        <v>102800</v>
      </c>
      <c r="K24" s="876"/>
      <c r="L24" s="1005">
        <v>113604</v>
      </c>
      <c r="M24" s="164" t="s">
        <v>2384</v>
      </c>
      <c r="N24" s="164" t="s">
        <v>282</v>
      </c>
    </row>
    <row r="25" spans="1:14" ht="27.75" customHeight="1" x14ac:dyDescent="0.2">
      <c r="A25" s="882" t="s">
        <v>2917</v>
      </c>
      <c r="B25" s="860" t="s">
        <v>2918</v>
      </c>
      <c r="D25" s="876"/>
      <c r="E25" s="876"/>
      <c r="G25" s="876"/>
      <c r="H25" s="47">
        <v>6382</v>
      </c>
      <c r="I25" s="876"/>
      <c r="J25" s="47"/>
      <c r="K25" s="876"/>
      <c r="L25" s="1005"/>
      <c r="M25" s="195" t="s">
        <v>2921</v>
      </c>
      <c r="N25" s="195" t="s">
        <v>12</v>
      </c>
    </row>
    <row r="26" spans="1:14" ht="27.75" customHeight="1" x14ac:dyDescent="0.2">
      <c r="A26" s="882">
        <v>580149540</v>
      </c>
      <c r="B26" s="860" t="s">
        <v>3255</v>
      </c>
      <c r="D26" s="876"/>
      <c r="E26" s="876"/>
      <c r="G26" s="876"/>
      <c r="H26" s="47"/>
      <c r="I26" s="876"/>
      <c r="J26" s="47"/>
      <c r="K26" s="876"/>
      <c r="L26" s="1005">
        <v>222031</v>
      </c>
      <c r="M26" s="164" t="s">
        <v>73</v>
      </c>
      <c r="N26" s="164" t="s">
        <v>136</v>
      </c>
    </row>
    <row r="27" spans="1:14" ht="27.75" customHeight="1" x14ac:dyDescent="0.2">
      <c r="A27" s="882">
        <v>580004133</v>
      </c>
      <c r="B27" s="860" t="s">
        <v>3253</v>
      </c>
      <c r="D27" s="876"/>
      <c r="E27" s="876"/>
      <c r="G27" s="876"/>
      <c r="H27" s="47"/>
      <c r="I27" s="876"/>
      <c r="J27" s="47"/>
      <c r="K27" s="876"/>
      <c r="L27" s="1005">
        <v>186122</v>
      </c>
      <c r="M27" s="164" t="s">
        <v>73</v>
      </c>
      <c r="N27" s="164" t="s">
        <v>136</v>
      </c>
    </row>
    <row r="28" spans="1:14" ht="27.75" customHeight="1" x14ac:dyDescent="0.2">
      <c r="A28" s="882">
        <v>580092609</v>
      </c>
      <c r="B28" s="860" t="s">
        <v>3254</v>
      </c>
      <c r="D28" s="876"/>
      <c r="E28" s="876"/>
      <c r="G28" s="876"/>
      <c r="H28" s="47"/>
      <c r="I28" s="876"/>
      <c r="J28" s="47"/>
      <c r="K28" s="876"/>
      <c r="L28" s="1005">
        <v>186122</v>
      </c>
      <c r="M28" s="164" t="s">
        <v>73</v>
      </c>
      <c r="N28" s="164" t="s">
        <v>136</v>
      </c>
    </row>
    <row r="29" spans="1:14" ht="27.75" customHeight="1" x14ac:dyDescent="0.2">
      <c r="A29" s="882">
        <v>580198802</v>
      </c>
      <c r="B29" s="860" t="s">
        <v>3256</v>
      </c>
      <c r="D29" s="876"/>
      <c r="E29" s="876"/>
      <c r="G29" s="876"/>
      <c r="H29" s="47"/>
      <c r="I29" s="876"/>
      <c r="J29" s="47"/>
      <c r="K29" s="876"/>
      <c r="L29" s="1005">
        <v>186733</v>
      </c>
      <c r="M29" s="164" t="s">
        <v>73</v>
      </c>
      <c r="N29" s="164" t="s">
        <v>136</v>
      </c>
    </row>
    <row r="30" spans="1:14" ht="27.75" customHeight="1" x14ac:dyDescent="0.2">
      <c r="A30" s="882">
        <v>580318590</v>
      </c>
      <c r="B30" s="860" t="s">
        <v>3257</v>
      </c>
      <c r="D30" s="876"/>
      <c r="E30" s="876"/>
      <c r="G30" s="876"/>
      <c r="H30" s="47"/>
      <c r="I30" s="876"/>
      <c r="J30" s="47"/>
      <c r="K30" s="876"/>
      <c r="L30" s="1005">
        <v>186122</v>
      </c>
      <c r="M30" s="164" t="s">
        <v>73</v>
      </c>
      <c r="N30" s="164" t="s">
        <v>136</v>
      </c>
    </row>
    <row r="31" spans="1:14" ht="27.75" customHeight="1" x14ac:dyDescent="0.2">
      <c r="A31" s="882">
        <v>580373710</v>
      </c>
      <c r="B31" s="860" t="s">
        <v>3258</v>
      </c>
      <c r="D31" s="876"/>
      <c r="E31" s="876"/>
      <c r="G31" s="876"/>
      <c r="H31" s="47"/>
      <c r="I31" s="876"/>
      <c r="J31" s="47"/>
      <c r="K31" s="876"/>
      <c r="L31" s="1005">
        <v>100000</v>
      </c>
      <c r="M31" s="164" t="s">
        <v>53</v>
      </c>
      <c r="N31" s="164" t="s">
        <v>53</v>
      </c>
    </row>
    <row r="32" spans="1:14" ht="27.75" customHeight="1" x14ac:dyDescent="0.2">
      <c r="A32" s="882">
        <v>580108611</v>
      </c>
      <c r="B32" s="860" t="s">
        <v>3259</v>
      </c>
      <c r="D32" s="876"/>
      <c r="E32" s="876"/>
      <c r="G32" s="876"/>
      <c r="H32" s="47"/>
      <c r="I32" s="876"/>
      <c r="J32" s="47"/>
      <c r="K32" s="876"/>
      <c r="L32" s="1005">
        <v>175000</v>
      </c>
      <c r="M32" s="164" t="s">
        <v>3260</v>
      </c>
      <c r="N32" s="164" t="s">
        <v>282</v>
      </c>
    </row>
    <row r="33" spans="1:14" ht="27.75" customHeight="1" x14ac:dyDescent="0.2">
      <c r="A33" s="882">
        <v>580542629</v>
      </c>
      <c r="B33" s="860" t="s">
        <v>3262</v>
      </c>
      <c r="D33" s="876"/>
      <c r="E33" s="876"/>
      <c r="G33" s="876"/>
      <c r="H33" s="47"/>
      <c r="I33" s="876"/>
      <c r="J33" s="47"/>
      <c r="K33" s="876"/>
      <c r="L33" s="1005">
        <v>93061</v>
      </c>
      <c r="M33" s="164" t="s">
        <v>73</v>
      </c>
      <c r="N33" s="164" t="s">
        <v>136</v>
      </c>
    </row>
    <row r="34" spans="1:14" ht="27.75" customHeight="1" x14ac:dyDescent="0.2">
      <c r="A34" s="882">
        <v>580498657</v>
      </c>
      <c r="B34" s="860" t="s">
        <v>3261</v>
      </c>
      <c r="D34" s="876"/>
      <c r="E34" s="876"/>
      <c r="G34" s="876"/>
      <c r="H34" s="47"/>
      <c r="I34" s="876"/>
      <c r="J34" s="47"/>
      <c r="K34" s="876"/>
      <c r="L34" s="1005">
        <v>116327</v>
      </c>
      <c r="M34" s="164" t="s">
        <v>73</v>
      </c>
      <c r="N34" s="164" t="s">
        <v>136</v>
      </c>
    </row>
    <row r="35" spans="1:14" ht="30" customHeight="1" x14ac:dyDescent="0.2">
      <c r="A35" s="882" t="s">
        <v>2919</v>
      </c>
      <c r="B35" s="860" t="s">
        <v>2920</v>
      </c>
      <c r="D35" s="876"/>
      <c r="E35" s="876"/>
      <c r="G35" s="876"/>
      <c r="H35" s="47">
        <v>45436</v>
      </c>
      <c r="I35" s="876"/>
      <c r="J35" s="47"/>
      <c r="K35" s="876"/>
      <c r="L35" s="1005">
        <v>100000</v>
      </c>
      <c r="M35" s="195" t="s">
        <v>292</v>
      </c>
      <c r="N35" s="195" t="s">
        <v>12</v>
      </c>
    </row>
    <row r="36" spans="1:14" ht="6.75" customHeight="1" x14ac:dyDescent="0.2">
      <c r="A36" s="927"/>
      <c r="B36" s="928"/>
      <c r="C36" s="929"/>
      <c r="D36" s="929"/>
      <c r="E36" s="929"/>
      <c r="F36" s="930"/>
      <c r="G36" s="929"/>
      <c r="H36" s="930"/>
      <c r="I36" s="929"/>
      <c r="J36" s="930"/>
      <c r="K36" s="929"/>
      <c r="L36" s="930"/>
      <c r="M36" s="929"/>
      <c r="N36" s="929"/>
    </row>
    <row r="37" spans="1:14" s="163" customFormat="1" ht="24" customHeight="1" x14ac:dyDescent="0.2">
      <c r="A37" s="1066" t="s">
        <v>3052</v>
      </c>
      <c r="B37" s="1067"/>
      <c r="C37" s="162"/>
      <c r="D37" s="876"/>
      <c r="E37" s="876"/>
      <c r="F37" s="162"/>
      <c r="G37" s="876"/>
      <c r="H37" s="162">
        <f>SUM(H38:H46)</f>
        <v>13151803</v>
      </c>
      <c r="I37" s="876"/>
      <c r="J37" s="162">
        <f>SUM(J38:J46)</f>
        <v>14912999</v>
      </c>
      <c r="K37" s="876"/>
      <c r="L37" s="162">
        <f>SUM(L38:L46)</f>
        <v>14157215</v>
      </c>
      <c r="M37" s="162"/>
      <c r="N37" s="162"/>
    </row>
    <row r="38" spans="1:14" ht="29.25" customHeight="1" x14ac:dyDescent="0.2">
      <c r="A38" s="878">
        <v>510525934</v>
      </c>
      <c r="B38" s="879" t="s">
        <v>339</v>
      </c>
      <c r="C38" s="164"/>
      <c r="D38" s="876"/>
      <c r="E38" s="876"/>
      <c r="F38" s="47">
        <v>1900000</v>
      </c>
      <c r="G38" s="876"/>
      <c r="H38" s="47">
        <v>2147135</v>
      </c>
      <c r="I38" s="876"/>
      <c r="J38" s="47">
        <v>2296710</v>
      </c>
      <c r="K38" s="876"/>
      <c r="L38" s="47">
        <v>2105451</v>
      </c>
      <c r="M38" s="164" t="s">
        <v>53</v>
      </c>
      <c r="N38" s="164" t="s">
        <v>53</v>
      </c>
    </row>
    <row r="39" spans="1:14" s="231" customFormat="1" ht="25.5" x14ac:dyDescent="0.2">
      <c r="A39" s="878">
        <v>580038784</v>
      </c>
      <c r="B39" s="879" t="s">
        <v>333</v>
      </c>
      <c r="C39" s="164"/>
      <c r="D39" s="876"/>
      <c r="E39" s="876"/>
      <c r="F39" s="47">
        <v>1950811</v>
      </c>
      <c r="G39" s="876"/>
      <c r="H39" s="47">
        <v>2311762</v>
      </c>
      <c r="I39" s="876"/>
      <c r="J39" s="47">
        <v>2575268</v>
      </c>
      <c r="K39" s="876"/>
      <c r="L39" s="47">
        <v>2336249</v>
      </c>
      <c r="M39" s="164" t="s">
        <v>332</v>
      </c>
      <c r="N39" s="164" t="s">
        <v>12</v>
      </c>
    </row>
    <row r="40" spans="1:14" ht="25.5" x14ac:dyDescent="0.2">
      <c r="A40" s="878">
        <v>580067122</v>
      </c>
      <c r="B40" s="879" t="s">
        <v>330</v>
      </c>
      <c r="C40" s="164"/>
      <c r="D40" s="876"/>
      <c r="E40" s="876"/>
      <c r="F40" s="47">
        <v>1996019</v>
      </c>
      <c r="G40" s="876"/>
      <c r="H40" s="47">
        <v>2246152</v>
      </c>
      <c r="I40" s="876"/>
      <c r="J40" s="47">
        <v>2485717</v>
      </c>
      <c r="K40" s="876"/>
      <c r="L40" s="47">
        <v>2332253</v>
      </c>
      <c r="M40" s="164" t="s">
        <v>329</v>
      </c>
      <c r="N40" s="164" t="s">
        <v>136</v>
      </c>
    </row>
    <row r="41" spans="1:14" ht="24" customHeight="1" x14ac:dyDescent="0.2">
      <c r="A41" s="878">
        <v>580009306</v>
      </c>
      <c r="B41" s="879" t="s">
        <v>322</v>
      </c>
      <c r="C41" s="164"/>
      <c r="D41" s="876"/>
      <c r="E41" s="876"/>
      <c r="F41" s="47">
        <v>1500000</v>
      </c>
      <c r="G41" s="876"/>
      <c r="H41" s="47">
        <v>2223754</v>
      </c>
      <c r="I41" s="876"/>
      <c r="J41" s="47">
        <v>2500000</v>
      </c>
      <c r="K41" s="876"/>
      <c r="L41" s="47">
        <v>2427246</v>
      </c>
      <c r="M41" s="164" t="s">
        <v>321</v>
      </c>
      <c r="N41" s="164" t="s">
        <v>12</v>
      </c>
    </row>
    <row r="42" spans="1:14" ht="27.75" customHeight="1" x14ac:dyDescent="0.2">
      <c r="A42" s="878">
        <v>510143423</v>
      </c>
      <c r="B42" s="879" t="s">
        <v>328</v>
      </c>
      <c r="C42" s="164"/>
      <c r="D42" s="876"/>
      <c r="E42" s="876"/>
      <c r="F42" s="47">
        <v>545319</v>
      </c>
      <c r="G42" s="876"/>
      <c r="H42" s="47">
        <v>337765</v>
      </c>
      <c r="I42" s="876"/>
      <c r="J42" s="941">
        <v>546215</v>
      </c>
      <c r="K42" s="876"/>
      <c r="L42" s="1005">
        <v>536526</v>
      </c>
      <c r="M42" s="164" t="s">
        <v>327</v>
      </c>
      <c r="N42" s="164" t="s">
        <v>12</v>
      </c>
    </row>
    <row r="43" spans="1:14" ht="24.75" customHeight="1" x14ac:dyDescent="0.2">
      <c r="A43" s="881">
        <v>580028736</v>
      </c>
      <c r="B43" s="879" t="s">
        <v>331</v>
      </c>
      <c r="C43" s="164"/>
      <c r="D43" s="876"/>
      <c r="E43" s="876"/>
      <c r="F43" s="47">
        <v>2000000</v>
      </c>
      <c r="G43" s="876"/>
      <c r="H43" s="47">
        <v>2646199</v>
      </c>
      <c r="I43" s="876"/>
      <c r="J43" s="47">
        <v>2800000</v>
      </c>
      <c r="K43" s="876"/>
      <c r="L43" s="1005">
        <v>2666851</v>
      </c>
      <c r="M43" s="164" t="s">
        <v>73</v>
      </c>
      <c r="N43" s="164" t="s">
        <v>136</v>
      </c>
    </row>
    <row r="44" spans="1:14" ht="51" x14ac:dyDescent="0.2">
      <c r="A44" s="878" t="s">
        <v>338</v>
      </c>
      <c r="B44" s="879" t="s">
        <v>337</v>
      </c>
      <c r="C44" s="164" t="s">
        <v>336</v>
      </c>
      <c r="D44" s="876"/>
      <c r="E44" s="876"/>
      <c r="F44" s="47">
        <v>444677</v>
      </c>
      <c r="G44" s="876"/>
      <c r="H44" s="47">
        <v>523760</v>
      </c>
      <c r="I44" s="876"/>
      <c r="J44" s="47">
        <v>570721</v>
      </c>
      <c r="K44" s="876"/>
      <c r="L44" s="1005">
        <v>550000</v>
      </c>
      <c r="M44" s="164" t="s">
        <v>73</v>
      </c>
      <c r="N44" s="164" t="s">
        <v>136</v>
      </c>
    </row>
    <row r="45" spans="1:14" ht="25.5" x14ac:dyDescent="0.2">
      <c r="A45" s="878">
        <v>580005569</v>
      </c>
      <c r="B45" s="879" t="s">
        <v>317</v>
      </c>
      <c r="C45" s="164"/>
      <c r="D45" s="876"/>
      <c r="E45" s="876"/>
      <c r="F45" s="47">
        <v>215344</v>
      </c>
      <c r="G45" s="876"/>
      <c r="H45" s="47">
        <v>218188</v>
      </c>
      <c r="I45" s="876"/>
      <c r="J45" s="941">
        <v>286366</v>
      </c>
      <c r="K45" s="876"/>
      <c r="L45" s="1005">
        <v>300214</v>
      </c>
      <c r="M45" s="164" t="s">
        <v>53</v>
      </c>
      <c r="N45" s="164" t="s">
        <v>53</v>
      </c>
    </row>
    <row r="46" spans="1:14" ht="38.25" x14ac:dyDescent="0.2">
      <c r="A46" s="878">
        <v>510490451</v>
      </c>
      <c r="B46" s="879" t="s">
        <v>326</v>
      </c>
      <c r="C46" s="216"/>
      <c r="D46" s="876"/>
      <c r="E46" s="876"/>
      <c r="F46" s="47"/>
      <c r="G46" s="876"/>
      <c r="H46" s="47">
        <v>497088</v>
      </c>
      <c r="I46" s="876"/>
      <c r="J46" s="941">
        <v>852002</v>
      </c>
      <c r="K46" s="876"/>
      <c r="L46" s="1005">
        <v>902425</v>
      </c>
      <c r="M46" s="164" t="s">
        <v>325</v>
      </c>
      <c r="N46" s="164" t="s">
        <v>12</v>
      </c>
    </row>
    <row r="47" spans="1:14" x14ac:dyDescent="0.2">
      <c r="A47" s="878"/>
      <c r="F47" s="512"/>
      <c r="H47" s="512"/>
      <c r="J47" s="512"/>
      <c r="L47" s="1005"/>
    </row>
    <row r="48" spans="1:14" x14ac:dyDescent="0.2">
      <c r="A48" s="878"/>
    </row>
    <row r="49" spans="1:1" x14ac:dyDescent="0.2">
      <c r="A49" s="878"/>
    </row>
    <row r="50" spans="1:1" x14ac:dyDescent="0.2">
      <c r="A50" s="878"/>
    </row>
    <row r="51" spans="1:1" x14ac:dyDescent="0.2">
      <c r="A51" s="878"/>
    </row>
    <row r="52" spans="1:1" x14ac:dyDescent="0.2">
      <c r="A52" s="878"/>
    </row>
    <row r="53" spans="1:1" x14ac:dyDescent="0.2">
      <c r="A53" s="878"/>
    </row>
    <row r="54" spans="1:1" x14ac:dyDescent="0.2">
      <c r="A54" s="878"/>
    </row>
    <row r="55" spans="1:1" x14ac:dyDescent="0.2">
      <c r="A55" s="878"/>
    </row>
    <row r="56" spans="1:1" x14ac:dyDescent="0.2">
      <c r="A56" s="878"/>
    </row>
    <row r="57" spans="1:1" x14ac:dyDescent="0.2">
      <c r="A57" s="878"/>
    </row>
    <row r="58" spans="1:1" x14ac:dyDescent="0.2">
      <c r="A58" s="878"/>
    </row>
    <row r="59" spans="1:1" x14ac:dyDescent="0.2">
      <c r="A59" s="878"/>
    </row>
    <row r="60" spans="1:1" x14ac:dyDescent="0.2">
      <c r="A60" s="878"/>
    </row>
    <row r="61" spans="1:1" x14ac:dyDescent="0.2">
      <c r="A61" s="878"/>
    </row>
    <row r="62" spans="1:1" x14ac:dyDescent="0.2">
      <c r="A62" s="878"/>
    </row>
    <row r="63" spans="1:1" x14ac:dyDescent="0.2">
      <c r="A63" s="878"/>
    </row>
    <row r="64" spans="1:1" x14ac:dyDescent="0.2">
      <c r="A64" s="878"/>
    </row>
    <row r="65" spans="1:1" x14ac:dyDescent="0.2">
      <c r="A65" s="878"/>
    </row>
    <row r="66" spans="1:1" x14ac:dyDescent="0.2">
      <c r="A66" s="878"/>
    </row>
    <row r="67" spans="1:1" x14ac:dyDescent="0.2">
      <c r="A67" s="878"/>
    </row>
    <row r="68" spans="1:1" x14ac:dyDescent="0.2">
      <c r="A68" s="878"/>
    </row>
    <row r="69" spans="1:1" x14ac:dyDescent="0.2">
      <c r="A69" s="878"/>
    </row>
    <row r="70" spans="1:1" x14ac:dyDescent="0.2">
      <c r="A70" s="878"/>
    </row>
    <row r="71" spans="1:1" x14ac:dyDescent="0.2">
      <c r="A71" s="878"/>
    </row>
    <row r="72" spans="1:1" x14ac:dyDescent="0.2">
      <c r="A72" s="878"/>
    </row>
    <row r="73" spans="1:1" x14ac:dyDescent="0.2">
      <c r="A73" s="878"/>
    </row>
    <row r="74" spans="1:1" x14ac:dyDescent="0.2">
      <c r="A74" s="878"/>
    </row>
    <row r="75" spans="1:1" x14ac:dyDescent="0.2">
      <c r="A75" s="878"/>
    </row>
    <row r="76" spans="1:1" x14ac:dyDescent="0.2">
      <c r="A76" s="878"/>
    </row>
    <row r="77" spans="1:1" x14ac:dyDescent="0.2">
      <c r="A77" s="878"/>
    </row>
    <row r="78" spans="1:1" x14ac:dyDescent="0.2">
      <c r="A78" s="878"/>
    </row>
    <row r="79" spans="1:1" x14ac:dyDescent="0.2">
      <c r="A79" s="878"/>
    </row>
    <row r="80" spans="1:1" x14ac:dyDescent="0.2">
      <c r="A80" s="878"/>
    </row>
    <row r="81" spans="1:1" x14ac:dyDescent="0.2">
      <c r="A81" s="878"/>
    </row>
    <row r="82" spans="1:1" x14ac:dyDescent="0.2">
      <c r="A82" s="878"/>
    </row>
    <row r="83" spans="1:1" x14ac:dyDescent="0.2">
      <c r="A83" s="878"/>
    </row>
    <row r="84" spans="1:1" x14ac:dyDescent="0.2">
      <c r="A84" s="878"/>
    </row>
    <row r="85" spans="1:1" x14ac:dyDescent="0.2">
      <c r="A85" s="878"/>
    </row>
    <row r="86" spans="1:1" x14ac:dyDescent="0.2">
      <c r="A86" s="878"/>
    </row>
    <row r="87" spans="1:1" x14ac:dyDescent="0.2">
      <c r="A87" s="878"/>
    </row>
    <row r="88" spans="1:1" x14ac:dyDescent="0.2">
      <c r="A88" s="878"/>
    </row>
    <row r="89" spans="1:1" x14ac:dyDescent="0.2">
      <c r="A89" s="878"/>
    </row>
    <row r="90" spans="1:1" x14ac:dyDescent="0.2">
      <c r="A90" s="878"/>
    </row>
    <row r="91" spans="1:1" x14ac:dyDescent="0.2">
      <c r="A91" s="878"/>
    </row>
    <row r="92" spans="1:1" x14ac:dyDescent="0.2">
      <c r="A92" s="878"/>
    </row>
    <row r="93" spans="1:1" x14ac:dyDescent="0.2">
      <c r="A93" s="878"/>
    </row>
    <row r="94" spans="1:1" x14ac:dyDescent="0.2">
      <c r="A94" s="878"/>
    </row>
    <row r="95" spans="1:1" x14ac:dyDescent="0.2">
      <c r="A95" s="878"/>
    </row>
    <row r="96" spans="1:1" x14ac:dyDescent="0.2">
      <c r="A96" s="878"/>
    </row>
    <row r="97" spans="1:1" x14ac:dyDescent="0.2">
      <c r="A97" s="878"/>
    </row>
    <row r="98" spans="1:1" x14ac:dyDescent="0.2">
      <c r="A98" s="878"/>
    </row>
    <row r="99" spans="1:1" x14ac:dyDescent="0.2">
      <c r="A99" s="878"/>
    </row>
    <row r="100" spans="1:1" x14ac:dyDescent="0.2">
      <c r="A100" s="878"/>
    </row>
    <row r="101" spans="1:1" x14ac:dyDescent="0.2">
      <c r="A101" s="878"/>
    </row>
    <row r="102" spans="1:1" x14ac:dyDescent="0.2">
      <c r="A102" s="878"/>
    </row>
    <row r="103" spans="1:1" x14ac:dyDescent="0.2">
      <c r="A103" s="878"/>
    </row>
    <row r="104" spans="1:1" x14ac:dyDescent="0.2">
      <c r="A104" s="878"/>
    </row>
    <row r="105" spans="1:1" x14ac:dyDescent="0.2">
      <c r="A105" s="878"/>
    </row>
    <row r="106" spans="1:1" x14ac:dyDescent="0.2">
      <c r="A106" s="878"/>
    </row>
    <row r="107" spans="1:1" x14ac:dyDescent="0.2">
      <c r="A107" s="878"/>
    </row>
    <row r="108" spans="1:1" x14ac:dyDescent="0.2">
      <c r="A108" s="878"/>
    </row>
    <row r="109" spans="1:1" x14ac:dyDescent="0.2">
      <c r="A109" s="878"/>
    </row>
    <row r="110" spans="1:1" x14ac:dyDescent="0.2">
      <c r="A110" s="878"/>
    </row>
    <row r="111" spans="1:1" x14ac:dyDescent="0.2">
      <c r="A111" s="878"/>
    </row>
    <row r="112" spans="1:1" x14ac:dyDescent="0.2">
      <c r="A112" s="878"/>
    </row>
  </sheetData>
  <mergeCells count="2">
    <mergeCell ref="A3:B3"/>
    <mergeCell ref="A37:B37"/>
  </mergeCells>
  <pageMargins left="0" right="0.57999999999999996" top="1.51" bottom="0.35433070866141736" header="0.98425196850393704" footer="0.11811023622047245"/>
  <pageSetup paperSize="9" scale="93" fitToHeight="3" orientation="landscape" r:id="rId1"/>
  <headerFooter alignWithMargins="0">
    <oddHeader>&amp;L&amp;D&amp;Cמינהל התרבות
&amp;"Arial,מודגש"&amp;11 תקציב על שינוייו 2016-2019 ש"ח בהתאם להחלטת ועדת התמיכות
&amp;R&amp;"Arial,מודגש"&amp;12תקנה 42-02-14&amp;14 - &amp;12מוסדות תרבות מדע ומחקר
תקנה 42-02-60- ארכיונים</oddHeader>
    <oddFooter>&amp;L&amp;F&amp;C&amp;P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גיליון2">
    <pageSetUpPr fitToPage="1"/>
  </sheetPr>
  <dimension ref="A1:AJ106"/>
  <sheetViews>
    <sheetView rightToLeft="1" tabSelected="1" zoomScale="80" zoomScaleNormal="80" workbookViewId="0">
      <pane xSplit="2" ySplit="2" topLeftCell="M3" activePane="bottomRight" state="frozen"/>
      <selection activeCell="F22" sqref="F22"/>
      <selection pane="topRight" activeCell="F22" sqref="F22"/>
      <selection pane="bottomLeft" activeCell="F22" sqref="F22"/>
      <selection pane="bottomRight" activeCell="Y6" sqref="Y6"/>
    </sheetView>
  </sheetViews>
  <sheetFormatPr defaultColWidth="1.85546875" defaultRowHeight="12.75" x14ac:dyDescent="0.2"/>
  <cols>
    <col min="1" max="1" width="12.140625" style="195" customWidth="1"/>
    <col min="2" max="2" width="37.5703125" style="242" customWidth="1"/>
    <col min="3" max="3" width="14.5703125" style="227" hidden="1" customWidth="1"/>
    <col min="4" max="4" width="0.5703125" style="226" customWidth="1"/>
    <col min="5" max="5" width="14.140625" style="227" bestFit="1" customWidth="1"/>
    <col min="6" max="6" width="12.7109375" style="227" bestFit="1" customWidth="1"/>
    <col min="7" max="7" width="14.42578125" style="227" customWidth="1"/>
    <col min="8" max="8" width="11.42578125" style="227" customWidth="1"/>
    <col min="9" max="9" width="14.140625" style="227" bestFit="1" customWidth="1"/>
    <col min="10" max="10" width="0.5703125" style="226" customWidth="1"/>
    <col min="11" max="11" width="14.140625" style="227" bestFit="1" customWidth="1"/>
    <col min="12" max="12" width="14.28515625" style="227" customWidth="1"/>
    <col min="13" max="13" width="12.42578125" style="227" bestFit="1" customWidth="1"/>
    <col min="14" max="14" width="10.42578125" style="227" customWidth="1"/>
    <col min="15" max="15" width="11.42578125" style="227" bestFit="1" customWidth="1"/>
    <col min="16" max="16" width="12.5703125" style="227" customWidth="1"/>
    <col min="17" max="17" width="12.7109375" style="227" bestFit="1" customWidth="1"/>
    <col min="18" max="18" width="14.140625" style="227" bestFit="1" customWidth="1"/>
    <col min="19" max="19" width="0.5703125" style="226" customWidth="1"/>
    <col min="20" max="20" width="14.140625" style="227" bestFit="1" customWidth="1"/>
    <col min="21" max="21" width="12.7109375" style="227" bestFit="1" customWidth="1"/>
    <col min="22" max="22" width="13.7109375" style="227" customWidth="1"/>
    <col min="23" max="23" width="9.5703125" style="227" bestFit="1" customWidth="1"/>
    <col min="24" max="24" width="11.42578125" style="227" bestFit="1" customWidth="1"/>
    <col min="25" max="25" width="13" style="227" customWidth="1"/>
    <col min="26" max="26" width="14.140625" style="227" bestFit="1" customWidth="1"/>
    <col min="27" max="27" width="0.5703125" style="226" customWidth="1"/>
    <col min="28" max="28" width="14.140625" style="227" bestFit="1" customWidth="1"/>
    <col min="29" max="29" width="12.7109375" style="227" bestFit="1" customWidth="1"/>
    <col min="30" max="30" width="13.7109375" style="227" customWidth="1"/>
    <col min="31" max="31" width="9.5703125" style="227" bestFit="1" customWidth="1"/>
    <col min="32" max="32" width="11.42578125" style="227" bestFit="1" customWidth="1"/>
    <col min="33" max="33" width="11.42578125" style="227" customWidth="1"/>
    <col min="34" max="34" width="14.140625" style="227" bestFit="1" customWidth="1"/>
    <col min="35" max="35" width="11.85546875" style="195" hidden="1" customWidth="1"/>
    <col min="36" max="36" width="13.7109375" style="195" hidden="1" customWidth="1"/>
    <col min="37" max="254" width="1.85546875" style="227"/>
    <col min="255" max="255" width="0.140625" style="227" customWidth="1"/>
    <col min="256" max="256" width="0" style="227" hidden="1" customWidth="1"/>
    <col min="257" max="257" width="12" style="227" customWidth="1"/>
    <col min="258" max="258" width="47.7109375" style="227" customWidth="1"/>
    <col min="259" max="259" width="0.5703125" style="227" customWidth="1"/>
    <col min="260" max="260" width="12.85546875" style="227" customWidth="1"/>
    <col min="261" max="265" width="11.42578125" style="227" customWidth="1"/>
    <col min="266" max="267" width="14.5703125" style="227" customWidth="1"/>
    <col min="268" max="268" width="0.5703125" style="227" customWidth="1"/>
    <col min="269" max="269" width="12.85546875" style="227" customWidth="1"/>
    <col min="270" max="273" width="11.42578125" style="227" customWidth="1"/>
    <col min="274" max="275" width="14.5703125" style="227" customWidth="1"/>
    <col min="276" max="276" width="0.5703125" style="227" customWidth="1"/>
    <col min="277" max="277" width="14.140625" style="227" bestFit="1" customWidth="1"/>
    <col min="278" max="280" width="11.42578125" style="227" customWidth="1"/>
    <col min="281" max="282" width="14.5703125" style="227" customWidth="1"/>
    <col min="283" max="283" width="0.5703125" style="227" customWidth="1"/>
    <col min="284" max="284" width="14.140625" style="227" bestFit="1" customWidth="1"/>
    <col min="285" max="288" width="11.42578125" style="227" customWidth="1"/>
    <col min="289" max="290" width="14.5703125" style="227" customWidth="1"/>
    <col min="291" max="292" width="9.5703125" style="227" customWidth="1"/>
    <col min="293" max="510" width="1.85546875" style="227"/>
    <col min="511" max="511" width="0.140625" style="227" customWidth="1"/>
    <col min="512" max="512" width="0" style="227" hidden="1" customWidth="1"/>
    <col min="513" max="513" width="12" style="227" customWidth="1"/>
    <col min="514" max="514" width="47.7109375" style="227" customWidth="1"/>
    <col min="515" max="515" width="0.5703125" style="227" customWidth="1"/>
    <col min="516" max="516" width="12.85546875" style="227" customWidth="1"/>
    <col min="517" max="521" width="11.42578125" style="227" customWidth="1"/>
    <col min="522" max="523" width="14.5703125" style="227" customWidth="1"/>
    <col min="524" max="524" width="0.5703125" style="227" customWidth="1"/>
    <col min="525" max="525" width="12.85546875" style="227" customWidth="1"/>
    <col min="526" max="529" width="11.42578125" style="227" customWidth="1"/>
    <col min="530" max="531" width="14.5703125" style="227" customWidth="1"/>
    <col min="532" max="532" width="0.5703125" style="227" customWidth="1"/>
    <col min="533" max="533" width="14.140625" style="227" bestFit="1" customWidth="1"/>
    <col min="534" max="536" width="11.42578125" style="227" customWidth="1"/>
    <col min="537" max="538" width="14.5703125" style="227" customWidth="1"/>
    <col min="539" max="539" width="0.5703125" style="227" customWidth="1"/>
    <col min="540" max="540" width="14.140625" style="227" bestFit="1" customWidth="1"/>
    <col min="541" max="544" width="11.42578125" style="227" customWidth="1"/>
    <col min="545" max="546" width="14.5703125" style="227" customWidth="1"/>
    <col min="547" max="548" width="9.5703125" style="227" customWidth="1"/>
    <col min="549" max="766" width="1.85546875" style="227"/>
    <col min="767" max="767" width="0.140625" style="227" customWidth="1"/>
    <col min="768" max="768" width="0" style="227" hidden="1" customWidth="1"/>
    <col min="769" max="769" width="12" style="227" customWidth="1"/>
    <col min="770" max="770" width="47.7109375" style="227" customWidth="1"/>
    <col min="771" max="771" width="0.5703125" style="227" customWidth="1"/>
    <col min="772" max="772" width="12.85546875" style="227" customWidth="1"/>
    <col min="773" max="777" width="11.42578125" style="227" customWidth="1"/>
    <col min="778" max="779" width="14.5703125" style="227" customWidth="1"/>
    <col min="780" max="780" width="0.5703125" style="227" customWidth="1"/>
    <col min="781" max="781" width="12.85546875" style="227" customWidth="1"/>
    <col min="782" max="785" width="11.42578125" style="227" customWidth="1"/>
    <col min="786" max="787" width="14.5703125" style="227" customWidth="1"/>
    <col min="788" max="788" width="0.5703125" style="227" customWidth="1"/>
    <col min="789" max="789" width="14.140625" style="227" bestFit="1" customWidth="1"/>
    <col min="790" max="792" width="11.42578125" style="227" customWidth="1"/>
    <col min="793" max="794" width="14.5703125" style="227" customWidth="1"/>
    <col min="795" max="795" width="0.5703125" style="227" customWidth="1"/>
    <col min="796" max="796" width="14.140625" style="227" bestFit="1" customWidth="1"/>
    <col min="797" max="800" width="11.42578125" style="227" customWidth="1"/>
    <col min="801" max="802" width="14.5703125" style="227" customWidth="1"/>
    <col min="803" max="804" width="9.5703125" style="227" customWidth="1"/>
    <col min="805" max="1022" width="1.85546875" style="227"/>
    <col min="1023" max="1023" width="0.140625" style="227" customWidth="1"/>
    <col min="1024" max="1024" width="0" style="227" hidden="1" customWidth="1"/>
    <col min="1025" max="1025" width="12" style="227" customWidth="1"/>
    <col min="1026" max="1026" width="47.7109375" style="227" customWidth="1"/>
    <col min="1027" max="1027" width="0.5703125" style="227" customWidth="1"/>
    <col min="1028" max="1028" width="12.85546875" style="227" customWidth="1"/>
    <col min="1029" max="1033" width="11.42578125" style="227" customWidth="1"/>
    <col min="1034" max="1035" width="14.5703125" style="227" customWidth="1"/>
    <col min="1036" max="1036" width="0.5703125" style="227" customWidth="1"/>
    <col min="1037" max="1037" width="12.85546875" style="227" customWidth="1"/>
    <col min="1038" max="1041" width="11.42578125" style="227" customWidth="1"/>
    <col min="1042" max="1043" width="14.5703125" style="227" customWidth="1"/>
    <col min="1044" max="1044" width="0.5703125" style="227" customWidth="1"/>
    <col min="1045" max="1045" width="14.140625" style="227" bestFit="1" customWidth="1"/>
    <col min="1046" max="1048" width="11.42578125" style="227" customWidth="1"/>
    <col min="1049" max="1050" width="14.5703125" style="227" customWidth="1"/>
    <col min="1051" max="1051" width="0.5703125" style="227" customWidth="1"/>
    <col min="1052" max="1052" width="14.140625" style="227" bestFit="1" customWidth="1"/>
    <col min="1053" max="1056" width="11.42578125" style="227" customWidth="1"/>
    <col min="1057" max="1058" width="14.5703125" style="227" customWidth="1"/>
    <col min="1059" max="1060" width="9.5703125" style="227" customWidth="1"/>
    <col min="1061" max="1278" width="1.85546875" style="227"/>
    <col min="1279" max="1279" width="0.140625" style="227" customWidth="1"/>
    <col min="1280" max="1280" width="0" style="227" hidden="1" customWidth="1"/>
    <col min="1281" max="1281" width="12" style="227" customWidth="1"/>
    <col min="1282" max="1282" width="47.7109375" style="227" customWidth="1"/>
    <col min="1283" max="1283" width="0.5703125" style="227" customWidth="1"/>
    <col min="1284" max="1284" width="12.85546875" style="227" customWidth="1"/>
    <col min="1285" max="1289" width="11.42578125" style="227" customWidth="1"/>
    <col min="1290" max="1291" width="14.5703125" style="227" customWidth="1"/>
    <col min="1292" max="1292" width="0.5703125" style="227" customWidth="1"/>
    <col min="1293" max="1293" width="12.85546875" style="227" customWidth="1"/>
    <col min="1294" max="1297" width="11.42578125" style="227" customWidth="1"/>
    <col min="1298" max="1299" width="14.5703125" style="227" customWidth="1"/>
    <col min="1300" max="1300" width="0.5703125" style="227" customWidth="1"/>
    <col min="1301" max="1301" width="14.140625" style="227" bestFit="1" customWidth="1"/>
    <col min="1302" max="1304" width="11.42578125" style="227" customWidth="1"/>
    <col min="1305" max="1306" width="14.5703125" style="227" customWidth="1"/>
    <col min="1307" max="1307" width="0.5703125" style="227" customWidth="1"/>
    <col min="1308" max="1308" width="14.140625" style="227" bestFit="1" customWidth="1"/>
    <col min="1309" max="1312" width="11.42578125" style="227" customWidth="1"/>
    <col min="1313" max="1314" width="14.5703125" style="227" customWidth="1"/>
    <col min="1315" max="1316" width="9.5703125" style="227" customWidth="1"/>
    <col min="1317" max="1534" width="1.85546875" style="227"/>
    <col min="1535" max="1535" width="0.140625" style="227" customWidth="1"/>
    <col min="1536" max="1536" width="0" style="227" hidden="1" customWidth="1"/>
    <col min="1537" max="1537" width="12" style="227" customWidth="1"/>
    <col min="1538" max="1538" width="47.7109375" style="227" customWidth="1"/>
    <col min="1539" max="1539" width="0.5703125" style="227" customWidth="1"/>
    <col min="1540" max="1540" width="12.85546875" style="227" customWidth="1"/>
    <col min="1541" max="1545" width="11.42578125" style="227" customWidth="1"/>
    <col min="1546" max="1547" width="14.5703125" style="227" customWidth="1"/>
    <col min="1548" max="1548" width="0.5703125" style="227" customWidth="1"/>
    <col min="1549" max="1549" width="12.85546875" style="227" customWidth="1"/>
    <col min="1550" max="1553" width="11.42578125" style="227" customWidth="1"/>
    <col min="1554" max="1555" width="14.5703125" style="227" customWidth="1"/>
    <col min="1556" max="1556" width="0.5703125" style="227" customWidth="1"/>
    <col min="1557" max="1557" width="14.140625" style="227" bestFit="1" customWidth="1"/>
    <col min="1558" max="1560" width="11.42578125" style="227" customWidth="1"/>
    <col min="1561" max="1562" width="14.5703125" style="227" customWidth="1"/>
    <col min="1563" max="1563" width="0.5703125" style="227" customWidth="1"/>
    <col min="1564" max="1564" width="14.140625" style="227" bestFit="1" customWidth="1"/>
    <col min="1565" max="1568" width="11.42578125" style="227" customWidth="1"/>
    <col min="1569" max="1570" width="14.5703125" style="227" customWidth="1"/>
    <col min="1571" max="1572" width="9.5703125" style="227" customWidth="1"/>
    <col min="1573" max="1790" width="1.85546875" style="227"/>
    <col min="1791" max="1791" width="0.140625" style="227" customWidth="1"/>
    <col min="1792" max="1792" width="0" style="227" hidden="1" customWidth="1"/>
    <col min="1793" max="1793" width="12" style="227" customWidth="1"/>
    <col min="1794" max="1794" width="47.7109375" style="227" customWidth="1"/>
    <col min="1795" max="1795" width="0.5703125" style="227" customWidth="1"/>
    <col min="1796" max="1796" width="12.85546875" style="227" customWidth="1"/>
    <col min="1797" max="1801" width="11.42578125" style="227" customWidth="1"/>
    <col min="1802" max="1803" width="14.5703125" style="227" customWidth="1"/>
    <col min="1804" max="1804" width="0.5703125" style="227" customWidth="1"/>
    <col min="1805" max="1805" width="12.85546875" style="227" customWidth="1"/>
    <col min="1806" max="1809" width="11.42578125" style="227" customWidth="1"/>
    <col min="1810" max="1811" width="14.5703125" style="227" customWidth="1"/>
    <col min="1812" max="1812" width="0.5703125" style="227" customWidth="1"/>
    <col min="1813" max="1813" width="14.140625" style="227" bestFit="1" customWidth="1"/>
    <col min="1814" max="1816" width="11.42578125" style="227" customWidth="1"/>
    <col min="1817" max="1818" width="14.5703125" style="227" customWidth="1"/>
    <col min="1819" max="1819" width="0.5703125" style="227" customWidth="1"/>
    <col min="1820" max="1820" width="14.140625" style="227" bestFit="1" customWidth="1"/>
    <col min="1821" max="1824" width="11.42578125" style="227" customWidth="1"/>
    <col min="1825" max="1826" width="14.5703125" style="227" customWidth="1"/>
    <col min="1827" max="1828" width="9.5703125" style="227" customWidth="1"/>
    <col min="1829" max="2046" width="1.85546875" style="227"/>
    <col min="2047" max="2047" width="0.140625" style="227" customWidth="1"/>
    <col min="2048" max="2048" width="0" style="227" hidden="1" customWidth="1"/>
    <col min="2049" max="2049" width="12" style="227" customWidth="1"/>
    <col min="2050" max="2050" width="47.7109375" style="227" customWidth="1"/>
    <col min="2051" max="2051" width="0.5703125" style="227" customWidth="1"/>
    <col min="2052" max="2052" width="12.85546875" style="227" customWidth="1"/>
    <col min="2053" max="2057" width="11.42578125" style="227" customWidth="1"/>
    <col min="2058" max="2059" width="14.5703125" style="227" customWidth="1"/>
    <col min="2060" max="2060" width="0.5703125" style="227" customWidth="1"/>
    <col min="2061" max="2061" width="12.85546875" style="227" customWidth="1"/>
    <col min="2062" max="2065" width="11.42578125" style="227" customWidth="1"/>
    <col min="2066" max="2067" width="14.5703125" style="227" customWidth="1"/>
    <col min="2068" max="2068" width="0.5703125" style="227" customWidth="1"/>
    <col min="2069" max="2069" width="14.140625" style="227" bestFit="1" customWidth="1"/>
    <col min="2070" max="2072" width="11.42578125" style="227" customWidth="1"/>
    <col min="2073" max="2074" width="14.5703125" style="227" customWidth="1"/>
    <col min="2075" max="2075" width="0.5703125" style="227" customWidth="1"/>
    <col min="2076" max="2076" width="14.140625" style="227" bestFit="1" customWidth="1"/>
    <col min="2077" max="2080" width="11.42578125" style="227" customWidth="1"/>
    <col min="2081" max="2082" width="14.5703125" style="227" customWidth="1"/>
    <col min="2083" max="2084" width="9.5703125" style="227" customWidth="1"/>
    <col min="2085" max="2302" width="1.85546875" style="227"/>
    <col min="2303" max="2303" width="0.140625" style="227" customWidth="1"/>
    <col min="2304" max="2304" width="0" style="227" hidden="1" customWidth="1"/>
    <col min="2305" max="2305" width="12" style="227" customWidth="1"/>
    <col min="2306" max="2306" width="47.7109375" style="227" customWidth="1"/>
    <col min="2307" max="2307" width="0.5703125" style="227" customWidth="1"/>
    <col min="2308" max="2308" width="12.85546875" style="227" customWidth="1"/>
    <col min="2309" max="2313" width="11.42578125" style="227" customWidth="1"/>
    <col min="2314" max="2315" width="14.5703125" style="227" customWidth="1"/>
    <col min="2316" max="2316" width="0.5703125" style="227" customWidth="1"/>
    <col min="2317" max="2317" width="12.85546875" style="227" customWidth="1"/>
    <col min="2318" max="2321" width="11.42578125" style="227" customWidth="1"/>
    <col min="2322" max="2323" width="14.5703125" style="227" customWidth="1"/>
    <col min="2324" max="2324" width="0.5703125" style="227" customWidth="1"/>
    <col min="2325" max="2325" width="14.140625" style="227" bestFit="1" customWidth="1"/>
    <col min="2326" max="2328" width="11.42578125" style="227" customWidth="1"/>
    <col min="2329" max="2330" width="14.5703125" style="227" customWidth="1"/>
    <col min="2331" max="2331" width="0.5703125" style="227" customWidth="1"/>
    <col min="2332" max="2332" width="14.140625" style="227" bestFit="1" customWidth="1"/>
    <col min="2333" max="2336" width="11.42578125" style="227" customWidth="1"/>
    <col min="2337" max="2338" width="14.5703125" style="227" customWidth="1"/>
    <col min="2339" max="2340" width="9.5703125" style="227" customWidth="1"/>
    <col min="2341" max="2558" width="1.85546875" style="227"/>
    <col min="2559" max="2559" width="0.140625" style="227" customWidth="1"/>
    <col min="2560" max="2560" width="0" style="227" hidden="1" customWidth="1"/>
    <col min="2561" max="2561" width="12" style="227" customWidth="1"/>
    <col min="2562" max="2562" width="47.7109375" style="227" customWidth="1"/>
    <col min="2563" max="2563" width="0.5703125" style="227" customWidth="1"/>
    <col min="2564" max="2564" width="12.85546875" style="227" customWidth="1"/>
    <col min="2565" max="2569" width="11.42578125" style="227" customWidth="1"/>
    <col min="2570" max="2571" width="14.5703125" style="227" customWidth="1"/>
    <col min="2572" max="2572" width="0.5703125" style="227" customWidth="1"/>
    <col min="2573" max="2573" width="12.85546875" style="227" customWidth="1"/>
    <col min="2574" max="2577" width="11.42578125" style="227" customWidth="1"/>
    <col min="2578" max="2579" width="14.5703125" style="227" customWidth="1"/>
    <col min="2580" max="2580" width="0.5703125" style="227" customWidth="1"/>
    <col min="2581" max="2581" width="14.140625" style="227" bestFit="1" customWidth="1"/>
    <col min="2582" max="2584" width="11.42578125" style="227" customWidth="1"/>
    <col min="2585" max="2586" width="14.5703125" style="227" customWidth="1"/>
    <col min="2587" max="2587" width="0.5703125" style="227" customWidth="1"/>
    <col min="2588" max="2588" width="14.140625" style="227" bestFit="1" customWidth="1"/>
    <col min="2589" max="2592" width="11.42578125" style="227" customWidth="1"/>
    <col min="2593" max="2594" width="14.5703125" style="227" customWidth="1"/>
    <col min="2595" max="2596" width="9.5703125" style="227" customWidth="1"/>
    <col min="2597" max="2814" width="1.85546875" style="227"/>
    <col min="2815" max="2815" width="0.140625" style="227" customWidth="1"/>
    <col min="2816" max="2816" width="0" style="227" hidden="1" customWidth="1"/>
    <col min="2817" max="2817" width="12" style="227" customWidth="1"/>
    <col min="2818" max="2818" width="47.7109375" style="227" customWidth="1"/>
    <col min="2819" max="2819" width="0.5703125" style="227" customWidth="1"/>
    <col min="2820" max="2820" width="12.85546875" style="227" customWidth="1"/>
    <col min="2821" max="2825" width="11.42578125" style="227" customWidth="1"/>
    <col min="2826" max="2827" width="14.5703125" style="227" customWidth="1"/>
    <col min="2828" max="2828" width="0.5703125" style="227" customWidth="1"/>
    <col min="2829" max="2829" width="12.85546875" style="227" customWidth="1"/>
    <col min="2830" max="2833" width="11.42578125" style="227" customWidth="1"/>
    <col min="2834" max="2835" width="14.5703125" style="227" customWidth="1"/>
    <col min="2836" max="2836" width="0.5703125" style="227" customWidth="1"/>
    <col min="2837" max="2837" width="14.140625" style="227" bestFit="1" customWidth="1"/>
    <col min="2838" max="2840" width="11.42578125" style="227" customWidth="1"/>
    <col min="2841" max="2842" width="14.5703125" style="227" customWidth="1"/>
    <col min="2843" max="2843" width="0.5703125" style="227" customWidth="1"/>
    <col min="2844" max="2844" width="14.140625" style="227" bestFit="1" customWidth="1"/>
    <col min="2845" max="2848" width="11.42578125" style="227" customWidth="1"/>
    <col min="2849" max="2850" width="14.5703125" style="227" customWidth="1"/>
    <col min="2851" max="2852" width="9.5703125" style="227" customWidth="1"/>
    <col min="2853" max="3070" width="1.85546875" style="227"/>
    <col min="3071" max="3071" width="0.140625" style="227" customWidth="1"/>
    <col min="3072" max="3072" width="0" style="227" hidden="1" customWidth="1"/>
    <col min="3073" max="3073" width="12" style="227" customWidth="1"/>
    <col min="3074" max="3074" width="47.7109375" style="227" customWidth="1"/>
    <col min="3075" max="3075" width="0.5703125" style="227" customWidth="1"/>
    <col min="3076" max="3076" width="12.85546875" style="227" customWidth="1"/>
    <col min="3077" max="3081" width="11.42578125" style="227" customWidth="1"/>
    <col min="3082" max="3083" width="14.5703125" style="227" customWidth="1"/>
    <col min="3084" max="3084" width="0.5703125" style="227" customWidth="1"/>
    <col min="3085" max="3085" width="12.85546875" style="227" customWidth="1"/>
    <col min="3086" max="3089" width="11.42578125" style="227" customWidth="1"/>
    <col min="3090" max="3091" width="14.5703125" style="227" customWidth="1"/>
    <col min="3092" max="3092" width="0.5703125" style="227" customWidth="1"/>
    <col min="3093" max="3093" width="14.140625" style="227" bestFit="1" customWidth="1"/>
    <col min="3094" max="3096" width="11.42578125" style="227" customWidth="1"/>
    <col min="3097" max="3098" width="14.5703125" style="227" customWidth="1"/>
    <col min="3099" max="3099" width="0.5703125" style="227" customWidth="1"/>
    <col min="3100" max="3100" width="14.140625" style="227" bestFit="1" customWidth="1"/>
    <col min="3101" max="3104" width="11.42578125" style="227" customWidth="1"/>
    <col min="3105" max="3106" width="14.5703125" style="227" customWidth="1"/>
    <col min="3107" max="3108" width="9.5703125" style="227" customWidth="1"/>
    <col min="3109" max="3326" width="1.85546875" style="227"/>
    <col min="3327" max="3327" width="0.140625" style="227" customWidth="1"/>
    <col min="3328" max="3328" width="0" style="227" hidden="1" customWidth="1"/>
    <col min="3329" max="3329" width="12" style="227" customWidth="1"/>
    <col min="3330" max="3330" width="47.7109375" style="227" customWidth="1"/>
    <col min="3331" max="3331" width="0.5703125" style="227" customWidth="1"/>
    <col min="3332" max="3332" width="12.85546875" style="227" customWidth="1"/>
    <col min="3333" max="3337" width="11.42578125" style="227" customWidth="1"/>
    <col min="3338" max="3339" width="14.5703125" style="227" customWidth="1"/>
    <col min="3340" max="3340" width="0.5703125" style="227" customWidth="1"/>
    <col min="3341" max="3341" width="12.85546875" style="227" customWidth="1"/>
    <col min="3342" max="3345" width="11.42578125" style="227" customWidth="1"/>
    <col min="3346" max="3347" width="14.5703125" style="227" customWidth="1"/>
    <col min="3348" max="3348" width="0.5703125" style="227" customWidth="1"/>
    <col min="3349" max="3349" width="14.140625" style="227" bestFit="1" customWidth="1"/>
    <col min="3350" max="3352" width="11.42578125" style="227" customWidth="1"/>
    <col min="3353" max="3354" width="14.5703125" style="227" customWidth="1"/>
    <col min="3355" max="3355" width="0.5703125" style="227" customWidth="1"/>
    <col min="3356" max="3356" width="14.140625" style="227" bestFit="1" customWidth="1"/>
    <col min="3357" max="3360" width="11.42578125" style="227" customWidth="1"/>
    <col min="3361" max="3362" width="14.5703125" style="227" customWidth="1"/>
    <col min="3363" max="3364" width="9.5703125" style="227" customWidth="1"/>
    <col min="3365" max="3582" width="1.85546875" style="227"/>
    <col min="3583" max="3583" width="0.140625" style="227" customWidth="1"/>
    <col min="3584" max="3584" width="0" style="227" hidden="1" customWidth="1"/>
    <col min="3585" max="3585" width="12" style="227" customWidth="1"/>
    <col min="3586" max="3586" width="47.7109375" style="227" customWidth="1"/>
    <col min="3587" max="3587" width="0.5703125" style="227" customWidth="1"/>
    <col min="3588" max="3588" width="12.85546875" style="227" customWidth="1"/>
    <col min="3589" max="3593" width="11.42578125" style="227" customWidth="1"/>
    <col min="3594" max="3595" width="14.5703125" style="227" customWidth="1"/>
    <col min="3596" max="3596" width="0.5703125" style="227" customWidth="1"/>
    <col min="3597" max="3597" width="12.85546875" style="227" customWidth="1"/>
    <col min="3598" max="3601" width="11.42578125" style="227" customWidth="1"/>
    <col min="3602" max="3603" width="14.5703125" style="227" customWidth="1"/>
    <col min="3604" max="3604" width="0.5703125" style="227" customWidth="1"/>
    <col min="3605" max="3605" width="14.140625" style="227" bestFit="1" customWidth="1"/>
    <col min="3606" max="3608" width="11.42578125" style="227" customWidth="1"/>
    <col min="3609" max="3610" width="14.5703125" style="227" customWidth="1"/>
    <col min="3611" max="3611" width="0.5703125" style="227" customWidth="1"/>
    <col min="3612" max="3612" width="14.140625" style="227" bestFit="1" customWidth="1"/>
    <col min="3613" max="3616" width="11.42578125" style="227" customWidth="1"/>
    <col min="3617" max="3618" width="14.5703125" style="227" customWidth="1"/>
    <col min="3619" max="3620" width="9.5703125" style="227" customWidth="1"/>
    <col min="3621" max="3838" width="1.85546875" style="227"/>
    <col min="3839" max="3839" width="0.140625" style="227" customWidth="1"/>
    <col min="3840" max="3840" width="0" style="227" hidden="1" customWidth="1"/>
    <col min="3841" max="3841" width="12" style="227" customWidth="1"/>
    <col min="3842" max="3842" width="47.7109375" style="227" customWidth="1"/>
    <col min="3843" max="3843" width="0.5703125" style="227" customWidth="1"/>
    <col min="3844" max="3844" width="12.85546875" style="227" customWidth="1"/>
    <col min="3845" max="3849" width="11.42578125" style="227" customWidth="1"/>
    <col min="3850" max="3851" width="14.5703125" style="227" customWidth="1"/>
    <col min="3852" max="3852" width="0.5703125" style="227" customWidth="1"/>
    <col min="3853" max="3853" width="12.85546875" style="227" customWidth="1"/>
    <col min="3854" max="3857" width="11.42578125" style="227" customWidth="1"/>
    <col min="3858" max="3859" width="14.5703125" style="227" customWidth="1"/>
    <col min="3860" max="3860" width="0.5703125" style="227" customWidth="1"/>
    <col min="3861" max="3861" width="14.140625" style="227" bestFit="1" customWidth="1"/>
    <col min="3862" max="3864" width="11.42578125" style="227" customWidth="1"/>
    <col min="3865" max="3866" width="14.5703125" style="227" customWidth="1"/>
    <col min="3867" max="3867" width="0.5703125" style="227" customWidth="1"/>
    <col min="3868" max="3868" width="14.140625" style="227" bestFit="1" customWidth="1"/>
    <col min="3869" max="3872" width="11.42578125" style="227" customWidth="1"/>
    <col min="3873" max="3874" width="14.5703125" style="227" customWidth="1"/>
    <col min="3875" max="3876" width="9.5703125" style="227" customWidth="1"/>
    <col min="3877" max="4094" width="1.85546875" style="227"/>
    <col min="4095" max="4095" width="0.140625" style="227" customWidth="1"/>
    <col min="4096" max="4096" width="0" style="227" hidden="1" customWidth="1"/>
    <col min="4097" max="4097" width="12" style="227" customWidth="1"/>
    <col min="4098" max="4098" width="47.7109375" style="227" customWidth="1"/>
    <col min="4099" max="4099" width="0.5703125" style="227" customWidth="1"/>
    <col min="4100" max="4100" width="12.85546875" style="227" customWidth="1"/>
    <col min="4101" max="4105" width="11.42578125" style="227" customWidth="1"/>
    <col min="4106" max="4107" width="14.5703125" style="227" customWidth="1"/>
    <col min="4108" max="4108" width="0.5703125" style="227" customWidth="1"/>
    <col min="4109" max="4109" width="12.85546875" style="227" customWidth="1"/>
    <col min="4110" max="4113" width="11.42578125" style="227" customWidth="1"/>
    <col min="4114" max="4115" width="14.5703125" style="227" customWidth="1"/>
    <col min="4116" max="4116" width="0.5703125" style="227" customWidth="1"/>
    <col min="4117" max="4117" width="14.140625" style="227" bestFit="1" customWidth="1"/>
    <col min="4118" max="4120" width="11.42578125" style="227" customWidth="1"/>
    <col min="4121" max="4122" width="14.5703125" style="227" customWidth="1"/>
    <col min="4123" max="4123" width="0.5703125" style="227" customWidth="1"/>
    <col min="4124" max="4124" width="14.140625" style="227" bestFit="1" customWidth="1"/>
    <col min="4125" max="4128" width="11.42578125" style="227" customWidth="1"/>
    <col min="4129" max="4130" width="14.5703125" style="227" customWidth="1"/>
    <col min="4131" max="4132" width="9.5703125" style="227" customWidth="1"/>
    <col min="4133" max="4350" width="1.85546875" style="227"/>
    <col min="4351" max="4351" width="0.140625" style="227" customWidth="1"/>
    <col min="4352" max="4352" width="0" style="227" hidden="1" customWidth="1"/>
    <col min="4353" max="4353" width="12" style="227" customWidth="1"/>
    <col min="4354" max="4354" width="47.7109375" style="227" customWidth="1"/>
    <col min="4355" max="4355" width="0.5703125" style="227" customWidth="1"/>
    <col min="4356" max="4356" width="12.85546875" style="227" customWidth="1"/>
    <col min="4357" max="4361" width="11.42578125" style="227" customWidth="1"/>
    <col min="4362" max="4363" width="14.5703125" style="227" customWidth="1"/>
    <col min="4364" max="4364" width="0.5703125" style="227" customWidth="1"/>
    <col min="4365" max="4365" width="12.85546875" style="227" customWidth="1"/>
    <col min="4366" max="4369" width="11.42578125" style="227" customWidth="1"/>
    <col min="4370" max="4371" width="14.5703125" style="227" customWidth="1"/>
    <col min="4372" max="4372" width="0.5703125" style="227" customWidth="1"/>
    <col min="4373" max="4373" width="14.140625" style="227" bestFit="1" customWidth="1"/>
    <col min="4374" max="4376" width="11.42578125" style="227" customWidth="1"/>
    <col min="4377" max="4378" width="14.5703125" style="227" customWidth="1"/>
    <col min="4379" max="4379" width="0.5703125" style="227" customWidth="1"/>
    <col min="4380" max="4380" width="14.140625" style="227" bestFit="1" customWidth="1"/>
    <col min="4381" max="4384" width="11.42578125" style="227" customWidth="1"/>
    <col min="4385" max="4386" width="14.5703125" style="227" customWidth="1"/>
    <col min="4387" max="4388" width="9.5703125" style="227" customWidth="1"/>
    <col min="4389" max="4606" width="1.85546875" style="227"/>
    <col min="4607" max="4607" width="0.140625" style="227" customWidth="1"/>
    <col min="4608" max="4608" width="0" style="227" hidden="1" customWidth="1"/>
    <col min="4609" max="4609" width="12" style="227" customWidth="1"/>
    <col min="4610" max="4610" width="47.7109375" style="227" customWidth="1"/>
    <col min="4611" max="4611" width="0.5703125" style="227" customWidth="1"/>
    <col min="4612" max="4612" width="12.85546875" style="227" customWidth="1"/>
    <col min="4613" max="4617" width="11.42578125" style="227" customWidth="1"/>
    <col min="4618" max="4619" width="14.5703125" style="227" customWidth="1"/>
    <col min="4620" max="4620" width="0.5703125" style="227" customWidth="1"/>
    <col min="4621" max="4621" width="12.85546875" style="227" customWidth="1"/>
    <col min="4622" max="4625" width="11.42578125" style="227" customWidth="1"/>
    <col min="4626" max="4627" width="14.5703125" style="227" customWidth="1"/>
    <col min="4628" max="4628" width="0.5703125" style="227" customWidth="1"/>
    <col min="4629" max="4629" width="14.140625" style="227" bestFit="1" customWidth="1"/>
    <col min="4630" max="4632" width="11.42578125" style="227" customWidth="1"/>
    <col min="4633" max="4634" width="14.5703125" style="227" customWidth="1"/>
    <col min="4635" max="4635" width="0.5703125" style="227" customWidth="1"/>
    <col min="4636" max="4636" width="14.140625" style="227" bestFit="1" customWidth="1"/>
    <col min="4637" max="4640" width="11.42578125" style="227" customWidth="1"/>
    <col min="4641" max="4642" width="14.5703125" style="227" customWidth="1"/>
    <col min="4643" max="4644" width="9.5703125" style="227" customWidth="1"/>
    <col min="4645" max="4862" width="1.85546875" style="227"/>
    <col min="4863" max="4863" width="0.140625" style="227" customWidth="1"/>
    <col min="4864" max="4864" width="0" style="227" hidden="1" customWidth="1"/>
    <col min="4865" max="4865" width="12" style="227" customWidth="1"/>
    <col min="4866" max="4866" width="47.7109375" style="227" customWidth="1"/>
    <col min="4867" max="4867" width="0.5703125" style="227" customWidth="1"/>
    <col min="4868" max="4868" width="12.85546875" style="227" customWidth="1"/>
    <col min="4869" max="4873" width="11.42578125" style="227" customWidth="1"/>
    <col min="4874" max="4875" width="14.5703125" style="227" customWidth="1"/>
    <col min="4876" max="4876" width="0.5703125" style="227" customWidth="1"/>
    <col min="4877" max="4877" width="12.85546875" style="227" customWidth="1"/>
    <col min="4878" max="4881" width="11.42578125" style="227" customWidth="1"/>
    <col min="4882" max="4883" width="14.5703125" style="227" customWidth="1"/>
    <col min="4884" max="4884" width="0.5703125" style="227" customWidth="1"/>
    <col min="4885" max="4885" width="14.140625" style="227" bestFit="1" customWidth="1"/>
    <col min="4886" max="4888" width="11.42578125" style="227" customWidth="1"/>
    <col min="4889" max="4890" width="14.5703125" style="227" customWidth="1"/>
    <col min="4891" max="4891" width="0.5703125" style="227" customWidth="1"/>
    <col min="4892" max="4892" width="14.140625" style="227" bestFit="1" customWidth="1"/>
    <col min="4893" max="4896" width="11.42578125" style="227" customWidth="1"/>
    <col min="4897" max="4898" width="14.5703125" style="227" customWidth="1"/>
    <col min="4899" max="4900" width="9.5703125" style="227" customWidth="1"/>
    <col min="4901" max="5118" width="1.85546875" style="227"/>
    <col min="5119" max="5119" width="0.140625" style="227" customWidth="1"/>
    <col min="5120" max="5120" width="0" style="227" hidden="1" customWidth="1"/>
    <col min="5121" max="5121" width="12" style="227" customWidth="1"/>
    <col min="5122" max="5122" width="47.7109375" style="227" customWidth="1"/>
    <col min="5123" max="5123" width="0.5703125" style="227" customWidth="1"/>
    <col min="5124" max="5124" width="12.85546875" style="227" customWidth="1"/>
    <col min="5125" max="5129" width="11.42578125" style="227" customWidth="1"/>
    <col min="5130" max="5131" width="14.5703125" style="227" customWidth="1"/>
    <col min="5132" max="5132" width="0.5703125" style="227" customWidth="1"/>
    <col min="5133" max="5133" width="12.85546875" style="227" customWidth="1"/>
    <col min="5134" max="5137" width="11.42578125" style="227" customWidth="1"/>
    <col min="5138" max="5139" width="14.5703125" style="227" customWidth="1"/>
    <col min="5140" max="5140" width="0.5703125" style="227" customWidth="1"/>
    <col min="5141" max="5141" width="14.140625" style="227" bestFit="1" customWidth="1"/>
    <col min="5142" max="5144" width="11.42578125" style="227" customWidth="1"/>
    <col min="5145" max="5146" width="14.5703125" style="227" customWidth="1"/>
    <col min="5147" max="5147" width="0.5703125" style="227" customWidth="1"/>
    <col min="5148" max="5148" width="14.140625" style="227" bestFit="1" customWidth="1"/>
    <col min="5149" max="5152" width="11.42578125" style="227" customWidth="1"/>
    <col min="5153" max="5154" width="14.5703125" style="227" customWidth="1"/>
    <col min="5155" max="5156" width="9.5703125" style="227" customWidth="1"/>
    <col min="5157" max="5374" width="1.85546875" style="227"/>
    <col min="5375" max="5375" width="0.140625" style="227" customWidth="1"/>
    <col min="5376" max="5376" width="0" style="227" hidden="1" customWidth="1"/>
    <col min="5377" max="5377" width="12" style="227" customWidth="1"/>
    <col min="5378" max="5378" width="47.7109375" style="227" customWidth="1"/>
    <col min="5379" max="5379" width="0.5703125" style="227" customWidth="1"/>
    <col min="5380" max="5380" width="12.85546875" style="227" customWidth="1"/>
    <col min="5381" max="5385" width="11.42578125" style="227" customWidth="1"/>
    <col min="5386" max="5387" width="14.5703125" style="227" customWidth="1"/>
    <col min="5388" max="5388" width="0.5703125" style="227" customWidth="1"/>
    <col min="5389" max="5389" width="12.85546875" style="227" customWidth="1"/>
    <col min="5390" max="5393" width="11.42578125" style="227" customWidth="1"/>
    <col min="5394" max="5395" width="14.5703125" style="227" customWidth="1"/>
    <col min="5396" max="5396" width="0.5703125" style="227" customWidth="1"/>
    <col min="5397" max="5397" width="14.140625" style="227" bestFit="1" customWidth="1"/>
    <col min="5398" max="5400" width="11.42578125" style="227" customWidth="1"/>
    <col min="5401" max="5402" width="14.5703125" style="227" customWidth="1"/>
    <col min="5403" max="5403" width="0.5703125" style="227" customWidth="1"/>
    <col min="5404" max="5404" width="14.140625" style="227" bestFit="1" customWidth="1"/>
    <col min="5405" max="5408" width="11.42578125" style="227" customWidth="1"/>
    <col min="5409" max="5410" width="14.5703125" style="227" customWidth="1"/>
    <col min="5411" max="5412" width="9.5703125" style="227" customWidth="1"/>
    <col min="5413" max="5630" width="1.85546875" style="227"/>
    <col min="5631" max="5631" width="0.140625" style="227" customWidth="1"/>
    <col min="5632" max="5632" width="0" style="227" hidden="1" customWidth="1"/>
    <col min="5633" max="5633" width="12" style="227" customWidth="1"/>
    <col min="5634" max="5634" width="47.7109375" style="227" customWidth="1"/>
    <col min="5635" max="5635" width="0.5703125" style="227" customWidth="1"/>
    <col min="5636" max="5636" width="12.85546875" style="227" customWidth="1"/>
    <col min="5637" max="5641" width="11.42578125" style="227" customWidth="1"/>
    <col min="5642" max="5643" width="14.5703125" style="227" customWidth="1"/>
    <col min="5644" max="5644" width="0.5703125" style="227" customWidth="1"/>
    <col min="5645" max="5645" width="12.85546875" style="227" customWidth="1"/>
    <col min="5646" max="5649" width="11.42578125" style="227" customWidth="1"/>
    <col min="5650" max="5651" width="14.5703125" style="227" customWidth="1"/>
    <col min="5652" max="5652" width="0.5703125" style="227" customWidth="1"/>
    <col min="5653" max="5653" width="14.140625" style="227" bestFit="1" customWidth="1"/>
    <col min="5654" max="5656" width="11.42578125" style="227" customWidth="1"/>
    <col min="5657" max="5658" width="14.5703125" style="227" customWidth="1"/>
    <col min="5659" max="5659" width="0.5703125" style="227" customWidth="1"/>
    <col min="5660" max="5660" width="14.140625" style="227" bestFit="1" customWidth="1"/>
    <col min="5661" max="5664" width="11.42578125" style="227" customWidth="1"/>
    <col min="5665" max="5666" width="14.5703125" style="227" customWidth="1"/>
    <col min="5667" max="5668" width="9.5703125" style="227" customWidth="1"/>
    <col min="5669" max="5886" width="1.85546875" style="227"/>
    <col min="5887" max="5887" width="0.140625" style="227" customWidth="1"/>
    <col min="5888" max="5888" width="0" style="227" hidden="1" customWidth="1"/>
    <col min="5889" max="5889" width="12" style="227" customWidth="1"/>
    <col min="5890" max="5890" width="47.7109375" style="227" customWidth="1"/>
    <col min="5891" max="5891" width="0.5703125" style="227" customWidth="1"/>
    <col min="5892" max="5892" width="12.85546875" style="227" customWidth="1"/>
    <col min="5893" max="5897" width="11.42578125" style="227" customWidth="1"/>
    <col min="5898" max="5899" width="14.5703125" style="227" customWidth="1"/>
    <col min="5900" max="5900" width="0.5703125" style="227" customWidth="1"/>
    <col min="5901" max="5901" width="12.85546875" style="227" customWidth="1"/>
    <col min="5902" max="5905" width="11.42578125" style="227" customWidth="1"/>
    <col min="5906" max="5907" width="14.5703125" style="227" customWidth="1"/>
    <col min="5908" max="5908" width="0.5703125" style="227" customWidth="1"/>
    <col min="5909" max="5909" width="14.140625" style="227" bestFit="1" customWidth="1"/>
    <col min="5910" max="5912" width="11.42578125" style="227" customWidth="1"/>
    <col min="5913" max="5914" width="14.5703125" style="227" customWidth="1"/>
    <col min="5915" max="5915" width="0.5703125" style="227" customWidth="1"/>
    <col min="5916" max="5916" width="14.140625" style="227" bestFit="1" customWidth="1"/>
    <col min="5917" max="5920" width="11.42578125" style="227" customWidth="1"/>
    <col min="5921" max="5922" width="14.5703125" style="227" customWidth="1"/>
    <col min="5923" max="5924" width="9.5703125" style="227" customWidth="1"/>
    <col min="5925" max="6142" width="1.85546875" style="227"/>
    <col min="6143" max="6143" width="0.140625" style="227" customWidth="1"/>
    <col min="6144" max="6144" width="0" style="227" hidden="1" customWidth="1"/>
    <col min="6145" max="6145" width="12" style="227" customWidth="1"/>
    <col min="6146" max="6146" width="47.7109375" style="227" customWidth="1"/>
    <col min="6147" max="6147" width="0.5703125" style="227" customWidth="1"/>
    <col min="6148" max="6148" width="12.85546875" style="227" customWidth="1"/>
    <col min="6149" max="6153" width="11.42578125" style="227" customWidth="1"/>
    <col min="6154" max="6155" width="14.5703125" style="227" customWidth="1"/>
    <col min="6156" max="6156" width="0.5703125" style="227" customWidth="1"/>
    <col min="6157" max="6157" width="12.85546875" style="227" customWidth="1"/>
    <col min="6158" max="6161" width="11.42578125" style="227" customWidth="1"/>
    <col min="6162" max="6163" width="14.5703125" style="227" customWidth="1"/>
    <col min="6164" max="6164" width="0.5703125" style="227" customWidth="1"/>
    <col min="6165" max="6165" width="14.140625" style="227" bestFit="1" customWidth="1"/>
    <col min="6166" max="6168" width="11.42578125" style="227" customWidth="1"/>
    <col min="6169" max="6170" width="14.5703125" style="227" customWidth="1"/>
    <col min="6171" max="6171" width="0.5703125" style="227" customWidth="1"/>
    <col min="6172" max="6172" width="14.140625" style="227" bestFit="1" customWidth="1"/>
    <col min="6173" max="6176" width="11.42578125" style="227" customWidth="1"/>
    <col min="6177" max="6178" width="14.5703125" style="227" customWidth="1"/>
    <col min="6179" max="6180" width="9.5703125" style="227" customWidth="1"/>
    <col min="6181" max="6398" width="1.85546875" style="227"/>
    <col min="6399" max="6399" width="0.140625" style="227" customWidth="1"/>
    <col min="6400" max="6400" width="0" style="227" hidden="1" customWidth="1"/>
    <col min="6401" max="6401" width="12" style="227" customWidth="1"/>
    <col min="6402" max="6402" width="47.7109375" style="227" customWidth="1"/>
    <col min="6403" max="6403" width="0.5703125" style="227" customWidth="1"/>
    <col min="6404" max="6404" width="12.85546875" style="227" customWidth="1"/>
    <col min="6405" max="6409" width="11.42578125" style="227" customWidth="1"/>
    <col min="6410" max="6411" width="14.5703125" style="227" customWidth="1"/>
    <col min="6412" max="6412" width="0.5703125" style="227" customWidth="1"/>
    <col min="6413" max="6413" width="12.85546875" style="227" customWidth="1"/>
    <col min="6414" max="6417" width="11.42578125" style="227" customWidth="1"/>
    <col min="6418" max="6419" width="14.5703125" style="227" customWidth="1"/>
    <col min="6420" max="6420" width="0.5703125" style="227" customWidth="1"/>
    <col min="6421" max="6421" width="14.140625" style="227" bestFit="1" customWidth="1"/>
    <col min="6422" max="6424" width="11.42578125" style="227" customWidth="1"/>
    <col min="6425" max="6426" width="14.5703125" style="227" customWidth="1"/>
    <col min="6427" max="6427" width="0.5703125" style="227" customWidth="1"/>
    <col min="6428" max="6428" width="14.140625" style="227" bestFit="1" customWidth="1"/>
    <col min="6429" max="6432" width="11.42578125" style="227" customWidth="1"/>
    <col min="6433" max="6434" width="14.5703125" style="227" customWidth="1"/>
    <col min="6435" max="6436" width="9.5703125" style="227" customWidth="1"/>
    <col min="6437" max="6654" width="1.85546875" style="227"/>
    <col min="6655" max="6655" width="0.140625" style="227" customWidth="1"/>
    <col min="6656" max="6656" width="0" style="227" hidden="1" customWidth="1"/>
    <col min="6657" max="6657" width="12" style="227" customWidth="1"/>
    <col min="6658" max="6658" width="47.7109375" style="227" customWidth="1"/>
    <col min="6659" max="6659" width="0.5703125" style="227" customWidth="1"/>
    <col min="6660" max="6660" width="12.85546875" style="227" customWidth="1"/>
    <col min="6661" max="6665" width="11.42578125" style="227" customWidth="1"/>
    <col min="6666" max="6667" width="14.5703125" style="227" customWidth="1"/>
    <col min="6668" max="6668" width="0.5703125" style="227" customWidth="1"/>
    <col min="6669" max="6669" width="12.85546875" style="227" customWidth="1"/>
    <col min="6670" max="6673" width="11.42578125" style="227" customWidth="1"/>
    <col min="6674" max="6675" width="14.5703125" style="227" customWidth="1"/>
    <col min="6676" max="6676" width="0.5703125" style="227" customWidth="1"/>
    <col min="6677" max="6677" width="14.140625" style="227" bestFit="1" customWidth="1"/>
    <col min="6678" max="6680" width="11.42578125" style="227" customWidth="1"/>
    <col min="6681" max="6682" width="14.5703125" style="227" customWidth="1"/>
    <col min="6683" max="6683" width="0.5703125" style="227" customWidth="1"/>
    <col min="6684" max="6684" width="14.140625" style="227" bestFit="1" customWidth="1"/>
    <col min="6685" max="6688" width="11.42578125" style="227" customWidth="1"/>
    <col min="6689" max="6690" width="14.5703125" style="227" customWidth="1"/>
    <col min="6691" max="6692" width="9.5703125" style="227" customWidth="1"/>
    <col min="6693" max="6910" width="1.85546875" style="227"/>
    <col min="6911" max="6911" width="0.140625" style="227" customWidth="1"/>
    <col min="6912" max="6912" width="0" style="227" hidden="1" customWidth="1"/>
    <col min="6913" max="6913" width="12" style="227" customWidth="1"/>
    <col min="6914" max="6914" width="47.7109375" style="227" customWidth="1"/>
    <col min="6915" max="6915" width="0.5703125" style="227" customWidth="1"/>
    <col min="6916" max="6916" width="12.85546875" style="227" customWidth="1"/>
    <col min="6917" max="6921" width="11.42578125" style="227" customWidth="1"/>
    <col min="6922" max="6923" width="14.5703125" style="227" customWidth="1"/>
    <col min="6924" max="6924" width="0.5703125" style="227" customWidth="1"/>
    <col min="6925" max="6925" width="12.85546875" style="227" customWidth="1"/>
    <col min="6926" max="6929" width="11.42578125" style="227" customWidth="1"/>
    <col min="6930" max="6931" width="14.5703125" style="227" customWidth="1"/>
    <col min="6932" max="6932" width="0.5703125" style="227" customWidth="1"/>
    <col min="6933" max="6933" width="14.140625" style="227" bestFit="1" customWidth="1"/>
    <col min="6934" max="6936" width="11.42578125" style="227" customWidth="1"/>
    <col min="6937" max="6938" width="14.5703125" style="227" customWidth="1"/>
    <col min="6939" max="6939" width="0.5703125" style="227" customWidth="1"/>
    <col min="6940" max="6940" width="14.140625" style="227" bestFit="1" customWidth="1"/>
    <col min="6941" max="6944" width="11.42578125" style="227" customWidth="1"/>
    <col min="6945" max="6946" width="14.5703125" style="227" customWidth="1"/>
    <col min="6947" max="6948" width="9.5703125" style="227" customWidth="1"/>
    <col min="6949" max="7166" width="1.85546875" style="227"/>
    <col min="7167" max="7167" width="0.140625" style="227" customWidth="1"/>
    <col min="7168" max="7168" width="0" style="227" hidden="1" customWidth="1"/>
    <col min="7169" max="7169" width="12" style="227" customWidth="1"/>
    <col min="7170" max="7170" width="47.7109375" style="227" customWidth="1"/>
    <col min="7171" max="7171" width="0.5703125" style="227" customWidth="1"/>
    <col min="7172" max="7172" width="12.85546875" style="227" customWidth="1"/>
    <col min="7173" max="7177" width="11.42578125" style="227" customWidth="1"/>
    <col min="7178" max="7179" width="14.5703125" style="227" customWidth="1"/>
    <col min="7180" max="7180" width="0.5703125" style="227" customWidth="1"/>
    <col min="7181" max="7181" width="12.85546875" style="227" customWidth="1"/>
    <col min="7182" max="7185" width="11.42578125" style="227" customWidth="1"/>
    <col min="7186" max="7187" width="14.5703125" style="227" customWidth="1"/>
    <col min="7188" max="7188" width="0.5703125" style="227" customWidth="1"/>
    <col min="7189" max="7189" width="14.140625" style="227" bestFit="1" customWidth="1"/>
    <col min="7190" max="7192" width="11.42578125" style="227" customWidth="1"/>
    <col min="7193" max="7194" width="14.5703125" style="227" customWidth="1"/>
    <col min="7195" max="7195" width="0.5703125" style="227" customWidth="1"/>
    <col min="7196" max="7196" width="14.140625" style="227" bestFit="1" customWidth="1"/>
    <col min="7197" max="7200" width="11.42578125" style="227" customWidth="1"/>
    <col min="7201" max="7202" width="14.5703125" style="227" customWidth="1"/>
    <col min="7203" max="7204" width="9.5703125" style="227" customWidth="1"/>
    <col min="7205" max="7422" width="1.85546875" style="227"/>
    <col min="7423" max="7423" width="0.140625" style="227" customWidth="1"/>
    <col min="7424" max="7424" width="0" style="227" hidden="1" customWidth="1"/>
    <col min="7425" max="7425" width="12" style="227" customWidth="1"/>
    <col min="7426" max="7426" width="47.7109375" style="227" customWidth="1"/>
    <col min="7427" max="7427" width="0.5703125" style="227" customWidth="1"/>
    <col min="7428" max="7428" width="12.85546875" style="227" customWidth="1"/>
    <col min="7429" max="7433" width="11.42578125" style="227" customWidth="1"/>
    <col min="7434" max="7435" width="14.5703125" style="227" customWidth="1"/>
    <col min="7436" max="7436" width="0.5703125" style="227" customWidth="1"/>
    <col min="7437" max="7437" width="12.85546875" style="227" customWidth="1"/>
    <col min="7438" max="7441" width="11.42578125" style="227" customWidth="1"/>
    <col min="7442" max="7443" width="14.5703125" style="227" customWidth="1"/>
    <col min="7444" max="7444" width="0.5703125" style="227" customWidth="1"/>
    <col min="7445" max="7445" width="14.140625" style="227" bestFit="1" customWidth="1"/>
    <col min="7446" max="7448" width="11.42578125" style="227" customWidth="1"/>
    <col min="7449" max="7450" width="14.5703125" style="227" customWidth="1"/>
    <col min="7451" max="7451" width="0.5703125" style="227" customWidth="1"/>
    <col min="7452" max="7452" width="14.140625" style="227" bestFit="1" customWidth="1"/>
    <col min="7453" max="7456" width="11.42578125" style="227" customWidth="1"/>
    <col min="7457" max="7458" width="14.5703125" style="227" customWidth="1"/>
    <col min="7459" max="7460" width="9.5703125" style="227" customWidth="1"/>
    <col min="7461" max="7678" width="1.85546875" style="227"/>
    <col min="7679" max="7679" width="0.140625" style="227" customWidth="1"/>
    <col min="7680" max="7680" width="0" style="227" hidden="1" customWidth="1"/>
    <col min="7681" max="7681" width="12" style="227" customWidth="1"/>
    <col min="7682" max="7682" width="47.7109375" style="227" customWidth="1"/>
    <col min="7683" max="7683" width="0.5703125" style="227" customWidth="1"/>
    <col min="7684" max="7684" width="12.85546875" style="227" customWidth="1"/>
    <col min="7685" max="7689" width="11.42578125" style="227" customWidth="1"/>
    <col min="7690" max="7691" width="14.5703125" style="227" customWidth="1"/>
    <col min="7692" max="7692" width="0.5703125" style="227" customWidth="1"/>
    <col min="7693" max="7693" width="12.85546875" style="227" customWidth="1"/>
    <col min="7694" max="7697" width="11.42578125" style="227" customWidth="1"/>
    <col min="7698" max="7699" width="14.5703125" style="227" customWidth="1"/>
    <col min="7700" max="7700" width="0.5703125" style="227" customWidth="1"/>
    <col min="7701" max="7701" width="14.140625" style="227" bestFit="1" customWidth="1"/>
    <col min="7702" max="7704" width="11.42578125" style="227" customWidth="1"/>
    <col min="7705" max="7706" width="14.5703125" style="227" customWidth="1"/>
    <col min="7707" max="7707" width="0.5703125" style="227" customWidth="1"/>
    <col min="7708" max="7708" width="14.140625" style="227" bestFit="1" customWidth="1"/>
    <col min="7709" max="7712" width="11.42578125" style="227" customWidth="1"/>
    <col min="7713" max="7714" width="14.5703125" style="227" customWidth="1"/>
    <col min="7715" max="7716" width="9.5703125" style="227" customWidth="1"/>
    <col min="7717" max="7934" width="1.85546875" style="227"/>
    <col min="7935" max="7935" width="0.140625" style="227" customWidth="1"/>
    <col min="7936" max="7936" width="0" style="227" hidden="1" customWidth="1"/>
    <col min="7937" max="7937" width="12" style="227" customWidth="1"/>
    <col min="7938" max="7938" width="47.7109375" style="227" customWidth="1"/>
    <col min="7939" max="7939" width="0.5703125" style="227" customWidth="1"/>
    <col min="7940" max="7940" width="12.85546875" style="227" customWidth="1"/>
    <col min="7941" max="7945" width="11.42578125" style="227" customWidth="1"/>
    <col min="7946" max="7947" width="14.5703125" style="227" customWidth="1"/>
    <col min="7948" max="7948" width="0.5703125" style="227" customWidth="1"/>
    <col min="7949" max="7949" width="12.85546875" style="227" customWidth="1"/>
    <col min="7950" max="7953" width="11.42578125" style="227" customWidth="1"/>
    <col min="7954" max="7955" width="14.5703125" style="227" customWidth="1"/>
    <col min="7956" max="7956" width="0.5703125" style="227" customWidth="1"/>
    <col min="7957" max="7957" width="14.140625" style="227" bestFit="1" customWidth="1"/>
    <col min="7958" max="7960" width="11.42578125" style="227" customWidth="1"/>
    <col min="7961" max="7962" width="14.5703125" style="227" customWidth="1"/>
    <col min="7963" max="7963" width="0.5703125" style="227" customWidth="1"/>
    <col min="7964" max="7964" width="14.140625" style="227" bestFit="1" customWidth="1"/>
    <col min="7965" max="7968" width="11.42578125" style="227" customWidth="1"/>
    <col min="7969" max="7970" width="14.5703125" style="227" customWidth="1"/>
    <col min="7971" max="7972" width="9.5703125" style="227" customWidth="1"/>
    <col min="7973" max="8190" width="1.85546875" style="227"/>
    <col min="8191" max="8191" width="0.140625" style="227" customWidth="1"/>
    <col min="8192" max="8192" width="0" style="227" hidden="1" customWidth="1"/>
    <col min="8193" max="8193" width="12" style="227" customWidth="1"/>
    <col min="8194" max="8194" width="47.7109375" style="227" customWidth="1"/>
    <col min="8195" max="8195" width="0.5703125" style="227" customWidth="1"/>
    <col min="8196" max="8196" width="12.85546875" style="227" customWidth="1"/>
    <col min="8197" max="8201" width="11.42578125" style="227" customWidth="1"/>
    <col min="8202" max="8203" width="14.5703125" style="227" customWidth="1"/>
    <col min="8204" max="8204" width="0.5703125" style="227" customWidth="1"/>
    <col min="8205" max="8205" width="12.85546875" style="227" customWidth="1"/>
    <col min="8206" max="8209" width="11.42578125" style="227" customWidth="1"/>
    <col min="8210" max="8211" width="14.5703125" style="227" customWidth="1"/>
    <col min="8212" max="8212" width="0.5703125" style="227" customWidth="1"/>
    <col min="8213" max="8213" width="14.140625" style="227" bestFit="1" customWidth="1"/>
    <col min="8214" max="8216" width="11.42578125" style="227" customWidth="1"/>
    <col min="8217" max="8218" width="14.5703125" style="227" customWidth="1"/>
    <col min="8219" max="8219" width="0.5703125" style="227" customWidth="1"/>
    <col min="8220" max="8220" width="14.140625" style="227" bestFit="1" customWidth="1"/>
    <col min="8221" max="8224" width="11.42578125" style="227" customWidth="1"/>
    <col min="8225" max="8226" width="14.5703125" style="227" customWidth="1"/>
    <col min="8227" max="8228" width="9.5703125" style="227" customWidth="1"/>
    <col min="8229" max="8446" width="1.85546875" style="227"/>
    <col min="8447" max="8447" width="0.140625" style="227" customWidth="1"/>
    <col min="8448" max="8448" width="0" style="227" hidden="1" customWidth="1"/>
    <col min="8449" max="8449" width="12" style="227" customWidth="1"/>
    <col min="8450" max="8450" width="47.7109375" style="227" customWidth="1"/>
    <col min="8451" max="8451" width="0.5703125" style="227" customWidth="1"/>
    <col min="8452" max="8452" width="12.85546875" style="227" customWidth="1"/>
    <col min="8453" max="8457" width="11.42578125" style="227" customWidth="1"/>
    <col min="8458" max="8459" width="14.5703125" style="227" customWidth="1"/>
    <col min="8460" max="8460" width="0.5703125" style="227" customWidth="1"/>
    <col min="8461" max="8461" width="12.85546875" style="227" customWidth="1"/>
    <col min="8462" max="8465" width="11.42578125" style="227" customWidth="1"/>
    <col min="8466" max="8467" width="14.5703125" style="227" customWidth="1"/>
    <col min="8468" max="8468" width="0.5703125" style="227" customWidth="1"/>
    <col min="8469" max="8469" width="14.140625" style="227" bestFit="1" customWidth="1"/>
    <col min="8470" max="8472" width="11.42578125" style="227" customWidth="1"/>
    <col min="8473" max="8474" width="14.5703125" style="227" customWidth="1"/>
    <col min="8475" max="8475" width="0.5703125" style="227" customWidth="1"/>
    <col min="8476" max="8476" width="14.140625" style="227" bestFit="1" customWidth="1"/>
    <col min="8477" max="8480" width="11.42578125" style="227" customWidth="1"/>
    <col min="8481" max="8482" width="14.5703125" style="227" customWidth="1"/>
    <col min="8483" max="8484" width="9.5703125" style="227" customWidth="1"/>
    <col min="8485" max="8702" width="1.85546875" style="227"/>
    <col min="8703" max="8703" width="0.140625" style="227" customWidth="1"/>
    <col min="8704" max="8704" width="0" style="227" hidden="1" customWidth="1"/>
    <col min="8705" max="8705" width="12" style="227" customWidth="1"/>
    <col min="8706" max="8706" width="47.7109375" style="227" customWidth="1"/>
    <col min="8707" max="8707" width="0.5703125" style="227" customWidth="1"/>
    <col min="8708" max="8708" width="12.85546875" style="227" customWidth="1"/>
    <col min="8709" max="8713" width="11.42578125" style="227" customWidth="1"/>
    <col min="8714" max="8715" width="14.5703125" style="227" customWidth="1"/>
    <col min="8716" max="8716" width="0.5703125" style="227" customWidth="1"/>
    <col min="8717" max="8717" width="12.85546875" style="227" customWidth="1"/>
    <col min="8718" max="8721" width="11.42578125" style="227" customWidth="1"/>
    <col min="8722" max="8723" width="14.5703125" style="227" customWidth="1"/>
    <col min="8724" max="8724" width="0.5703125" style="227" customWidth="1"/>
    <col min="8725" max="8725" width="14.140625" style="227" bestFit="1" customWidth="1"/>
    <col min="8726" max="8728" width="11.42578125" style="227" customWidth="1"/>
    <col min="8729" max="8730" width="14.5703125" style="227" customWidth="1"/>
    <col min="8731" max="8731" width="0.5703125" style="227" customWidth="1"/>
    <col min="8732" max="8732" width="14.140625" style="227" bestFit="1" customWidth="1"/>
    <col min="8733" max="8736" width="11.42578125" style="227" customWidth="1"/>
    <col min="8737" max="8738" width="14.5703125" style="227" customWidth="1"/>
    <col min="8739" max="8740" width="9.5703125" style="227" customWidth="1"/>
    <col min="8741" max="8958" width="1.85546875" style="227"/>
    <col min="8959" max="8959" width="0.140625" style="227" customWidth="1"/>
    <col min="8960" max="8960" width="0" style="227" hidden="1" customWidth="1"/>
    <col min="8961" max="8961" width="12" style="227" customWidth="1"/>
    <col min="8962" max="8962" width="47.7109375" style="227" customWidth="1"/>
    <col min="8963" max="8963" width="0.5703125" style="227" customWidth="1"/>
    <col min="8964" max="8964" width="12.85546875" style="227" customWidth="1"/>
    <col min="8965" max="8969" width="11.42578125" style="227" customWidth="1"/>
    <col min="8970" max="8971" width="14.5703125" style="227" customWidth="1"/>
    <col min="8972" max="8972" width="0.5703125" style="227" customWidth="1"/>
    <col min="8973" max="8973" width="12.85546875" style="227" customWidth="1"/>
    <col min="8974" max="8977" width="11.42578125" style="227" customWidth="1"/>
    <col min="8978" max="8979" width="14.5703125" style="227" customWidth="1"/>
    <col min="8980" max="8980" width="0.5703125" style="227" customWidth="1"/>
    <col min="8981" max="8981" width="14.140625" style="227" bestFit="1" customWidth="1"/>
    <col min="8982" max="8984" width="11.42578125" style="227" customWidth="1"/>
    <col min="8985" max="8986" width="14.5703125" style="227" customWidth="1"/>
    <col min="8987" max="8987" width="0.5703125" style="227" customWidth="1"/>
    <col min="8988" max="8988" width="14.140625" style="227" bestFit="1" customWidth="1"/>
    <col min="8989" max="8992" width="11.42578125" style="227" customWidth="1"/>
    <col min="8993" max="8994" width="14.5703125" style="227" customWidth="1"/>
    <col min="8995" max="8996" width="9.5703125" style="227" customWidth="1"/>
    <col min="8997" max="9214" width="1.85546875" style="227"/>
    <col min="9215" max="9215" width="0.140625" style="227" customWidth="1"/>
    <col min="9216" max="9216" width="0" style="227" hidden="1" customWidth="1"/>
    <col min="9217" max="9217" width="12" style="227" customWidth="1"/>
    <col min="9218" max="9218" width="47.7109375" style="227" customWidth="1"/>
    <col min="9219" max="9219" width="0.5703125" style="227" customWidth="1"/>
    <col min="9220" max="9220" width="12.85546875" style="227" customWidth="1"/>
    <col min="9221" max="9225" width="11.42578125" style="227" customWidth="1"/>
    <col min="9226" max="9227" width="14.5703125" style="227" customWidth="1"/>
    <col min="9228" max="9228" width="0.5703125" style="227" customWidth="1"/>
    <col min="9229" max="9229" width="12.85546875" style="227" customWidth="1"/>
    <col min="9230" max="9233" width="11.42578125" style="227" customWidth="1"/>
    <col min="9234" max="9235" width="14.5703125" style="227" customWidth="1"/>
    <col min="9236" max="9236" width="0.5703125" style="227" customWidth="1"/>
    <col min="9237" max="9237" width="14.140625" style="227" bestFit="1" customWidth="1"/>
    <col min="9238" max="9240" width="11.42578125" style="227" customWidth="1"/>
    <col min="9241" max="9242" width="14.5703125" style="227" customWidth="1"/>
    <col min="9243" max="9243" width="0.5703125" style="227" customWidth="1"/>
    <col min="9244" max="9244" width="14.140625" style="227" bestFit="1" customWidth="1"/>
    <col min="9245" max="9248" width="11.42578125" style="227" customWidth="1"/>
    <col min="9249" max="9250" width="14.5703125" style="227" customWidth="1"/>
    <col min="9251" max="9252" width="9.5703125" style="227" customWidth="1"/>
    <col min="9253" max="9470" width="1.85546875" style="227"/>
    <col min="9471" max="9471" width="0.140625" style="227" customWidth="1"/>
    <col min="9472" max="9472" width="0" style="227" hidden="1" customWidth="1"/>
    <col min="9473" max="9473" width="12" style="227" customWidth="1"/>
    <col min="9474" max="9474" width="47.7109375" style="227" customWidth="1"/>
    <col min="9475" max="9475" width="0.5703125" style="227" customWidth="1"/>
    <col min="9476" max="9476" width="12.85546875" style="227" customWidth="1"/>
    <col min="9477" max="9481" width="11.42578125" style="227" customWidth="1"/>
    <col min="9482" max="9483" width="14.5703125" style="227" customWidth="1"/>
    <col min="9484" max="9484" width="0.5703125" style="227" customWidth="1"/>
    <col min="9485" max="9485" width="12.85546875" style="227" customWidth="1"/>
    <col min="9486" max="9489" width="11.42578125" style="227" customWidth="1"/>
    <col min="9490" max="9491" width="14.5703125" style="227" customWidth="1"/>
    <col min="9492" max="9492" width="0.5703125" style="227" customWidth="1"/>
    <col min="9493" max="9493" width="14.140625" style="227" bestFit="1" customWidth="1"/>
    <col min="9494" max="9496" width="11.42578125" style="227" customWidth="1"/>
    <col min="9497" max="9498" width="14.5703125" style="227" customWidth="1"/>
    <col min="9499" max="9499" width="0.5703125" style="227" customWidth="1"/>
    <col min="9500" max="9500" width="14.140625" style="227" bestFit="1" customWidth="1"/>
    <col min="9501" max="9504" width="11.42578125" style="227" customWidth="1"/>
    <col min="9505" max="9506" width="14.5703125" style="227" customWidth="1"/>
    <col min="9507" max="9508" width="9.5703125" style="227" customWidth="1"/>
    <col min="9509" max="9726" width="1.85546875" style="227"/>
    <col min="9727" max="9727" width="0.140625" style="227" customWidth="1"/>
    <col min="9728" max="9728" width="0" style="227" hidden="1" customWidth="1"/>
    <col min="9729" max="9729" width="12" style="227" customWidth="1"/>
    <col min="9730" max="9730" width="47.7109375" style="227" customWidth="1"/>
    <col min="9731" max="9731" width="0.5703125" style="227" customWidth="1"/>
    <col min="9732" max="9732" width="12.85546875" style="227" customWidth="1"/>
    <col min="9733" max="9737" width="11.42578125" style="227" customWidth="1"/>
    <col min="9738" max="9739" width="14.5703125" style="227" customWidth="1"/>
    <col min="9740" max="9740" width="0.5703125" style="227" customWidth="1"/>
    <col min="9741" max="9741" width="12.85546875" style="227" customWidth="1"/>
    <col min="9742" max="9745" width="11.42578125" style="227" customWidth="1"/>
    <col min="9746" max="9747" width="14.5703125" style="227" customWidth="1"/>
    <col min="9748" max="9748" width="0.5703125" style="227" customWidth="1"/>
    <col min="9749" max="9749" width="14.140625" style="227" bestFit="1" customWidth="1"/>
    <col min="9750" max="9752" width="11.42578125" style="227" customWidth="1"/>
    <col min="9753" max="9754" width="14.5703125" style="227" customWidth="1"/>
    <col min="9755" max="9755" width="0.5703125" style="227" customWidth="1"/>
    <col min="9756" max="9756" width="14.140625" style="227" bestFit="1" customWidth="1"/>
    <col min="9757" max="9760" width="11.42578125" style="227" customWidth="1"/>
    <col min="9761" max="9762" width="14.5703125" style="227" customWidth="1"/>
    <col min="9763" max="9764" width="9.5703125" style="227" customWidth="1"/>
    <col min="9765" max="9982" width="1.85546875" style="227"/>
    <col min="9983" max="9983" width="0.140625" style="227" customWidth="1"/>
    <col min="9984" max="9984" width="0" style="227" hidden="1" customWidth="1"/>
    <col min="9985" max="9985" width="12" style="227" customWidth="1"/>
    <col min="9986" max="9986" width="47.7109375" style="227" customWidth="1"/>
    <col min="9987" max="9987" width="0.5703125" style="227" customWidth="1"/>
    <col min="9988" max="9988" width="12.85546875" style="227" customWidth="1"/>
    <col min="9989" max="9993" width="11.42578125" style="227" customWidth="1"/>
    <col min="9994" max="9995" width="14.5703125" style="227" customWidth="1"/>
    <col min="9996" max="9996" width="0.5703125" style="227" customWidth="1"/>
    <col min="9997" max="9997" width="12.85546875" style="227" customWidth="1"/>
    <col min="9998" max="10001" width="11.42578125" style="227" customWidth="1"/>
    <col min="10002" max="10003" width="14.5703125" style="227" customWidth="1"/>
    <col min="10004" max="10004" width="0.5703125" style="227" customWidth="1"/>
    <col min="10005" max="10005" width="14.140625" style="227" bestFit="1" customWidth="1"/>
    <col min="10006" max="10008" width="11.42578125" style="227" customWidth="1"/>
    <col min="10009" max="10010" width="14.5703125" style="227" customWidth="1"/>
    <col min="10011" max="10011" width="0.5703125" style="227" customWidth="1"/>
    <col min="10012" max="10012" width="14.140625" style="227" bestFit="1" customWidth="1"/>
    <col min="10013" max="10016" width="11.42578125" style="227" customWidth="1"/>
    <col min="10017" max="10018" width="14.5703125" style="227" customWidth="1"/>
    <col min="10019" max="10020" width="9.5703125" style="227" customWidth="1"/>
    <col min="10021" max="10238" width="1.85546875" style="227"/>
    <col min="10239" max="10239" width="0.140625" style="227" customWidth="1"/>
    <col min="10240" max="10240" width="0" style="227" hidden="1" customWidth="1"/>
    <col min="10241" max="10241" width="12" style="227" customWidth="1"/>
    <col min="10242" max="10242" width="47.7109375" style="227" customWidth="1"/>
    <col min="10243" max="10243" width="0.5703125" style="227" customWidth="1"/>
    <col min="10244" max="10244" width="12.85546875" style="227" customWidth="1"/>
    <col min="10245" max="10249" width="11.42578125" style="227" customWidth="1"/>
    <col min="10250" max="10251" width="14.5703125" style="227" customWidth="1"/>
    <col min="10252" max="10252" width="0.5703125" style="227" customWidth="1"/>
    <col min="10253" max="10253" width="12.85546875" style="227" customWidth="1"/>
    <col min="10254" max="10257" width="11.42578125" style="227" customWidth="1"/>
    <col min="10258" max="10259" width="14.5703125" style="227" customWidth="1"/>
    <col min="10260" max="10260" width="0.5703125" style="227" customWidth="1"/>
    <col min="10261" max="10261" width="14.140625" style="227" bestFit="1" customWidth="1"/>
    <col min="10262" max="10264" width="11.42578125" style="227" customWidth="1"/>
    <col min="10265" max="10266" width="14.5703125" style="227" customWidth="1"/>
    <col min="10267" max="10267" width="0.5703125" style="227" customWidth="1"/>
    <col min="10268" max="10268" width="14.140625" style="227" bestFit="1" customWidth="1"/>
    <col min="10269" max="10272" width="11.42578125" style="227" customWidth="1"/>
    <col min="10273" max="10274" width="14.5703125" style="227" customWidth="1"/>
    <col min="10275" max="10276" width="9.5703125" style="227" customWidth="1"/>
    <col min="10277" max="10494" width="1.85546875" style="227"/>
    <col min="10495" max="10495" width="0.140625" style="227" customWidth="1"/>
    <col min="10496" max="10496" width="0" style="227" hidden="1" customWidth="1"/>
    <col min="10497" max="10497" width="12" style="227" customWidth="1"/>
    <col min="10498" max="10498" width="47.7109375" style="227" customWidth="1"/>
    <col min="10499" max="10499" width="0.5703125" style="227" customWidth="1"/>
    <col min="10500" max="10500" width="12.85546875" style="227" customWidth="1"/>
    <col min="10501" max="10505" width="11.42578125" style="227" customWidth="1"/>
    <col min="10506" max="10507" width="14.5703125" style="227" customWidth="1"/>
    <col min="10508" max="10508" width="0.5703125" style="227" customWidth="1"/>
    <col min="10509" max="10509" width="12.85546875" style="227" customWidth="1"/>
    <col min="10510" max="10513" width="11.42578125" style="227" customWidth="1"/>
    <col min="10514" max="10515" width="14.5703125" style="227" customWidth="1"/>
    <col min="10516" max="10516" width="0.5703125" style="227" customWidth="1"/>
    <col min="10517" max="10517" width="14.140625" style="227" bestFit="1" customWidth="1"/>
    <col min="10518" max="10520" width="11.42578125" style="227" customWidth="1"/>
    <col min="10521" max="10522" width="14.5703125" style="227" customWidth="1"/>
    <col min="10523" max="10523" width="0.5703125" style="227" customWidth="1"/>
    <col min="10524" max="10524" width="14.140625" style="227" bestFit="1" customWidth="1"/>
    <col min="10525" max="10528" width="11.42578125" style="227" customWidth="1"/>
    <col min="10529" max="10530" width="14.5703125" style="227" customWidth="1"/>
    <col min="10531" max="10532" width="9.5703125" style="227" customWidth="1"/>
    <col min="10533" max="10750" width="1.85546875" style="227"/>
    <col min="10751" max="10751" width="0.140625" style="227" customWidth="1"/>
    <col min="10752" max="10752" width="0" style="227" hidden="1" customWidth="1"/>
    <col min="10753" max="10753" width="12" style="227" customWidth="1"/>
    <col min="10754" max="10754" width="47.7109375" style="227" customWidth="1"/>
    <col min="10755" max="10755" width="0.5703125" style="227" customWidth="1"/>
    <col min="10756" max="10756" width="12.85546875" style="227" customWidth="1"/>
    <col min="10757" max="10761" width="11.42578125" style="227" customWidth="1"/>
    <col min="10762" max="10763" width="14.5703125" style="227" customWidth="1"/>
    <col min="10764" max="10764" width="0.5703125" style="227" customWidth="1"/>
    <col min="10765" max="10765" width="12.85546875" style="227" customWidth="1"/>
    <col min="10766" max="10769" width="11.42578125" style="227" customWidth="1"/>
    <col min="10770" max="10771" width="14.5703125" style="227" customWidth="1"/>
    <col min="10772" max="10772" width="0.5703125" style="227" customWidth="1"/>
    <col min="10773" max="10773" width="14.140625" style="227" bestFit="1" customWidth="1"/>
    <col min="10774" max="10776" width="11.42578125" style="227" customWidth="1"/>
    <col min="10777" max="10778" width="14.5703125" style="227" customWidth="1"/>
    <col min="10779" max="10779" width="0.5703125" style="227" customWidth="1"/>
    <col min="10780" max="10780" width="14.140625" style="227" bestFit="1" customWidth="1"/>
    <col min="10781" max="10784" width="11.42578125" style="227" customWidth="1"/>
    <col min="10785" max="10786" width="14.5703125" style="227" customWidth="1"/>
    <col min="10787" max="10788" width="9.5703125" style="227" customWidth="1"/>
    <col min="10789" max="11006" width="1.85546875" style="227"/>
    <col min="11007" max="11007" width="0.140625" style="227" customWidth="1"/>
    <col min="11008" max="11008" width="0" style="227" hidden="1" customWidth="1"/>
    <col min="11009" max="11009" width="12" style="227" customWidth="1"/>
    <col min="11010" max="11010" width="47.7109375" style="227" customWidth="1"/>
    <col min="11011" max="11011" width="0.5703125" style="227" customWidth="1"/>
    <col min="11012" max="11012" width="12.85546875" style="227" customWidth="1"/>
    <col min="11013" max="11017" width="11.42578125" style="227" customWidth="1"/>
    <col min="11018" max="11019" width="14.5703125" style="227" customWidth="1"/>
    <col min="11020" max="11020" width="0.5703125" style="227" customWidth="1"/>
    <col min="11021" max="11021" width="12.85546875" style="227" customWidth="1"/>
    <col min="11022" max="11025" width="11.42578125" style="227" customWidth="1"/>
    <col min="11026" max="11027" width="14.5703125" style="227" customWidth="1"/>
    <col min="11028" max="11028" width="0.5703125" style="227" customWidth="1"/>
    <col min="11029" max="11029" width="14.140625" style="227" bestFit="1" customWidth="1"/>
    <col min="11030" max="11032" width="11.42578125" style="227" customWidth="1"/>
    <col min="11033" max="11034" width="14.5703125" style="227" customWidth="1"/>
    <col min="11035" max="11035" width="0.5703125" style="227" customWidth="1"/>
    <col min="11036" max="11036" width="14.140625" style="227" bestFit="1" customWidth="1"/>
    <col min="11037" max="11040" width="11.42578125" style="227" customWidth="1"/>
    <col min="11041" max="11042" width="14.5703125" style="227" customWidth="1"/>
    <col min="11043" max="11044" width="9.5703125" style="227" customWidth="1"/>
    <col min="11045" max="11262" width="1.85546875" style="227"/>
    <col min="11263" max="11263" width="0.140625" style="227" customWidth="1"/>
    <col min="11264" max="11264" width="0" style="227" hidden="1" customWidth="1"/>
    <col min="11265" max="11265" width="12" style="227" customWidth="1"/>
    <col min="11266" max="11266" width="47.7109375" style="227" customWidth="1"/>
    <col min="11267" max="11267" width="0.5703125" style="227" customWidth="1"/>
    <col min="11268" max="11268" width="12.85546875" style="227" customWidth="1"/>
    <col min="11269" max="11273" width="11.42578125" style="227" customWidth="1"/>
    <col min="11274" max="11275" width="14.5703125" style="227" customWidth="1"/>
    <col min="11276" max="11276" width="0.5703125" style="227" customWidth="1"/>
    <col min="11277" max="11277" width="12.85546875" style="227" customWidth="1"/>
    <col min="11278" max="11281" width="11.42578125" style="227" customWidth="1"/>
    <col min="11282" max="11283" width="14.5703125" style="227" customWidth="1"/>
    <col min="11284" max="11284" width="0.5703125" style="227" customWidth="1"/>
    <col min="11285" max="11285" width="14.140625" style="227" bestFit="1" customWidth="1"/>
    <col min="11286" max="11288" width="11.42578125" style="227" customWidth="1"/>
    <col min="11289" max="11290" width="14.5703125" style="227" customWidth="1"/>
    <col min="11291" max="11291" width="0.5703125" style="227" customWidth="1"/>
    <col min="11292" max="11292" width="14.140625" style="227" bestFit="1" customWidth="1"/>
    <col min="11293" max="11296" width="11.42578125" style="227" customWidth="1"/>
    <col min="11297" max="11298" width="14.5703125" style="227" customWidth="1"/>
    <col min="11299" max="11300" width="9.5703125" style="227" customWidth="1"/>
    <col min="11301" max="11518" width="1.85546875" style="227"/>
    <col min="11519" max="11519" width="0.140625" style="227" customWidth="1"/>
    <col min="11520" max="11520" width="0" style="227" hidden="1" customWidth="1"/>
    <col min="11521" max="11521" width="12" style="227" customWidth="1"/>
    <col min="11522" max="11522" width="47.7109375" style="227" customWidth="1"/>
    <col min="11523" max="11523" width="0.5703125" style="227" customWidth="1"/>
    <col min="11524" max="11524" width="12.85546875" style="227" customWidth="1"/>
    <col min="11525" max="11529" width="11.42578125" style="227" customWidth="1"/>
    <col min="11530" max="11531" width="14.5703125" style="227" customWidth="1"/>
    <col min="11532" max="11532" width="0.5703125" style="227" customWidth="1"/>
    <col min="11533" max="11533" width="12.85546875" style="227" customWidth="1"/>
    <col min="11534" max="11537" width="11.42578125" style="227" customWidth="1"/>
    <col min="11538" max="11539" width="14.5703125" style="227" customWidth="1"/>
    <col min="11540" max="11540" width="0.5703125" style="227" customWidth="1"/>
    <col min="11541" max="11541" width="14.140625" style="227" bestFit="1" customWidth="1"/>
    <col min="11542" max="11544" width="11.42578125" style="227" customWidth="1"/>
    <col min="11545" max="11546" width="14.5703125" style="227" customWidth="1"/>
    <col min="11547" max="11547" width="0.5703125" style="227" customWidth="1"/>
    <col min="11548" max="11548" width="14.140625" style="227" bestFit="1" customWidth="1"/>
    <col min="11549" max="11552" width="11.42578125" style="227" customWidth="1"/>
    <col min="11553" max="11554" width="14.5703125" style="227" customWidth="1"/>
    <col min="11555" max="11556" width="9.5703125" style="227" customWidth="1"/>
    <col min="11557" max="11774" width="1.85546875" style="227"/>
    <col min="11775" max="11775" width="0.140625" style="227" customWidth="1"/>
    <col min="11776" max="11776" width="0" style="227" hidden="1" customWidth="1"/>
    <col min="11777" max="11777" width="12" style="227" customWidth="1"/>
    <col min="11778" max="11778" width="47.7109375" style="227" customWidth="1"/>
    <col min="11779" max="11779" width="0.5703125" style="227" customWidth="1"/>
    <col min="11780" max="11780" width="12.85546875" style="227" customWidth="1"/>
    <col min="11781" max="11785" width="11.42578125" style="227" customWidth="1"/>
    <col min="11786" max="11787" width="14.5703125" style="227" customWidth="1"/>
    <col min="11788" max="11788" width="0.5703125" style="227" customWidth="1"/>
    <col min="11789" max="11789" width="12.85546875" style="227" customWidth="1"/>
    <col min="11790" max="11793" width="11.42578125" style="227" customWidth="1"/>
    <col min="11794" max="11795" width="14.5703125" style="227" customWidth="1"/>
    <col min="11796" max="11796" width="0.5703125" style="227" customWidth="1"/>
    <col min="11797" max="11797" width="14.140625" style="227" bestFit="1" customWidth="1"/>
    <col min="11798" max="11800" width="11.42578125" style="227" customWidth="1"/>
    <col min="11801" max="11802" width="14.5703125" style="227" customWidth="1"/>
    <col min="11803" max="11803" width="0.5703125" style="227" customWidth="1"/>
    <col min="11804" max="11804" width="14.140625" style="227" bestFit="1" customWidth="1"/>
    <col min="11805" max="11808" width="11.42578125" style="227" customWidth="1"/>
    <col min="11809" max="11810" width="14.5703125" style="227" customWidth="1"/>
    <col min="11811" max="11812" width="9.5703125" style="227" customWidth="1"/>
    <col min="11813" max="12030" width="1.85546875" style="227"/>
    <col min="12031" max="12031" width="0.140625" style="227" customWidth="1"/>
    <col min="12032" max="12032" width="0" style="227" hidden="1" customWidth="1"/>
    <col min="12033" max="12033" width="12" style="227" customWidth="1"/>
    <col min="12034" max="12034" width="47.7109375" style="227" customWidth="1"/>
    <col min="12035" max="12035" width="0.5703125" style="227" customWidth="1"/>
    <col min="12036" max="12036" width="12.85546875" style="227" customWidth="1"/>
    <col min="12037" max="12041" width="11.42578125" style="227" customWidth="1"/>
    <col min="12042" max="12043" width="14.5703125" style="227" customWidth="1"/>
    <col min="12044" max="12044" width="0.5703125" style="227" customWidth="1"/>
    <col min="12045" max="12045" width="12.85546875" style="227" customWidth="1"/>
    <col min="12046" max="12049" width="11.42578125" style="227" customWidth="1"/>
    <col min="12050" max="12051" width="14.5703125" style="227" customWidth="1"/>
    <col min="12052" max="12052" width="0.5703125" style="227" customWidth="1"/>
    <col min="12053" max="12053" width="14.140625" style="227" bestFit="1" customWidth="1"/>
    <col min="12054" max="12056" width="11.42578125" style="227" customWidth="1"/>
    <col min="12057" max="12058" width="14.5703125" style="227" customWidth="1"/>
    <col min="12059" max="12059" width="0.5703125" style="227" customWidth="1"/>
    <col min="12060" max="12060" width="14.140625" style="227" bestFit="1" customWidth="1"/>
    <col min="12061" max="12064" width="11.42578125" style="227" customWidth="1"/>
    <col min="12065" max="12066" width="14.5703125" style="227" customWidth="1"/>
    <col min="12067" max="12068" width="9.5703125" style="227" customWidth="1"/>
    <col min="12069" max="12286" width="1.85546875" style="227"/>
    <col min="12287" max="12287" width="0.140625" style="227" customWidth="1"/>
    <col min="12288" max="12288" width="0" style="227" hidden="1" customWidth="1"/>
    <col min="12289" max="12289" width="12" style="227" customWidth="1"/>
    <col min="12290" max="12290" width="47.7109375" style="227" customWidth="1"/>
    <col min="12291" max="12291" width="0.5703125" style="227" customWidth="1"/>
    <col min="12292" max="12292" width="12.85546875" style="227" customWidth="1"/>
    <col min="12293" max="12297" width="11.42578125" style="227" customWidth="1"/>
    <col min="12298" max="12299" width="14.5703125" style="227" customWidth="1"/>
    <col min="12300" max="12300" width="0.5703125" style="227" customWidth="1"/>
    <col min="12301" max="12301" width="12.85546875" style="227" customWidth="1"/>
    <col min="12302" max="12305" width="11.42578125" style="227" customWidth="1"/>
    <col min="12306" max="12307" width="14.5703125" style="227" customWidth="1"/>
    <col min="12308" max="12308" width="0.5703125" style="227" customWidth="1"/>
    <col min="12309" max="12309" width="14.140625" style="227" bestFit="1" customWidth="1"/>
    <col min="12310" max="12312" width="11.42578125" style="227" customWidth="1"/>
    <col min="12313" max="12314" width="14.5703125" style="227" customWidth="1"/>
    <col min="12315" max="12315" width="0.5703125" style="227" customWidth="1"/>
    <col min="12316" max="12316" width="14.140625" style="227" bestFit="1" customWidth="1"/>
    <col min="12317" max="12320" width="11.42578125" style="227" customWidth="1"/>
    <col min="12321" max="12322" width="14.5703125" style="227" customWidth="1"/>
    <col min="12323" max="12324" width="9.5703125" style="227" customWidth="1"/>
    <col min="12325" max="12542" width="1.85546875" style="227"/>
    <col min="12543" max="12543" width="0.140625" style="227" customWidth="1"/>
    <col min="12544" max="12544" width="0" style="227" hidden="1" customWidth="1"/>
    <col min="12545" max="12545" width="12" style="227" customWidth="1"/>
    <col min="12546" max="12546" width="47.7109375" style="227" customWidth="1"/>
    <col min="12547" max="12547" width="0.5703125" style="227" customWidth="1"/>
    <col min="12548" max="12548" width="12.85546875" style="227" customWidth="1"/>
    <col min="12549" max="12553" width="11.42578125" style="227" customWidth="1"/>
    <col min="12554" max="12555" width="14.5703125" style="227" customWidth="1"/>
    <col min="12556" max="12556" width="0.5703125" style="227" customWidth="1"/>
    <col min="12557" max="12557" width="12.85546875" style="227" customWidth="1"/>
    <col min="12558" max="12561" width="11.42578125" style="227" customWidth="1"/>
    <col min="12562" max="12563" width="14.5703125" style="227" customWidth="1"/>
    <col min="12564" max="12564" width="0.5703125" style="227" customWidth="1"/>
    <col min="12565" max="12565" width="14.140625" style="227" bestFit="1" customWidth="1"/>
    <col min="12566" max="12568" width="11.42578125" style="227" customWidth="1"/>
    <col min="12569" max="12570" width="14.5703125" style="227" customWidth="1"/>
    <col min="12571" max="12571" width="0.5703125" style="227" customWidth="1"/>
    <col min="12572" max="12572" width="14.140625" style="227" bestFit="1" customWidth="1"/>
    <col min="12573" max="12576" width="11.42578125" style="227" customWidth="1"/>
    <col min="12577" max="12578" width="14.5703125" style="227" customWidth="1"/>
    <col min="12579" max="12580" width="9.5703125" style="227" customWidth="1"/>
    <col min="12581" max="12798" width="1.85546875" style="227"/>
    <col min="12799" max="12799" width="0.140625" style="227" customWidth="1"/>
    <col min="12800" max="12800" width="0" style="227" hidden="1" customWidth="1"/>
    <col min="12801" max="12801" width="12" style="227" customWidth="1"/>
    <col min="12802" max="12802" width="47.7109375" style="227" customWidth="1"/>
    <col min="12803" max="12803" width="0.5703125" style="227" customWidth="1"/>
    <col min="12804" max="12804" width="12.85546875" style="227" customWidth="1"/>
    <col min="12805" max="12809" width="11.42578125" style="227" customWidth="1"/>
    <col min="12810" max="12811" width="14.5703125" style="227" customWidth="1"/>
    <col min="12812" max="12812" width="0.5703125" style="227" customWidth="1"/>
    <col min="12813" max="12813" width="12.85546875" style="227" customWidth="1"/>
    <col min="12814" max="12817" width="11.42578125" style="227" customWidth="1"/>
    <col min="12818" max="12819" width="14.5703125" style="227" customWidth="1"/>
    <col min="12820" max="12820" width="0.5703125" style="227" customWidth="1"/>
    <col min="12821" max="12821" width="14.140625" style="227" bestFit="1" customWidth="1"/>
    <col min="12822" max="12824" width="11.42578125" style="227" customWidth="1"/>
    <col min="12825" max="12826" width="14.5703125" style="227" customWidth="1"/>
    <col min="12827" max="12827" width="0.5703125" style="227" customWidth="1"/>
    <col min="12828" max="12828" width="14.140625" style="227" bestFit="1" customWidth="1"/>
    <col min="12829" max="12832" width="11.42578125" style="227" customWidth="1"/>
    <col min="12833" max="12834" width="14.5703125" style="227" customWidth="1"/>
    <col min="12835" max="12836" width="9.5703125" style="227" customWidth="1"/>
    <col min="12837" max="13054" width="1.85546875" style="227"/>
    <col min="13055" max="13055" width="0.140625" style="227" customWidth="1"/>
    <col min="13056" max="13056" width="0" style="227" hidden="1" customWidth="1"/>
    <col min="13057" max="13057" width="12" style="227" customWidth="1"/>
    <col min="13058" max="13058" width="47.7109375" style="227" customWidth="1"/>
    <col min="13059" max="13059" width="0.5703125" style="227" customWidth="1"/>
    <col min="13060" max="13060" width="12.85546875" style="227" customWidth="1"/>
    <col min="13061" max="13065" width="11.42578125" style="227" customWidth="1"/>
    <col min="13066" max="13067" width="14.5703125" style="227" customWidth="1"/>
    <col min="13068" max="13068" width="0.5703125" style="227" customWidth="1"/>
    <col min="13069" max="13069" width="12.85546875" style="227" customWidth="1"/>
    <col min="13070" max="13073" width="11.42578125" style="227" customWidth="1"/>
    <col min="13074" max="13075" width="14.5703125" style="227" customWidth="1"/>
    <col min="13076" max="13076" width="0.5703125" style="227" customWidth="1"/>
    <col min="13077" max="13077" width="14.140625" style="227" bestFit="1" customWidth="1"/>
    <col min="13078" max="13080" width="11.42578125" style="227" customWidth="1"/>
    <col min="13081" max="13082" width="14.5703125" style="227" customWidth="1"/>
    <col min="13083" max="13083" width="0.5703125" style="227" customWidth="1"/>
    <col min="13084" max="13084" width="14.140625" style="227" bestFit="1" customWidth="1"/>
    <col min="13085" max="13088" width="11.42578125" style="227" customWidth="1"/>
    <col min="13089" max="13090" width="14.5703125" style="227" customWidth="1"/>
    <col min="13091" max="13092" width="9.5703125" style="227" customWidth="1"/>
    <col min="13093" max="13310" width="1.85546875" style="227"/>
    <col min="13311" max="13311" width="0.140625" style="227" customWidth="1"/>
    <col min="13312" max="13312" width="0" style="227" hidden="1" customWidth="1"/>
    <col min="13313" max="13313" width="12" style="227" customWidth="1"/>
    <col min="13314" max="13314" width="47.7109375" style="227" customWidth="1"/>
    <col min="13315" max="13315" width="0.5703125" style="227" customWidth="1"/>
    <col min="13316" max="13316" width="12.85546875" style="227" customWidth="1"/>
    <col min="13317" max="13321" width="11.42578125" style="227" customWidth="1"/>
    <col min="13322" max="13323" width="14.5703125" style="227" customWidth="1"/>
    <col min="13324" max="13324" width="0.5703125" style="227" customWidth="1"/>
    <col min="13325" max="13325" width="12.85546875" style="227" customWidth="1"/>
    <col min="13326" max="13329" width="11.42578125" style="227" customWidth="1"/>
    <col min="13330" max="13331" width="14.5703125" style="227" customWidth="1"/>
    <col min="13332" max="13332" width="0.5703125" style="227" customWidth="1"/>
    <col min="13333" max="13333" width="14.140625" style="227" bestFit="1" customWidth="1"/>
    <col min="13334" max="13336" width="11.42578125" style="227" customWidth="1"/>
    <col min="13337" max="13338" width="14.5703125" style="227" customWidth="1"/>
    <col min="13339" max="13339" width="0.5703125" style="227" customWidth="1"/>
    <col min="13340" max="13340" width="14.140625" style="227" bestFit="1" customWidth="1"/>
    <col min="13341" max="13344" width="11.42578125" style="227" customWidth="1"/>
    <col min="13345" max="13346" width="14.5703125" style="227" customWidth="1"/>
    <col min="13347" max="13348" width="9.5703125" style="227" customWidth="1"/>
    <col min="13349" max="13566" width="1.85546875" style="227"/>
    <col min="13567" max="13567" width="0.140625" style="227" customWidth="1"/>
    <col min="13568" max="13568" width="0" style="227" hidden="1" customWidth="1"/>
    <col min="13569" max="13569" width="12" style="227" customWidth="1"/>
    <col min="13570" max="13570" width="47.7109375" style="227" customWidth="1"/>
    <col min="13571" max="13571" width="0.5703125" style="227" customWidth="1"/>
    <col min="13572" max="13572" width="12.85546875" style="227" customWidth="1"/>
    <col min="13573" max="13577" width="11.42578125" style="227" customWidth="1"/>
    <col min="13578" max="13579" width="14.5703125" style="227" customWidth="1"/>
    <col min="13580" max="13580" width="0.5703125" style="227" customWidth="1"/>
    <col min="13581" max="13581" width="12.85546875" style="227" customWidth="1"/>
    <col min="13582" max="13585" width="11.42578125" style="227" customWidth="1"/>
    <col min="13586" max="13587" width="14.5703125" style="227" customWidth="1"/>
    <col min="13588" max="13588" width="0.5703125" style="227" customWidth="1"/>
    <col min="13589" max="13589" width="14.140625" style="227" bestFit="1" customWidth="1"/>
    <col min="13590" max="13592" width="11.42578125" style="227" customWidth="1"/>
    <col min="13593" max="13594" width="14.5703125" style="227" customWidth="1"/>
    <col min="13595" max="13595" width="0.5703125" style="227" customWidth="1"/>
    <col min="13596" max="13596" width="14.140625" style="227" bestFit="1" customWidth="1"/>
    <col min="13597" max="13600" width="11.42578125" style="227" customWidth="1"/>
    <col min="13601" max="13602" width="14.5703125" style="227" customWidth="1"/>
    <col min="13603" max="13604" width="9.5703125" style="227" customWidth="1"/>
    <col min="13605" max="13822" width="1.85546875" style="227"/>
    <col min="13823" max="13823" width="0.140625" style="227" customWidth="1"/>
    <col min="13824" max="13824" width="0" style="227" hidden="1" customWidth="1"/>
    <col min="13825" max="13825" width="12" style="227" customWidth="1"/>
    <col min="13826" max="13826" width="47.7109375" style="227" customWidth="1"/>
    <col min="13827" max="13827" width="0.5703125" style="227" customWidth="1"/>
    <col min="13828" max="13828" width="12.85546875" style="227" customWidth="1"/>
    <col min="13829" max="13833" width="11.42578125" style="227" customWidth="1"/>
    <col min="13834" max="13835" width="14.5703125" style="227" customWidth="1"/>
    <col min="13836" max="13836" width="0.5703125" style="227" customWidth="1"/>
    <col min="13837" max="13837" width="12.85546875" style="227" customWidth="1"/>
    <col min="13838" max="13841" width="11.42578125" style="227" customWidth="1"/>
    <col min="13842" max="13843" width="14.5703125" style="227" customWidth="1"/>
    <col min="13844" max="13844" width="0.5703125" style="227" customWidth="1"/>
    <col min="13845" max="13845" width="14.140625" style="227" bestFit="1" customWidth="1"/>
    <col min="13846" max="13848" width="11.42578125" style="227" customWidth="1"/>
    <col min="13849" max="13850" width="14.5703125" style="227" customWidth="1"/>
    <col min="13851" max="13851" width="0.5703125" style="227" customWidth="1"/>
    <col min="13852" max="13852" width="14.140625" style="227" bestFit="1" customWidth="1"/>
    <col min="13853" max="13856" width="11.42578125" style="227" customWidth="1"/>
    <col min="13857" max="13858" width="14.5703125" style="227" customWidth="1"/>
    <col min="13859" max="13860" width="9.5703125" style="227" customWidth="1"/>
    <col min="13861" max="14078" width="1.85546875" style="227"/>
    <col min="14079" max="14079" width="0.140625" style="227" customWidth="1"/>
    <col min="14080" max="14080" width="0" style="227" hidden="1" customWidth="1"/>
    <col min="14081" max="14081" width="12" style="227" customWidth="1"/>
    <col min="14082" max="14082" width="47.7109375" style="227" customWidth="1"/>
    <col min="14083" max="14083" width="0.5703125" style="227" customWidth="1"/>
    <col min="14084" max="14084" width="12.85546875" style="227" customWidth="1"/>
    <col min="14085" max="14089" width="11.42578125" style="227" customWidth="1"/>
    <col min="14090" max="14091" width="14.5703125" style="227" customWidth="1"/>
    <col min="14092" max="14092" width="0.5703125" style="227" customWidth="1"/>
    <col min="14093" max="14093" width="12.85546875" style="227" customWidth="1"/>
    <col min="14094" max="14097" width="11.42578125" style="227" customWidth="1"/>
    <col min="14098" max="14099" width="14.5703125" style="227" customWidth="1"/>
    <col min="14100" max="14100" width="0.5703125" style="227" customWidth="1"/>
    <col min="14101" max="14101" width="14.140625" style="227" bestFit="1" customWidth="1"/>
    <col min="14102" max="14104" width="11.42578125" style="227" customWidth="1"/>
    <col min="14105" max="14106" width="14.5703125" style="227" customWidth="1"/>
    <col min="14107" max="14107" width="0.5703125" style="227" customWidth="1"/>
    <col min="14108" max="14108" width="14.140625" style="227" bestFit="1" customWidth="1"/>
    <col min="14109" max="14112" width="11.42578125" style="227" customWidth="1"/>
    <col min="14113" max="14114" width="14.5703125" style="227" customWidth="1"/>
    <col min="14115" max="14116" width="9.5703125" style="227" customWidth="1"/>
    <col min="14117" max="14334" width="1.85546875" style="227"/>
    <col min="14335" max="14335" width="0.140625" style="227" customWidth="1"/>
    <col min="14336" max="14336" width="0" style="227" hidden="1" customWidth="1"/>
    <col min="14337" max="14337" width="12" style="227" customWidth="1"/>
    <col min="14338" max="14338" width="47.7109375" style="227" customWidth="1"/>
    <col min="14339" max="14339" width="0.5703125" style="227" customWidth="1"/>
    <col min="14340" max="14340" width="12.85546875" style="227" customWidth="1"/>
    <col min="14341" max="14345" width="11.42578125" style="227" customWidth="1"/>
    <col min="14346" max="14347" width="14.5703125" style="227" customWidth="1"/>
    <col min="14348" max="14348" width="0.5703125" style="227" customWidth="1"/>
    <col min="14349" max="14349" width="12.85546875" style="227" customWidth="1"/>
    <col min="14350" max="14353" width="11.42578125" style="227" customWidth="1"/>
    <col min="14354" max="14355" width="14.5703125" style="227" customWidth="1"/>
    <col min="14356" max="14356" width="0.5703125" style="227" customWidth="1"/>
    <col min="14357" max="14357" width="14.140625" style="227" bestFit="1" customWidth="1"/>
    <col min="14358" max="14360" width="11.42578125" style="227" customWidth="1"/>
    <col min="14361" max="14362" width="14.5703125" style="227" customWidth="1"/>
    <col min="14363" max="14363" width="0.5703125" style="227" customWidth="1"/>
    <col min="14364" max="14364" width="14.140625" style="227" bestFit="1" customWidth="1"/>
    <col min="14365" max="14368" width="11.42578125" style="227" customWidth="1"/>
    <col min="14369" max="14370" width="14.5703125" style="227" customWidth="1"/>
    <col min="14371" max="14372" width="9.5703125" style="227" customWidth="1"/>
    <col min="14373" max="14590" width="1.85546875" style="227"/>
    <col min="14591" max="14591" width="0.140625" style="227" customWidth="1"/>
    <col min="14592" max="14592" width="0" style="227" hidden="1" customWidth="1"/>
    <col min="14593" max="14593" width="12" style="227" customWidth="1"/>
    <col min="14594" max="14594" width="47.7109375" style="227" customWidth="1"/>
    <col min="14595" max="14595" width="0.5703125" style="227" customWidth="1"/>
    <col min="14596" max="14596" width="12.85546875" style="227" customWidth="1"/>
    <col min="14597" max="14601" width="11.42578125" style="227" customWidth="1"/>
    <col min="14602" max="14603" width="14.5703125" style="227" customWidth="1"/>
    <col min="14604" max="14604" width="0.5703125" style="227" customWidth="1"/>
    <col min="14605" max="14605" width="12.85546875" style="227" customWidth="1"/>
    <col min="14606" max="14609" width="11.42578125" style="227" customWidth="1"/>
    <col min="14610" max="14611" width="14.5703125" style="227" customWidth="1"/>
    <col min="14612" max="14612" width="0.5703125" style="227" customWidth="1"/>
    <col min="14613" max="14613" width="14.140625" style="227" bestFit="1" customWidth="1"/>
    <col min="14614" max="14616" width="11.42578125" style="227" customWidth="1"/>
    <col min="14617" max="14618" width="14.5703125" style="227" customWidth="1"/>
    <col min="14619" max="14619" width="0.5703125" style="227" customWidth="1"/>
    <col min="14620" max="14620" width="14.140625" style="227" bestFit="1" customWidth="1"/>
    <col min="14621" max="14624" width="11.42578125" style="227" customWidth="1"/>
    <col min="14625" max="14626" width="14.5703125" style="227" customWidth="1"/>
    <col min="14627" max="14628" width="9.5703125" style="227" customWidth="1"/>
    <col min="14629" max="14846" width="1.85546875" style="227"/>
    <col min="14847" max="14847" width="0.140625" style="227" customWidth="1"/>
    <col min="14848" max="14848" width="0" style="227" hidden="1" customWidth="1"/>
    <col min="14849" max="14849" width="12" style="227" customWidth="1"/>
    <col min="14850" max="14850" width="47.7109375" style="227" customWidth="1"/>
    <col min="14851" max="14851" width="0.5703125" style="227" customWidth="1"/>
    <col min="14852" max="14852" width="12.85546875" style="227" customWidth="1"/>
    <col min="14853" max="14857" width="11.42578125" style="227" customWidth="1"/>
    <col min="14858" max="14859" width="14.5703125" style="227" customWidth="1"/>
    <col min="14860" max="14860" width="0.5703125" style="227" customWidth="1"/>
    <col min="14861" max="14861" width="12.85546875" style="227" customWidth="1"/>
    <col min="14862" max="14865" width="11.42578125" style="227" customWidth="1"/>
    <col min="14866" max="14867" width="14.5703125" style="227" customWidth="1"/>
    <col min="14868" max="14868" width="0.5703125" style="227" customWidth="1"/>
    <col min="14869" max="14869" width="14.140625" style="227" bestFit="1" customWidth="1"/>
    <col min="14870" max="14872" width="11.42578125" style="227" customWidth="1"/>
    <col min="14873" max="14874" width="14.5703125" style="227" customWidth="1"/>
    <col min="14875" max="14875" width="0.5703125" style="227" customWidth="1"/>
    <col min="14876" max="14876" width="14.140625" style="227" bestFit="1" customWidth="1"/>
    <col min="14877" max="14880" width="11.42578125" style="227" customWidth="1"/>
    <col min="14881" max="14882" width="14.5703125" style="227" customWidth="1"/>
    <col min="14883" max="14884" width="9.5703125" style="227" customWidth="1"/>
    <col min="14885" max="15102" width="1.85546875" style="227"/>
    <col min="15103" max="15103" width="0.140625" style="227" customWidth="1"/>
    <col min="15104" max="15104" width="0" style="227" hidden="1" customWidth="1"/>
    <col min="15105" max="15105" width="12" style="227" customWidth="1"/>
    <col min="15106" max="15106" width="47.7109375" style="227" customWidth="1"/>
    <col min="15107" max="15107" width="0.5703125" style="227" customWidth="1"/>
    <col min="15108" max="15108" width="12.85546875" style="227" customWidth="1"/>
    <col min="15109" max="15113" width="11.42578125" style="227" customWidth="1"/>
    <col min="15114" max="15115" width="14.5703125" style="227" customWidth="1"/>
    <col min="15116" max="15116" width="0.5703125" style="227" customWidth="1"/>
    <col min="15117" max="15117" width="12.85546875" style="227" customWidth="1"/>
    <col min="15118" max="15121" width="11.42578125" style="227" customWidth="1"/>
    <col min="15122" max="15123" width="14.5703125" style="227" customWidth="1"/>
    <col min="15124" max="15124" width="0.5703125" style="227" customWidth="1"/>
    <col min="15125" max="15125" width="14.140625" style="227" bestFit="1" customWidth="1"/>
    <col min="15126" max="15128" width="11.42578125" style="227" customWidth="1"/>
    <col min="15129" max="15130" width="14.5703125" style="227" customWidth="1"/>
    <col min="15131" max="15131" width="0.5703125" style="227" customWidth="1"/>
    <col min="15132" max="15132" width="14.140625" style="227" bestFit="1" customWidth="1"/>
    <col min="15133" max="15136" width="11.42578125" style="227" customWidth="1"/>
    <col min="15137" max="15138" width="14.5703125" style="227" customWidth="1"/>
    <col min="15139" max="15140" width="9.5703125" style="227" customWidth="1"/>
    <col min="15141" max="15358" width="1.85546875" style="227"/>
    <col min="15359" max="15359" width="0.140625" style="227" customWidth="1"/>
    <col min="15360" max="15360" width="0" style="227" hidden="1" customWidth="1"/>
    <col min="15361" max="15361" width="12" style="227" customWidth="1"/>
    <col min="15362" max="15362" width="47.7109375" style="227" customWidth="1"/>
    <col min="15363" max="15363" width="0.5703125" style="227" customWidth="1"/>
    <col min="15364" max="15364" width="12.85546875" style="227" customWidth="1"/>
    <col min="15365" max="15369" width="11.42578125" style="227" customWidth="1"/>
    <col min="15370" max="15371" width="14.5703125" style="227" customWidth="1"/>
    <col min="15372" max="15372" width="0.5703125" style="227" customWidth="1"/>
    <col min="15373" max="15373" width="12.85546875" style="227" customWidth="1"/>
    <col min="15374" max="15377" width="11.42578125" style="227" customWidth="1"/>
    <col min="15378" max="15379" width="14.5703125" style="227" customWidth="1"/>
    <col min="15380" max="15380" width="0.5703125" style="227" customWidth="1"/>
    <col min="15381" max="15381" width="14.140625" style="227" bestFit="1" customWidth="1"/>
    <col min="15382" max="15384" width="11.42578125" style="227" customWidth="1"/>
    <col min="15385" max="15386" width="14.5703125" style="227" customWidth="1"/>
    <col min="15387" max="15387" width="0.5703125" style="227" customWidth="1"/>
    <col min="15388" max="15388" width="14.140625" style="227" bestFit="1" customWidth="1"/>
    <col min="15389" max="15392" width="11.42578125" style="227" customWidth="1"/>
    <col min="15393" max="15394" width="14.5703125" style="227" customWidth="1"/>
    <col min="15395" max="15396" width="9.5703125" style="227" customWidth="1"/>
    <col min="15397" max="15614" width="1.85546875" style="227"/>
    <col min="15615" max="15615" width="0.140625" style="227" customWidth="1"/>
    <col min="15616" max="15616" width="0" style="227" hidden="1" customWidth="1"/>
    <col min="15617" max="15617" width="12" style="227" customWidth="1"/>
    <col min="15618" max="15618" width="47.7109375" style="227" customWidth="1"/>
    <col min="15619" max="15619" width="0.5703125" style="227" customWidth="1"/>
    <col min="15620" max="15620" width="12.85546875" style="227" customWidth="1"/>
    <col min="15621" max="15625" width="11.42578125" style="227" customWidth="1"/>
    <col min="15626" max="15627" width="14.5703125" style="227" customWidth="1"/>
    <col min="15628" max="15628" width="0.5703125" style="227" customWidth="1"/>
    <col min="15629" max="15629" width="12.85546875" style="227" customWidth="1"/>
    <col min="15630" max="15633" width="11.42578125" style="227" customWidth="1"/>
    <col min="15634" max="15635" width="14.5703125" style="227" customWidth="1"/>
    <col min="15636" max="15636" width="0.5703125" style="227" customWidth="1"/>
    <col min="15637" max="15637" width="14.140625" style="227" bestFit="1" customWidth="1"/>
    <col min="15638" max="15640" width="11.42578125" style="227" customWidth="1"/>
    <col min="15641" max="15642" width="14.5703125" style="227" customWidth="1"/>
    <col min="15643" max="15643" width="0.5703125" style="227" customWidth="1"/>
    <col min="15644" max="15644" width="14.140625" style="227" bestFit="1" customWidth="1"/>
    <col min="15645" max="15648" width="11.42578125" style="227" customWidth="1"/>
    <col min="15649" max="15650" width="14.5703125" style="227" customWidth="1"/>
    <col min="15651" max="15652" width="9.5703125" style="227" customWidth="1"/>
    <col min="15653" max="15870" width="1.85546875" style="227"/>
    <col min="15871" max="15871" width="0.140625" style="227" customWidth="1"/>
    <col min="15872" max="15872" width="0" style="227" hidden="1" customWidth="1"/>
    <col min="15873" max="15873" width="12" style="227" customWidth="1"/>
    <col min="15874" max="15874" width="47.7109375" style="227" customWidth="1"/>
    <col min="15875" max="15875" width="0.5703125" style="227" customWidth="1"/>
    <col min="15876" max="15876" width="12.85546875" style="227" customWidth="1"/>
    <col min="15877" max="15881" width="11.42578125" style="227" customWidth="1"/>
    <col min="15882" max="15883" width="14.5703125" style="227" customWidth="1"/>
    <col min="15884" max="15884" width="0.5703125" style="227" customWidth="1"/>
    <col min="15885" max="15885" width="12.85546875" style="227" customWidth="1"/>
    <col min="15886" max="15889" width="11.42578125" style="227" customWidth="1"/>
    <col min="15890" max="15891" width="14.5703125" style="227" customWidth="1"/>
    <col min="15892" max="15892" width="0.5703125" style="227" customWidth="1"/>
    <col min="15893" max="15893" width="14.140625" style="227" bestFit="1" customWidth="1"/>
    <col min="15894" max="15896" width="11.42578125" style="227" customWidth="1"/>
    <col min="15897" max="15898" width="14.5703125" style="227" customWidth="1"/>
    <col min="15899" max="15899" width="0.5703125" style="227" customWidth="1"/>
    <col min="15900" max="15900" width="14.140625" style="227" bestFit="1" customWidth="1"/>
    <col min="15901" max="15904" width="11.42578125" style="227" customWidth="1"/>
    <col min="15905" max="15906" width="14.5703125" style="227" customWidth="1"/>
    <col min="15907" max="15908" width="9.5703125" style="227" customWidth="1"/>
    <col min="15909" max="16126" width="1.85546875" style="227"/>
    <col min="16127" max="16127" width="0.140625" style="227" customWidth="1"/>
    <col min="16128" max="16128" width="0" style="227" hidden="1" customWidth="1"/>
    <col min="16129" max="16129" width="12" style="227" customWidth="1"/>
    <col min="16130" max="16130" width="47.7109375" style="227" customWidth="1"/>
    <col min="16131" max="16131" width="0.5703125" style="227" customWidth="1"/>
    <col min="16132" max="16132" width="12.85546875" style="227" customWidth="1"/>
    <col min="16133" max="16137" width="11.42578125" style="227" customWidth="1"/>
    <col min="16138" max="16139" width="14.5703125" style="227" customWidth="1"/>
    <col min="16140" max="16140" width="0.5703125" style="227" customWidth="1"/>
    <col min="16141" max="16141" width="12.85546875" style="227" customWidth="1"/>
    <col min="16142" max="16145" width="11.42578125" style="227" customWidth="1"/>
    <col min="16146" max="16147" width="14.5703125" style="227" customWidth="1"/>
    <col min="16148" max="16148" width="0.5703125" style="227" customWidth="1"/>
    <col min="16149" max="16149" width="14.140625" style="227" bestFit="1" customWidth="1"/>
    <col min="16150" max="16152" width="11.42578125" style="227" customWidth="1"/>
    <col min="16153" max="16154" width="14.5703125" style="227" customWidth="1"/>
    <col min="16155" max="16155" width="0.5703125" style="227" customWidth="1"/>
    <col min="16156" max="16156" width="14.140625" style="227" bestFit="1" customWidth="1"/>
    <col min="16157" max="16160" width="11.42578125" style="227" customWidth="1"/>
    <col min="16161" max="16162" width="14.5703125" style="227" customWidth="1"/>
    <col min="16163" max="16164" width="9.5703125" style="227" customWidth="1"/>
    <col min="16165" max="16384" width="1.85546875" style="227"/>
  </cols>
  <sheetData>
    <row r="1" spans="1:36" s="195" customFormat="1" ht="30.75" customHeight="1" x14ac:dyDescent="0.35">
      <c r="A1" s="196"/>
      <c r="B1" s="242"/>
      <c r="C1" s="198"/>
      <c r="D1" s="197"/>
      <c r="E1" s="1071">
        <v>2016</v>
      </c>
      <c r="F1" s="1071"/>
      <c r="G1" s="1071"/>
      <c r="H1" s="1071"/>
      <c r="I1" s="1071"/>
      <c r="J1" s="197"/>
      <c r="K1" s="1071">
        <v>2017</v>
      </c>
      <c r="L1" s="1071"/>
      <c r="M1" s="1071"/>
      <c r="N1" s="1071"/>
      <c r="O1" s="1071"/>
      <c r="P1" s="1071"/>
      <c r="Q1" s="1071"/>
      <c r="R1" s="1071"/>
      <c r="S1" s="197"/>
      <c r="T1" s="1071">
        <v>2018</v>
      </c>
      <c r="U1" s="1071"/>
      <c r="V1" s="1071"/>
      <c r="W1" s="1071"/>
      <c r="X1" s="1071"/>
      <c r="Y1" s="1071"/>
      <c r="Z1" s="1071"/>
      <c r="AA1" s="197"/>
      <c r="AB1" s="1071">
        <v>2019</v>
      </c>
      <c r="AC1" s="1071"/>
      <c r="AD1" s="1071"/>
      <c r="AE1" s="1071"/>
      <c r="AF1" s="1071"/>
      <c r="AG1" s="1071"/>
      <c r="AH1" s="1071"/>
      <c r="AI1" s="844"/>
      <c r="AJ1" s="199"/>
    </row>
    <row r="2" spans="1:36" s="163" customFormat="1" ht="57" customHeight="1" x14ac:dyDescent="0.2">
      <c r="A2" s="200" t="s">
        <v>272</v>
      </c>
      <c r="B2" s="974" t="s">
        <v>1</v>
      </c>
      <c r="C2" s="200" t="s">
        <v>4</v>
      </c>
      <c r="D2" s="201"/>
      <c r="E2" s="200" t="s">
        <v>2437</v>
      </c>
      <c r="F2" s="200" t="s">
        <v>392</v>
      </c>
      <c r="G2" s="200" t="s">
        <v>393</v>
      </c>
      <c r="H2" s="200" t="s">
        <v>394</v>
      </c>
      <c r="I2" s="200" t="s">
        <v>341</v>
      </c>
      <c r="J2" s="201"/>
      <c r="K2" s="200" t="s">
        <v>2922</v>
      </c>
      <c r="L2" s="200" t="s">
        <v>392</v>
      </c>
      <c r="M2" s="200" t="s">
        <v>393</v>
      </c>
      <c r="N2" s="200" t="s">
        <v>3058</v>
      </c>
      <c r="O2" s="200" t="s">
        <v>394</v>
      </c>
      <c r="P2" s="200" t="s">
        <v>3059</v>
      </c>
      <c r="Q2" s="200" t="s">
        <v>3057</v>
      </c>
      <c r="R2" s="200" t="s">
        <v>341</v>
      </c>
      <c r="S2" s="201"/>
      <c r="T2" s="200" t="s">
        <v>3062</v>
      </c>
      <c r="U2" s="200" t="s">
        <v>392</v>
      </c>
      <c r="V2" s="200" t="s">
        <v>393</v>
      </c>
      <c r="W2" s="200" t="s">
        <v>3058</v>
      </c>
      <c r="X2" s="200" t="s">
        <v>394</v>
      </c>
      <c r="Y2" s="200" t="s">
        <v>3059</v>
      </c>
      <c r="Z2" s="200" t="s">
        <v>341</v>
      </c>
      <c r="AA2" s="201"/>
      <c r="AB2" s="200" t="s">
        <v>3263</v>
      </c>
      <c r="AC2" s="200" t="s">
        <v>392</v>
      </c>
      <c r="AD2" s="200" t="s">
        <v>393</v>
      </c>
      <c r="AE2" s="200" t="s">
        <v>3058</v>
      </c>
      <c r="AF2" s="200" t="s">
        <v>394</v>
      </c>
      <c r="AG2" s="200" t="s">
        <v>3479</v>
      </c>
      <c r="AH2" s="200" t="s">
        <v>341</v>
      </c>
      <c r="AI2" s="162" t="s">
        <v>340</v>
      </c>
      <c r="AJ2" s="162" t="s">
        <v>6</v>
      </c>
    </row>
    <row r="3" spans="1:36" s="207" customFormat="1" ht="18" customHeight="1" x14ac:dyDescent="0.2">
      <c r="A3" s="204"/>
      <c r="B3" s="1003" t="s">
        <v>2402</v>
      </c>
      <c r="C3" s="205"/>
      <c r="D3" s="201"/>
      <c r="E3" s="205">
        <f>E4+E32</f>
        <v>120735078</v>
      </c>
      <c r="F3" s="205">
        <f>F4+F32</f>
        <v>8141382.3386089411</v>
      </c>
      <c r="G3" s="205">
        <f>G4+G32</f>
        <v>3602408.0834400142</v>
      </c>
      <c r="H3" s="205">
        <f>H4+H32</f>
        <v>2250000</v>
      </c>
      <c r="I3" s="205">
        <f>I4+I32</f>
        <v>134728868.42204896</v>
      </c>
      <c r="J3" s="201"/>
      <c r="K3" s="205">
        <f t="shared" ref="K3:R3" si="0">K4+K32</f>
        <v>122961152</v>
      </c>
      <c r="L3" s="205">
        <f t="shared" si="0"/>
        <v>6361487</v>
      </c>
      <c r="M3" s="205">
        <f t="shared" si="0"/>
        <v>4531004</v>
      </c>
      <c r="N3" s="205">
        <f t="shared" si="0"/>
        <v>316457</v>
      </c>
      <c r="O3" s="205">
        <f t="shared" si="0"/>
        <v>2574968</v>
      </c>
      <c r="P3" s="205">
        <f t="shared" si="0"/>
        <v>5000000</v>
      </c>
      <c r="Q3" s="205">
        <f t="shared" si="0"/>
        <v>36000000</v>
      </c>
      <c r="R3" s="205">
        <f t="shared" si="0"/>
        <v>177745068</v>
      </c>
      <c r="S3" s="201"/>
      <c r="T3" s="205">
        <f t="shared" ref="T3:Z3" si="1">T4+T32</f>
        <v>127557768.01000001</v>
      </c>
      <c r="U3" s="205">
        <f t="shared" si="1"/>
        <v>6593436.3064874476</v>
      </c>
      <c r="V3" s="205">
        <f t="shared" si="1"/>
        <v>4440834</v>
      </c>
      <c r="W3" s="205">
        <f t="shared" si="1"/>
        <v>525782</v>
      </c>
      <c r="X3" s="205">
        <f t="shared" si="1"/>
        <v>2500000</v>
      </c>
      <c r="Y3" s="205">
        <f t="shared" si="1"/>
        <v>7000000</v>
      </c>
      <c r="Z3" s="205">
        <f t="shared" si="1"/>
        <v>148617820.31648743</v>
      </c>
      <c r="AA3" s="201"/>
      <c r="AB3" s="205">
        <f t="shared" ref="AB3:AH3" si="2">AB4+AB32</f>
        <v>125582075</v>
      </c>
      <c r="AC3" s="205">
        <f t="shared" si="2"/>
        <v>6846310</v>
      </c>
      <c r="AD3" s="205">
        <f t="shared" si="2"/>
        <v>6350704</v>
      </c>
      <c r="AE3" s="205">
        <f t="shared" si="2"/>
        <v>566501</v>
      </c>
      <c r="AF3" s="205">
        <f t="shared" si="2"/>
        <v>2267966</v>
      </c>
      <c r="AG3" s="205">
        <f t="shared" ref="AG3" si="3">AG4+AG32</f>
        <v>75729</v>
      </c>
      <c r="AH3" s="205">
        <f t="shared" si="2"/>
        <v>141689285</v>
      </c>
      <c r="AI3" s="206"/>
      <c r="AJ3" s="206"/>
    </row>
    <row r="4" spans="1:36" s="207" customFormat="1" ht="21" customHeight="1" x14ac:dyDescent="0.2">
      <c r="A4" s="1074" t="s">
        <v>3252</v>
      </c>
      <c r="B4" s="1075"/>
      <c r="C4" s="204"/>
      <c r="D4" s="201"/>
      <c r="E4" s="204">
        <f>SUM(E5:E31)</f>
        <v>94185287</v>
      </c>
      <c r="F4" s="204">
        <f>SUM(F5:F31)</f>
        <v>6902197.962479366</v>
      </c>
      <c r="G4" s="204">
        <f>SUM(G5:G31)</f>
        <v>2815539</v>
      </c>
      <c r="H4" s="204">
        <f>SUM(H5:H31)</f>
        <v>2250000</v>
      </c>
      <c r="I4" s="204">
        <f>SUM(I5:I31)</f>
        <v>106153023.96247937</v>
      </c>
      <c r="J4" s="201"/>
      <c r="K4" s="204">
        <f t="shared" ref="K4:R4" si="4">SUM(K5:K31)</f>
        <v>96191264</v>
      </c>
      <c r="L4" s="204">
        <f t="shared" si="4"/>
        <v>5219669</v>
      </c>
      <c r="M4" s="204">
        <f t="shared" si="4"/>
        <v>3190565</v>
      </c>
      <c r="N4" s="204">
        <f t="shared" si="4"/>
        <v>0</v>
      </c>
      <c r="O4" s="204">
        <f t="shared" si="4"/>
        <v>2574968</v>
      </c>
      <c r="P4" s="204">
        <f t="shared" ref="P4" si="5">SUM(P5:P31)</f>
        <v>5000000</v>
      </c>
      <c r="Q4" s="204">
        <f t="shared" si="4"/>
        <v>36000000</v>
      </c>
      <c r="R4" s="204">
        <f t="shared" si="4"/>
        <v>148176466</v>
      </c>
      <c r="S4" s="201"/>
      <c r="T4" s="204">
        <f t="shared" ref="T4:Z4" si="6">SUM(T5:T31)</f>
        <v>98822017</v>
      </c>
      <c r="U4" s="204">
        <f t="shared" si="6"/>
        <v>5409985.6061369767</v>
      </c>
      <c r="V4" s="204">
        <f t="shared" si="6"/>
        <v>3057922</v>
      </c>
      <c r="W4" s="204">
        <f t="shared" si="6"/>
        <v>0</v>
      </c>
      <c r="X4" s="204">
        <f t="shared" si="6"/>
        <v>2500000</v>
      </c>
      <c r="Y4" s="204">
        <f t="shared" ref="Y4" si="7">SUM(Y5:Y31)</f>
        <v>7000000</v>
      </c>
      <c r="Z4" s="204">
        <f t="shared" si="6"/>
        <v>116789924.60613698</v>
      </c>
      <c r="AA4" s="201"/>
      <c r="AB4" s="204">
        <f t="shared" ref="AB4:AH4" si="8">SUM(AB5:AB31)</f>
        <v>96161260</v>
      </c>
      <c r="AC4" s="204">
        <f t="shared" si="8"/>
        <v>5409243</v>
      </c>
      <c r="AD4" s="204">
        <f t="shared" si="8"/>
        <v>3731056</v>
      </c>
      <c r="AE4" s="204">
        <f t="shared" si="8"/>
        <v>0</v>
      </c>
      <c r="AF4" s="204">
        <f t="shared" si="8"/>
        <v>2267966</v>
      </c>
      <c r="AG4" s="204">
        <f t="shared" ref="AG4" si="9">SUM(AG5:AG31)</f>
        <v>29484</v>
      </c>
      <c r="AH4" s="204">
        <f t="shared" si="8"/>
        <v>107599009</v>
      </c>
      <c r="AI4" s="204"/>
      <c r="AJ4" s="206"/>
    </row>
    <row r="5" spans="1:36" s="212" customFormat="1" ht="52.5" customHeight="1" x14ac:dyDescent="0.2">
      <c r="A5" s="208">
        <v>514628247</v>
      </c>
      <c r="B5" s="963" t="s">
        <v>395</v>
      </c>
      <c r="C5" s="170"/>
      <c r="D5" s="210"/>
      <c r="E5" s="841">
        <f>16948205+100847</f>
        <v>17049052</v>
      </c>
      <c r="F5" s="170"/>
      <c r="G5" s="170"/>
      <c r="H5" s="170"/>
      <c r="I5" s="170">
        <f t="shared" ref="I5:I31" si="10">SUM(E5:H5)</f>
        <v>17049052</v>
      </c>
      <c r="J5" s="210"/>
      <c r="K5" s="211">
        <f>16884480</f>
        <v>16884480</v>
      </c>
      <c r="L5" s="170"/>
      <c r="M5" s="170"/>
      <c r="N5" s="170"/>
      <c r="O5" s="170"/>
      <c r="P5" s="1122">
        <v>5000000</v>
      </c>
      <c r="Q5" s="170"/>
      <c r="R5" s="170">
        <f t="shared" ref="R5:R31" si="11">SUM(K5:Q5)</f>
        <v>21884480</v>
      </c>
      <c r="S5" s="210"/>
      <c r="T5" s="211">
        <v>17210670</v>
      </c>
      <c r="U5" s="170"/>
      <c r="V5" s="170"/>
      <c r="W5" s="170"/>
      <c r="X5" s="170"/>
      <c r="Y5" s="841">
        <v>7000000</v>
      </c>
      <c r="Z5" s="170">
        <f t="shared" ref="Z5:Z31" si="12">SUM(T5:Y5)</f>
        <v>24210670</v>
      </c>
      <c r="AA5" s="210"/>
      <c r="AB5" s="211">
        <v>17114656</v>
      </c>
      <c r="AC5" s="170"/>
      <c r="AD5" s="170"/>
      <c r="AE5" s="170"/>
      <c r="AF5" s="170"/>
      <c r="AG5" s="170"/>
      <c r="AH5" s="170">
        <f>SUM(AB5:AG5)</f>
        <v>17114656</v>
      </c>
      <c r="AI5" s="164" t="s">
        <v>73</v>
      </c>
      <c r="AJ5" s="164" t="s">
        <v>136</v>
      </c>
    </row>
    <row r="6" spans="1:36" s="212" customFormat="1" ht="37.5" customHeight="1" x14ac:dyDescent="0.2">
      <c r="A6" s="208">
        <v>590000659</v>
      </c>
      <c r="B6" s="963" t="s">
        <v>396</v>
      </c>
      <c r="C6" s="170"/>
      <c r="D6" s="210"/>
      <c r="E6" s="211">
        <v>11874235</v>
      </c>
      <c r="F6" s="170"/>
      <c r="G6" s="170"/>
      <c r="H6" s="170"/>
      <c r="I6" s="170">
        <f t="shared" si="10"/>
        <v>11874235</v>
      </c>
      <c r="J6" s="210"/>
      <c r="K6" s="211">
        <v>11272323</v>
      </c>
      <c r="L6" s="170"/>
      <c r="M6" s="170"/>
      <c r="N6" s="170"/>
      <c r="O6" s="170"/>
      <c r="P6" s="170"/>
      <c r="Q6" s="170"/>
      <c r="R6" s="170">
        <f t="shared" si="11"/>
        <v>11272323</v>
      </c>
      <c r="S6" s="210"/>
      <c r="T6" s="211">
        <v>11133635</v>
      </c>
      <c r="U6" s="170"/>
      <c r="V6" s="170"/>
      <c r="W6" s="170"/>
      <c r="X6" s="170"/>
      <c r="Y6" s="170"/>
      <c r="Z6" s="170">
        <f t="shared" si="12"/>
        <v>11133635</v>
      </c>
      <c r="AA6" s="210"/>
      <c r="AB6" s="211">
        <v>10339838</v>
      </c>
      <c r="AC6" s="170"/>
      <c r="AD6" s="170"/>
      <c r="AE6" s="170"/>
      <c r="AF6" s="170"/>
      <c r="AG6" s="170"/>
      <c r="AH6" s="170">
        <f t="shared" ref="AH6:AH31" si="13">SUM(AB6:AG6)</f>
        <v>10339838</v>
      </c>
      <c r="AI6" s="164" t="s">
        <v>28</v>
      </c>
      <c r="AJ6" s="164" t="s">
        <v>136</v>
      </c>
    </row>
    <row r="7" spans="1:36" s="214" customFormat="1" ht="31.5" customHeight="1" x14ac:dyDescent="0.2">
      <c r="A7" s="213">
        <v>580084713</v>
      </c>
      <c r="B7" s="963" t="s">
        <v>397</v>
      </c>
      <c r="C7" s="170" t="s">
        <v>398</v>
      </c>
      <c r="D7" s="210"/>
      <c r="E7" s="211">
        <v>9511612</v>
      </c>
      <c r="F7" s="170"/>
      <c r="G7" s="150"/>
      <c r="H7" s="841">
        <v>2250000</v>
      </c>
      <c r="I7" s="170">
        <f t="shared" si="10"/>
        <v>11761612</v>
      </c>
      <c r="J7" s="210"/>
      <c r="K7" s="211">
        <v>9092660</v>
      </c>
      <c r="L7" s="170"/>
      <c r="M7" s="150"/>
      <c r="N7" s="150"/>
      <c r="O7" s="841">
        <v>2574968</v>
      </c>
      <c r="P7" s="170"/>
      <c r="Q7" s="841">
        <v>36000000</v>
      </c>
      <c r="R7" s="170">
        <f t="shared" si="11"/>
        <v>47667628</v>
      </c>
      <c r="S7" s="210"/>
      <c r="T7" s="211">
        <v>8798491</v>
      </c>
      <c r="U7" s="170"/>
      <c r="V7" s="150"/>
      <c r="W7" s="150"/>
      <c r="X7" s="942">
        <v>2500000</v>
      </c>
      <c r="Y7" s="170"/>
      <c r="Z7" s="170">
        <f t="shared" si="12"/>
        <v>11298491</v>
      </c>
      <c r="AA7" s="210"/>
      <c r="AB7" s="211">
        <v>8908864</v>
      </c>
      <c r="AC7" s="170"/>
      <c r="AD7" s="150"/>
      <c r="AE7" s="150"/>
      <c r="AF7" s="170">
        <v>2267966</v>
      </c>
      <c r="AG7" s="170"/>
      <c r="AH7" s="170">
        <f t="shared" si="13"/>
        <v>11176830</v>
      </c>
      <c r="AI7" s="164" t="s">
        <v>73</v>
      </c>
      <c r="AJ7" s="164" t="s">
        <v>136</v>
      </c>
    </row>
    <row r="8" spans="1:36" s="212" customFormat="1" ht="19.5" customHeight="1" x14ac:dyDescent="0.2">
      <c r="A8" s="195">
        <v>580037224</v>
      </c>
      <c r="B8" s="963" t="s">
        <v>399</v>
      </c>
      <c r="C8" s="170"/>
      <c r="D8" s="210"/>
      <c r="E8" s="211">
        <v>7661128</v>
      </c>
      <c r="F8" s="170"/>
      <c r="G8" s="170">
        <v>2404483</v>
      </c>
      <c r="H8" s="170"/>
      <c r="I8" s="170">
        <f t="shared" si="10"/>
        <v>10065611</v>
      </c>
      <c r="J8" s="210"/>
      <c r="K8" s="211">
        <v>7357166</v>
      </c>
      <c r="L8" s="170"/>
      <c r="M8" s="170">
        <v>2724757</v>
      </c>
      <c r="N8" s="170"/>
      <c r="O8" s="170"/>
      <c r="P8" s="170"/>
      <c r="Q8" s="170"/>
      <c r="R8" s="170">
        <f t="shared" si="11"/>
        <v>10081923</v>
      </c>
      <c r="S8" s="210"/>
      <c r="T8" s="211">
        <v>7408755</v>
      </c>
      <c r="U8" s="170"/>
      <c r="V8" s="170">
        <v>2578411</v>
      </c>
      <c r="W8" s="170"/>
      <c r="X8" s="170"/>
      <c r="Y8" s="170"/>
      <c r="Z8" s="170">
        <f t="shared" si="12"/>
        <v>9987166</v>
      </c>
      <c r="AA8" s="210"/>
      <c r="AB8" s="211">
        <v>7290280</v>
      </c>
      <c r="AC8" s="170"/>
      <c r="AD8" s="170">
        <v>3133449</v>
      </c>
      <c r="AE8" s="170"/>
      <c r="AF8" s="170"/>
      <c r="AG8" s="170"/>
      <c r="AH8" s="170">
        <f t="shared" si="13"/>
        <v>10423729</v>
      </c>
      <c r="AI8" s="164" t="s">
        <v>400</v>
      </c>
      <c r="AJ8" s="164" t="s">
        <v>32</v>
      </c>
    </row>
    <row r="9" spans="1:36" s="212" customFormat="1" ht="28.5" customHeight="1" x14ac:dyDescent="0.2">
      <c r="A9" s="208">
        <v>510341993</v>
      </c>
      <c r="B9" s="963" t="s">
        <v>401</v>
      </c>
      <c r="C9" s="216"/>
      <c r="D9" s="210"/>
      <c r="E9" s="211">
        <v>5150193</v>
      </c>
      <c r="F9" s="170"/>
      <c r="G9" s="170"/>
      <c r="H9" s="170"/>
      <c r="I9" s="170">
        <f t="shared" si="10"/>
        <v>5150193</v>
      </c>
      <c r="J9" s="210"/>
      <c r="K9" s="211">
        <f>5523830+464528</f>
        <v>5988358</v>
      </c>
      <c r="L9" s="170"/>
      <c r="M9" s="170"/>
      <c r="N9" s="170"/>
      <c r="O9" s="170"/>
      <c r="P9" s="170"/>
      <c r="Q9" s="170"/>
      <c r="R9" s="170">
        <f t="shared" si="11"/>
        <v>5988358</v>
      </c>
      <c r="S9" s="210"/>
      <c r="T9" s="211">
        <v>5879008</v>
      </c>
      <c r="U9" s="170"/>
      <c r="V9" s="170"/>
      <c r="W9" s="170"/>
      <c r="X9" s="170"/>
      <c r="Y9" s="170"/>
      <c r="Z9" s="170">
        <f t="shared" si="12"/>
        <v>5879008</v>
      </c>
      <c r="AA9" s="210"/>
      <c r="AB9" s="211">
        <v>5686910</v>
      </c>
      <c r="AC9" s="170"/>
      <c r="AD9" s="170"/>
      <c r="AE9" s="170"/>
      <c r="AF9" s="170"/>
      <c r="AG9" s="170"/>
      <c r="AH9" s="170">
        <f t="shared" si="13"/>
        <v>5686910</v>
      </c>
      <c r="AI9" s="164" t="s">
        <v>43</v>
      </c>
      <c r="AJ9" s="164" t="s">
        <v>9</v>
      </c>
    </row>
    <row r="10" spans="1:36" s="214" customFormat="1" ht="28.5" customHeight="1" x14ac:dyDescent="0.2">
      <c r="A10" s="213">
        <v>580190080</v>
      </c>
      <c r="B10" s="963" t="s">
        <v>402</v>
      </c>
      <c r="C10" s="170"/>
      <c r="D10" s="210"/>
      <c r="E10" s="211">
        <v>5165778</v>
      </c>
      <c r="F10" s="170"/>
      <c r="G10" s="170"/>
      <c r="H10" s="170"/>
      <c r="I10" s="170">
        <f t="shared" si="10"/>
        <v>5165778</v>
      </c>
      <c r="J10" s="210"/>
      <c r="K10" s="211">
        <v>5492520</v>
      </c>
      <c r="L10" s="170"/>
      <c r="M10" s="170"/>
      <c r="N10" s="170"/>
      <c r="O10" s="170"/>
      <c r="P10" s="170"/>
      <c r="Q10" s="170"/>
      <c r="R10" s="170">
        <f t="shared" si="11"/>
        <v>5492520</v>
      </c>
      <c r="S10" s="210"/>
      <c r="T10" s="211">
        <v>5938639</v>
      </c>
      <c r="U10" s="170"/>
      <c r="V10" s="170"/>
      <c r="W10" s="170"/>
      <c r="X10" s="170"/>
      <c r="Y10" s="170"/>
      <c r="Z10" s="170">
        <f t="shared" si="12"/>
        <v>5938639</v>
      </c>
      <c r="AA10" s="210"/>
      <c r="AB10" s="211">
        <v>5838191</v>
      </c>
      <c r="AC10" s="170"/>
      <c r="AD10" s="170"/>
      <c r="AE10" s="170"/>
      <c r="AF10" s="170"/>
      <c r="AG10" s="170"/>
      <c r="AH10" s="170">
        <f t="shared" si="13"/>
        <v>5838191</v>
      </c>
      <c r="AI10" s="164" t="s">
        <v>73</v>
      </c>
      <c r="AJ10" s="164" t="s">
        <v>136</v>
      </c>
    </row>
    <row r="11" spans="1:36" s="212" customFormat="1" ht="26.25" customHeight="1" x14ac:dyDescent="0.2">
      <c r="A11" s="208">
        <v>580051902</v>
      </c>
      <c r="B11" s="963" t="s">
        <v>403</v>
      </c>
      <c r="C11" s="170"/>
      <c r="D11" s="210"/>
      <c r="E11" s="211">
        <v>6967649</v>
      </c>
      <c r="F11" s="849">
        <v>3949063.9268581904</v>
      </c>
      <c r="G11" s="170"/>
      <c r="H11" s="170"/>
      <c r="I11" s="170">
        <f t="shared" si="10"/>
        <v>10916712.92685819</v>
      </c>
      <c r="J11" s="210"/>
      <c r="K11" s="211">
        <v>7070262</v>
      </c>
      <c r="L11" s="849">
        <v>2983553</v>
      </c>
      <c r="M11" s="170"/>
      <c r="N11" s="170"/>
      <c r="O11" s="170"/>
      <c r="P11" s="170"/>
      <c r="Q11" s="170"/>
      <c r="R11" s="170">
        <f t="shared" si="11"/>
        <v>10053815</v>
      </c>
      <c r="S11" s="210"/>
      <c r="T11" s="211">
        <v>7322744</v>
      </c>
      <c r="U11" s="849">
        <v>2945837.7833397831</v>
      </c>
      <c r="V11" s="170"/>
      <c r="W11" s="170"/>
      <c r="X11" s="170"/>
      <c r="Y11" s="170"/>
      <c r="Z11" s="170">
        <f t="shared" si="12"/>
        <v>10268581.783339784</v>
      </c>
      <c r="AA11" s="210"/>
      <c r="AB11" s="211">
        <v>6883240</v>
      </c>
      <c r="AC11" s="849">
        <v>2882549</v>
      </c>
      <c r="AD11" s="170"/>
      <c r="AE11" s="170"/>
      <c r="AF11" s="170"/>
      <c r="AG11" s="170"/>
      <c r="AH11" s="170">
        <f t="shared" si="13"/>
        <v>9765789</v>
      </c>
      <c r="AI11" s="164" t="s">
        <v>53</v>
      </c>
      <c r="AJ11" s="164" t="s">
        <v>53</v>
      </c>
    </row>
    <row r="12" spans="1:36" s="218" customFormat="1" ht="30.75" customHeight="1" x14ac:dyDescent="0.2">
      <c r="A12" s="195">
        <v>580116515</v>
      </c>
      <c r="B12" s="963" t="s">
        <v>404</v>
      </c>
      <c r="C12" s="170"/>
      <c r="D12" s="217"/>
      <c r="E12" s="211">
        <v>5296843</v>
      </c>
      <c r="F12" s="170"/>
      <c r="G12" s="170"/>
      <c r="H12" s="170"/>
      <c r="I12" s="170">
        <f t="shared" si="10"/>
        <v>5296843</v>
      </c>
      <c r="J12" s="217"/>
      <c r="K12" s="211">
        <v>5155777</v>
      </c>
      <c r="L12" s="170"/>
      <c r="M12" s="170"/>
      <c r="N12" s="170"/>
      <c r="O12" s="170"/>
      <c r="P12" s="170"/>
      <c r="Q12" s="170"/>
      <c r="R12" s="170">
        <f t="shared" si="11"/>
        <v>5155777</v>
      </c>
      <c r="S12" s="217"/>
      <c r="T12" s="211">
        <v>5211495</v>
      </c>
      <c r="U12" s="849"/>
      <c r="V12" s="170"/>
      <c r="W12" s="170"/>
      <c r="X12" s="170"/>
      <c r="Y12" s="170"/>
      <c r="Z12" s="170">
        <f t="shared" si="12"/>
        <v>5211495</v>
      </c>
      <c r="AA12" s="217"/>
      <c r="AB12" s="211">
        <v>4855494</v>
      </c>
      <c r="AC12" s="849"/>
      <c r="AD12" s="170"/>
      <c r="AE12" s="170"/>
      <c r="AF12" s="170"/>
      <c r="AG12" s="170"/>
      <c r="AH12" s="170">
        <f t="shared" si="13"/>
        <v>4855494</v>
      </c>
      <c r="AI12" s="164" t="s">
        <v>73</v>
      </c>
      <c r="AJ12" s="164" t="s">
        <v>136</v>
      </c>
    </row>
    <row r="13" spans="1:36" s="220" customFormat="1" ht="27" customHeight="1" x14ac:dyDescent="0.2">
      <c r="A13" s="213">
        <v>580352490</v>
      </c>
      <c r="B13" s="963" t="s">
        <v>405</v>
      </c>
      <c r="C13" s="170"/>
      <c r="D13" s="219"/>
      <c r="E13" s="211">
        <f>964080+38785</f>
        <v>1002865</v>
      </c>
      <c r="F13" s="849">
        <v>614739.74187418458</v>
      </c>
      <c r="G13" s="170"/>
      <c r="H13" s="170"/>
      <c r="I13" s="170">
        <f t="shared" si="10"/>
        <v>1617604.7418741845</v>
      </c>
      <c r="J13" s="219"/>
      <c r="K13" s="211">
        <f>836873</f>
        <v>836873</v>
      </c>
      <c r="L13" s="849">
        <v>412820</v>
      </c>
      <c r="M13" s="170"/>
      <c r="N13" s="170"/>
      <c r="O13" s="170"/>
      <c r="P13" s="170"/>
      <c r="Q13" s="170"/>
      <c r="R13" s="170">
        <f t="shared" si="11"/>
        <v>1249693</v>
      </c>
      <c r="S13" s="219"/>
      <c r="T13" s="211">
        <v>828642</v>
      </c>
      <c r="U13" s="849">
        <v>348684.68852454331</v>
      </c>
      <c r="V13" s="170"/>
      <c r="W13" s="170"/>
      <c r="X13" s="170"/>
      <c r="Y13" s="170"/>
      <c r="Z13" s="170">
        <f t="shared" si="12"/>
        <v>1177326.6885245433</v>
      </c>
      <c r="AA13" s="219"/>
      <c r="AB13" s="211">
        <v>1112011</v>
      </c>
      <c r="AC13" s="849">
        <v>326189</v>
      </c>
      <c r="AD13" s="170"/>
      <c r="AE13" s="170"/>
      <c r="AF13" s="170"/>
      <c r="AG13" s="170">
        <v>29484</v>
      </c>
      <c r="AH13" s="170">
        <f t="shared" si="13"/>
        <v>1467684</v>
      </c>
      <c r="AI13" s="164" t="s">
        <v>53</v>
      </c>
      <c r="AJ13" s="164" t="s">
        <v>53</v>
      </c>
    </row>
    <row r="14" spans="1:36" s="212" customFormat="1" ht="24" customHeight="1" x14ac:dyDescent="0.2">
      <c r="A14" s="208">
        <v>580082824</v>
      </c>
      <c r="B14" s="963" t="s">
        <v>406</v>
      </c>
      <c r="C14" s="170"/>
      <c r="D14" s="210"/>
      <c r="E14" s="211">
        <v>1309701</v>
      </c>
      <c r="F14" s="170"/>
      <c r="G14" s="170">
        <v>411056</v>
      </c>
      <c r="H14" s="170"/>
      <c r="I14" s="170">
        <f t="shared" si="10"/>
        <v>1720757</v>
      </c>
      <c r="J14" s="210"/>
      <c r="K14" s="211">
        <v>1369420</v>
      </c>
      <c r="L14" s="170"/>
      <c r="M14" s="170">
        <v>465808</v>
      </c>
      <c r="N14" s="170"/>
      <c r="O14" s="170"/>
      <c r="P14" s="170"/>
      <c r="Q14" s="170"/>
      <c r="R14" s="170">
        <f t="shared" si="11"/>
        <v>1835228</v>
      </c>
      <c r="S14" s="210"/>
      <c r="T14" s="211">
        <v>1412987</v>
      </c>
      <c r="U14" s="849"/>
      <c r="V14" s="170">
        <v>479511</v>
      </c>
      <c r="W14" s="170"/>
      <c r="X14" s="170"/>
      <c r="Y14" s="170"/>
      <c r="Z14" s="170">
        <f t="shared" si="12"/>
        <v>1892498</v>
      </c>
      <c r="AA14" s="210"/>
      <c r="AB14" s="211">
        <v>1286858</v>
      </c>
      <c r="AC14" s="849"/>
      <c r="AD14" s="170">
        <f>550000+47607</f>
        <v>597607</v>
      </c>
      <c r="AE14" s="170"/>
      <c r="AF14" s="170"/>
      <c r="AG14" s="170"/>
      <c r="AH14" s="170">
        <f t="shared" si="13"/>
        <v>1884465</v>
      </c>
      <c r="AI14" s="164" t="s">
        <v>33</v>
      </c>
      <c r="AJ14" s="164" t="s">
        <v>9</v>
      </c>
    </row>
    <row r="15" spans="1:36" s="222" customFormat="1" ht="21.75" customHeight="1" x14ac:dyDescent="0.2">
      <c r="A15" s="213">
        <v>580446433</v>
      </c>
      <c r="B15" s="963" t="s">
        <v>407</v>
      </c>
      <c r="C15" s="170"/>
      <c r="D15" s="221"/>
      <c r="E15" s="211">
        <v>820277</v>
      </c>
      <c r="F15" s="170"/>
      <c r="G15" s="170"/>
      <c r="H15" s="170"/>
      <c r="I15" s="170">
        <f t="shared" si="10"/>
        <v>820277</v>
      </c>
      <c r="J15" s="221"/>
      <c r="K15" s="211">
        <v>796540</v>
      </c>
      <c r="L15" s="170"/>
      <c r="M15" s="170"/>
      <c r="N15" s="170"/>
      <c r="O15" s="170"/>
      <c r="P15" s="170"/>
      <c r="Q15" s="170"/>
      <c r="R15" s="170">
        <f t="shared" si="11"/>
        <v>796540</v>
      </c>
      <c r="S15" s="221"/>
      <c r="T15" s="211">
        <v>850598</v>
      </c>
      <c r="U15" s="849"/>
      <c r="V15" s="170"/>
      <c r="W15" s="170"/>
      <c r="X15" s="170"/>
      <c r="Y15" s="170"/>
      <c r="Z15" s="170">
        <f t="shared" si="12"/>
        <v>850598</v>
      </c>
      <c r="AA15" s="221"/>
      <c r="AB15" s="211">
        <v>758918</v>
      </c>
      <c r="AC15" s="849"/>
      <c r="AD15" s="170"/>
      <c r="AE15" s="170"/>
      <c r="AF15" s="170"/>
      <c r="AG15" s="170"/>
      <c r="AH15" s="170">
        <f t="shared" si="13"/>
        <v>758918</v>
      </c>
      <c r="AI15" s="164" t="s">
        <v>408</v>
      </c>
      <c r="AJ15" s="164" t="s">
        <v>136</v>
      </c>
    </row>
    <row r="16" spans="1:36" s="212" customFormat="1" ht="35.25" customHeight="1" x14ac:dyDescent="0.2">
      <c r="A16" s="208">
        <v>580013167</v>
      </c>
      <c r="B16" s="963" t="s">
        <v>409</v>
      </c>
      <c r="C16" s="170"/>
      <c r="D16" s="210"/>
      <c r="E16" s="211">
        <f>5319953+72065</f>
        <v>5392018</v>
      </c>
      <c r="F16" s="170"/>
      <c r="G16" s="170"/>
      <c r="H16" s="170"/>
      <c r="I16" s="170">
        <f t="shared" si="10"/>
        <v>5392018</v>
      </c>
      <c r="J16" s="210"/>
      <c r="K16" s="211">
        <f>5507802</f>
        <v>5507802</v>
      </c>
      <c r="L16" s="170"/>
      <c r="M16" s="170"/>
      <c r="N16" s="170"/>
      <c r="O16" s="170"/>
      <c r="P16" s="170"/>
      <c r="Q16" s="170"/>
      <c r="R16" s="170">
        <f t="shared" si="11"/>
        <v>5507802</v>
      </c>
      <c r="S16" s="210"/>
      <c r="T16" s="211">
        <v>5717464</v>
      </c>
      <c r="U16" s="849"/>
      <c r="V16" s="170"/>
      <c r="W16" s="170"/>
      <c r="X16" s="170"/>
      <c r="Y16" s="170"/>
      <c r="Z16" s="170">
        <f t="shared" si="12"/>
        <v>5717464</v>
      </c>
      <c r="AA16" s="210"/>
      <c r="AB16" s="211">
        <v>5527162</v>
      </c>
      <c r="AC16" s="849"/>
      <c r="AD16" s="170"/>
      <c r="AE16" s="170"/>
      <c r="AF16" s="170"/>
      <c r="AG16" s="170"/>
      <c r="AH16" s="170">
        <f t="shared" si="13"/>
        <v>5527162</v>
      </c>
      <c r="AI16" s="164" t="s">
        <v>73</v>
      </c>
      <c r="AJ16" s="164" t="s">
        <v>136</v>
      </c>
    </row>
    <row r="17" spans="1:36" s="214" customFormat="1" ht="25.5" customHeight="1" x14ac:dyDescent="0.2">
      <c r="A17" s="112">
        <v>580516805</v>
      </c>
      <c r="B17" s="963" t="s">
        <v>410</v>
      </c>
      <c r="C17" s="216"/>
      <c r="D17" s="210"/>
      <c r="E17" s="211">
        <v>727530</v>
      </c>
      <c r="F17" s="170"/>
      <c r="G17" s="170"/>
      <c r="H17" s="170"/>
      <c r="I17" s="170">
        <f t="shared" si="10"/>
        <v>727530</v>
      </c>
      <c r="J17" s="210"/>
      <c r="K17" s="211">
        <v>673841</v>
      </c>
      <c r="L17" s="170"/>
      <c r="M17" s="170"/>
      <c r="N17" s="170"/>
      <c r="O17" s="170"/>
      <c r="P17" s="170"/>
      <c r="Q17" s="170"/>
      <c r="R17" s="170">
        <f t="shared" si="11"/>
        <v>673841</v>
      </c>
      <c r="S17" s="210"/>
      <c r="T17" s="211">
        <v>679919</v>
      </c>
      <c r="U17" s="849"/>
      <c r="V17" s="170"/>
      <c r="W17" s="170"/>
      <c r="X17" s="170"/>
      <c r="Y17" s="170"/>
      <c r="Z17" s="170">
        <f t="shared" si="12"/>
        <v>679919</v>
      </c>
      <c r="AA17" s="210"/>
      <c r="AB17" s="211">
        <v>635668</v>
      </c>
      <c r="AC17" s="849"/>
      <c r="AD17" s="170"/>
      <c r="AE17" s="170"/>
      <c r="AF17" s="170"/>
      <c r="AG17" s="170"/>
      <c r="AH17" s="170">
        <f t="shared" si="13"/>
        <v>635668</v>
      </c>
      <c r="AI17" s="164" t="s">
        <v>73</v>
      </c>
      <c r="AJ17" s="164" t="s">
        <v>136</v>
      </c>
    </row>
    <row r="18" spans="1:36" s="214" customFormat="1" ht="36.75" customHeight="1" x14ac:dyDescent="0.2">
      <c r="A18" s="213">
        <v>580010684</v>
      </c>
      <c r="B18" s="963" t="s">
        <v>411</v>
      </c>
      <c r="C18" s="170"/>
      <c r="D18" s="210"/>
      <c r="E18" s="211">
        <f>1730512+79718</f>
        <v>1810230</v>
      </c>
      <c r="F18" s="849">
        <v>1084371.3009115153</v>
      </c>
      <c r="G18" s="170"/>
      <c r="H18" s="170"/>
      <c r="I18" s="170">
        <f t="shared" si="10"/>
        <v>2894601.300911515</v>
      </c>
      <c r="J18" s="210"/>
      <c r="K18" s="211">
        <f>2009590</f>
        <v>2009590</v>
      </c>
      <c r="L18" s="849">
        <v>741007</v>
      </c>
      <c r="M18" s="170"/>
      <c r="N18" s="170"/>
      <c r="O18" s="170"/>
      <c r="P18" s="170"/>
      <c r="Q18" s="170"/>
      <c r="R18" s="170">
        <f t="shared" si="11"/>
        <v>2750597</v>
      </c>
      <c r="S18" s="210"/>
      <c r="T18" s="211">
        <v>2212565</v>
      </c>
      <c r="U18" s="849">
        <v>837299.40291064105</v>
      </c>
      <c r="V18" s="170"/>
      <c r="W18" s="170"/>
      <c r="X18" s="170"/>
      <c r="Y18" s="170"/>
      <c r="Z18" s="170">
        <f t="shared" si="12"/>
        <v>3049864.4029106409</v>
      </c>
      <c r="AA18" s="210"/>
      <c r="AB18" s="211">
        <v>1859140</v>
      </c>
      <c r="AC18" s="849">
        <v>870961</v>
      </c>
      <c r="AD18" s="170"/>
      <c r="AE18" s="170"/>
      <c r="AF18" s="170"/>
      <c r="AG18" s="170"/>
      <c r="AH18" s="170">
        <f t="shared" si="13"/>
        <v>2730101</v>
      </c>
      <c r="AI18" s="164" t="s">
        <v>53</v>
      </c>
      <c r="AJ18" s="164" t="s">
        <v>53</v>
      </c>
    </row>
    <row r="19" spans="1:36" s="212" customFormat="1" ht="39" customHeight="1" x14ac:dyDescent="0.2">
      <c r="A19" s="208">
        <v>580037745</v>
      </c>
      <c r="B19" s="963" t="s">
        <v>412</v>
      </c>
      <c r="C19" s="216"/>
      <c r="D19" s="210"/>
      <c r="E19" s="211">
        <v>1275413</v>
      </c>
      <c r="F19" s="170"/>
      <c r="G19" s="170"/>
      <c r="H19" s="170"/>
      <c r="I19" s="170">
        <f t="shared" si="10"/>
        <v>1275413</v>
      </c>
      <c r="J19" s="210"/>
      <c r="K19" s="211">
        <v>1207442</v>
      </c>
      <c r="L19" s="170"/>
      <c r="M19" s="170"/>
      <c r="N19" s="170"/>
      <c r="O19" s="170"/>
      <c r="P19" s="170"/>
      <c r="Q19" s="170"/>
      <c r="R19" s="170">
        <f t="shared" si="11"/>
        <v>1207442</v>
      </c>
      <c r="S19" s="210"/>
      <c r="T19" s="211">
        <v>1246180</v>
      </c>
      <c r="U19" s="849"/>
      <c r="V19" s="170"/>
      <c r="W19" s="170"/>
      <c r="X19" s="170"/>
      <c r="Y19" s="170"/>
      <c r="Z19" s="170">
        <f t="shared" si="12"/>
        <v>1246180</v>
      </c>
      <c r="AA19" s="210"/>
      <c r="AB19" s="211">
        <v>1181746</v>
      </c>
      <c r="AC19" s="849"/>
      <c r="AD19" s="170"/>
      <c r="AE19" s="170"/>
      <c r="AF19" s="170"/>
      <c r="AG19" s="170"/>
      <c r="AH19" s="170">
        <f t="shared" si="13"/>
        <v>1181746</v>
      </c>
      <c r="AI19" s="164" t="s">
        <v>43</v>
      </c>
      <c r="AJ19" s="164" t="s">
        <v>9</v>
      </c>
    </row>
    <row r="20" spans="1:36" s="220" customFormat="1" ht="24.75" customHeight="1" x14ac:dyDescent="0.2">
      <c r="A20" s="208">
        <v>580097210</v>
      </c>
      <c r="B20" s="963" t="s">
        <v>413</v>
      </c>
      <c r="C20" s="170"/>
      <c r="D20" s="221"/>
      <c r="E20" s="211">
        <v>774883</v>
      </c>
      <c r="F20" s="170"/>
      <c r="G20" s="170"/>
      <c r="H20" s="170"/>
      <c r="I20" s="170">
        <f t="shared" si="10"/>
        <v>774883</v>
      </c>
      <c r="J20" s="221"/>
      <c r="K20" s="211">
        <v>784576</v>
      </c>
      <c r="L20" s="170"/>
      <c r="M20" s="170"/>
      <c r="N20" s="170"/>
      <c r="O20" s="170"/>
      <c r="P20" s="170"/>
      <c r="Q20" s="170"/>
      <c r="R20" s="170">
        <f t="shared" si="11"/>
        <v>784576</v>
      </c>
      <c r="S20" s="221"/>
      <c r="T20" s="211">
        <v>829597</v>
      </c>
      <c r="U20" s="849"/>
      <c r="V20" s="170"/>
      <c r="W20" s="170"/>
      <c r="X20" s="170"/>
      <c r="Y20" s="170"/>
      <c r="Z20" s="170">
        <f t="shared" si="12"/>
        <v>829597</v>
      </c>
      <c r="AA20" s="221"/>
      <c r="AB20" s="211">
        <v>772737</v>
      </c>
      <c r="AC20" s="849"/>
      <c r="AD20" s="170"/>
      <c r="AE20" s="170"/>
      <c r="AF20" s="170"/>
      <c r="AG20" s="170"/>
      <c r="AH20" s="170">
        <f t="shared" si="13"/>
        <v>772737</v>
      </c>
      <c r="AI20" s="164" t="s">
        <v>73</v>
      </c>
      <c r="AJ20" s="164" t="s">
        <v>136</v>
      </c>
    </row>
    <row r="21" spans="1:36" s="222" customFormat="1" ht="25.5" customHeight="1" x14ac:dyDescent="0.2">
      <c r="A21" s="213">
        <v>580234995</v>
      </c>
      <c r="B21" s="963" t="s">
        <v>2453</v>
      </c>
      <c r="C21" s="170"/>
      <c r="D21" s="221"/>
      <c r="E21" s="211">
        <v>869268</v>
      </c>
      <c r="F21" s="170"/>
      <c r="G21" s="170"/>
      <c r="H21" s="170"/>
      <c r="I21" s="170">
        <f t="shared" si="10"/>
        <v>869268</v>
      </c>
      <c r="J21" s="221"/>
      <c r="K21" s="211">
        <v>875852</v>
      </c>
      <c r="L21" s="170"/>
      <c r="M21" s="170"/>
      <c r="N21" s="170"/>
      <c r="O21" s="170"/>
      <c r="P21" s="170"/>
      <c r="Q21" s="170"/>
      <c r="R21" s="170">
        <f t="shared" si="11"/>
        <v>875852</v>
      </c>
      <c r="S21" s="221"/>
      <c r="T21" s="211">
        <v>872732</v>
      </c>
      <c r="U21" s="849"/>
      <c r="V21" s="170"/>
      <c r="W21" s="170"/>
      <c r="X21" s="170"/>
      <c r="Y21" s="170"/>
      <c r="Z21" s="170">
        <f t="shared" si="12"/>
        <v>872732</v>
      </c>
      <c r="AA21" s="221"/>
      <c r="AB21" s="211">
        <v>916345</v>
      </c>
      <c r="AC21" s="849"/>
      <c r="AD21" s="170"/>
      <c r="AE21" s="170"/>
      <c r="AF21" s="170"/>
      <c r="AG21" s="170"/>
      <c r="AH21" s="170">
        <f t="shared" si="13"/>
        <v>916345</v>
      </c>
      <c r="AI21" s="164" t="s">
        <v>73</v>
      </c>
      <c r="AJ21" s="164" t="s">
        <v>136</v>
      </c>
    </row>
    <row r="22" spans="1:36" s="220" customFormat="1" ht="30" customHeight="1" x14ac:dyDescent="0.2">
      <c r="A22" s="208">
        <v>580276764</v>
      </c>
      <c r="B22" s="963" t="s">
        <v>415</v>
      </c>
      <c r="C22" s="170"/>
      <c r="D22" s="221"/>
      <c r="E22" s="211">
        <f>1695472+4185</f>
        <v>1699657</v>
      </c>
      <c r="F22" s="170"/>
      <c r="G22" s="170"/>
      <c r="H22" s="170"/>
      <c r="I22" s="170">
        <f t="shared" si="10"/>
        <v>1699657</v>
      </c>
      <c r="J22" s="221"/>
      <c r="K22" s="211">
        <f>3195755</f>
        <v>3195755</v>
      </c>
      <c r="L22" s="170"/>
      <c r="M22" s="170"/>
      <c r="N22" s="170"/>
      <c r="O22" s="170"/>
      <c r="P22" s="170"/>
      <c r="Q22" s="170"/>
      <c r="R22" s="170">
        <f t="shared" si="11"/>
        <v>3195755</v>
      </c>
      <c r="S22" s="221"/>
      <c r="T22" s="211">
        <v>4054549</v>
      </c>
      <c r="U22" s="849"/>
      <c r="V22" s="170"/>
      <c r="W22" s="170"/>
      <c r="X22" s="170"/>
      <c r="Y22" s="170"/>
      <c r="Z22" s="170">
        <f t="shared" si="12"/>
        <v>4054549</v>
      </c>
      <c r="AA22" s="221"/>
      <c r="AB22" s="211">
        <v>4500000</v>
      </c>
      <c r="AC22" s="849"/>
      <c r="AD22" s="170"/>
      <c r="AE22" s="170"/>
      <c r="AF22" s="170"/>
      <c r="AG22" s="170"/>
      <c r="AH22" s="170">
        <f t="shared" si="13"/>
        <v>4500000</v>
      </c>
      <c r="AI22" s="164" t="s">
        <v>73</v>
      </c>
      <c r="AJ22" s="164" t="s">
        <v>136</v>
      </c>
    </row>
    <row r="23" spans="1:36" ht="30.75" customHeight="1" x14ac:dyDescent="0.2">
      <c r="A23" s="208">
        <v>580392165</v>
      </c>
      <c r="B23" s="964" t="s">
        <v>417</v>
      </c>
      <c r="C23" s="170"/>
      <c r="E23" s="211">
        <v>475559</v>
      </c>
      <c r="F23" s="170"/>
      <c r="G23" s="170"/>
      <c r="H23" s="170"/>
      <c r="I23" s="170">
        <f t="shared" si="10"/>
        <v>475559</v>
      </c>
      <c r="K23" s="211">
        <v>432429</v>
      </c>
      <c r="L23" s="170"/>
      <c r="M23" s="170"/>
      <c r="N23" s="170"/>
      <c r="O23" s="170"/>
      <c r="P23" s="170"/>
      <c r="Q23" s="170"/>
      <c r="R23" s="170">
        <f t="shared" si="11"/>
        <v>432429</v>
      </c>
      <c r="T23" s="211">
        <v>419121</v>
      </c>
      <c r="U23" s="849"/>
      <c r="V23" s="170"/>
      <c r="W23" s="170"/>
      <c r="X23" s="170"/>
      <c r="Y23" s="170"/>
      <c r="Z23" s="170">
        <f t="shared" si="12"/>
        <v>419121</v>
      </c>
      <c r="AB23" s="211"/>
      <c r="AC23" s="849"/>
      <c r="AD23" s="170"/>
      <c r="AE23" s="170"/>
      <c r="AF23" s="170"/>
      <c r="AG23" s="170"/>
      <c r="AH23" s="170">
        <f t="shared" si="13"/>
        <v>0</v>
      </c>
      <c r="AI23" s="164" t="s">
        <v>73</v>
      </c>
      <c r="AJ23" s="164" t="s">
        <v>136</v>
      </c>
    </row>
    <row r="24" spans="1:36" ht="51" customHeight="1" x14ac:dyDescent="0.2">
      <c r="A24" s="777">
        <v>580402345</v>
      </c>
      <c r="B24" s="964" t="s">
        <v>2456</v>
      </c>
      <c r="C24" s="216" t="s">
        <v>418</v>
      </c>
      <c r="E24" s="211">
        <v>435732</v>
      </c>
      <c r="F24" s="170"/>
      <c r="G24" s="170"/>
      <c r="H24" s="170"/>
      <c r="I24" s="170">
        <f t="shared" si="10"/>
        <v>435732</v>
      </c>
      <c r="K24" s="211">
        <v>335157</v>
      </c>
      <c r="L24" s="170"/>
      <c r="M24" s="170"/>
      <c r="N24" s="170"/>
      <c r="O24" s="170"/>
      <c r="P24" s="170"/>
      <c r="Q24" s="170"/>
      <c r="R24" s="170">
        <f t="shared" si="11"/>
        <v>335157</v>
      </c>
      <c r="T24" s="942">
        <v>290679</v>
      </c>
      <c r="U24" s="849"/>
      <c r="V24" s="170"/>
      <c r="W24" s="170"/>
      <c r="X24" s="170"/>
      <c r="Y24" s="170"/>
      <c r="Z24" s="170">
        <f t="shared" si="12"/>
        <v>290679</v>
      </c>
      <c r="AB24" s="211"/>
      <c r="AC24" s="849"/>
      <c r="AD24" s="170"/>
      <c r="AE24" s="170"/>
      <c r="AF24" s="170"/>
      <c r="AG24" s="170"/>
      <c r="AH24" s="170">
        <f t="shared" si="13"/>
        <v>0</v>
      </c>
      <c r="AI24" s="164" t="s">
        <v>419</v>
      </c>
      <c r="AJ24" s="164" t="s">
        <v>12</v>
      </c>
    </row>
    <row r="25" spans="1:36" s="212" customFormat="1" ht="30" customHeight="1" x14ac:dyDescent="0.2">
      <c r="A25" s="208">
        <v>580215846</v>
      </c>
      <c r="B25" s="963" t="s">
        <v>420</v>
      </c>
      <c r="C25" s="170"/>
      <c r="D25" s="210"/>
      <c r="E25" s="211">
        <v>3601924</v>
      </c>
      <c r="F25" s="170"/>
      <c r="G25" s="170"/>
      <c r="H25" s="170"/>
      <c r="I25" s="170">
        <f t="shared" si="10"/>
        <v>3601924</v>
      </c>
      <c r="J25" s="210"/>
      <c r="K25" s="211">
        <v>3743612</v>
      </c>
      <c r="L25" s="170"/>
      <c r="M25" s="170"/>
      <c r="N25" s="170"/>
      <c r="O25" s="170"/>
      <c r="P25" s="170"/>
      <c r="Q25" s="170"/>
      <c r="R25" s="170">
        <f t="shared" si="11"/>
        <v>3743612</v>
      </c>
      <c r="S25" s="210"/>
      <c r="T25" s="211">
        <v>3895221</v>
      </c>
      <c r="U25" s="849"/>
      <c r="V25" s="170"/>
      <c r="W25" s="170"/>
      <c r="X25" s="170"/>
      <c r="Y25" s="170"/>
      <c r="Z25" s="170">
        <f t="shared" si="12"/>
        <v>3895221</v>
      </c>
      <c r="AA25" s="210"/>
      <c r="AB25" s="211">
        <v>3635526</v>
      </c>
      <c r="AC25" s="849"/>
      <c r="AD25" s="170"/>
      <c r="AE25" s="170"/>
      <c r="AF25" s="170"/>
      <c r="AG25" s="170"/>
      <c r="AH25" s="170">
        <f t="shared" si="13"/>
        <v>3635526</v>
      </c>
      <c r="AI25" s="164" t="s">
        <v>73</v>
      </c>
      <c r="AJ25" s="164" t="s">
        <v>136</v>
      </c>
    </row>
    <row r="26" spans="1:36" s="212" customFormat="1" ht="30" customHeight="1" x14ac:dyDescent="0.2">
      <c r="A26" s="224" t="s">
        <v>421</v>
      </c>
      <c r="B26" s="964" t="s">
        <v>422</v>
      </c>
      <c r="C26" s="170"/>
      <c r="D26" s="210"/>
      <c r="E26" s="211">
        <f>1127527+5275</f>
        <v>1132802</v>
      </c>
      <c r="F26" s="849">
        <v>582467.89298883418</v>
      </c>
      <c r="G26" s="170"/>
      <c r="H26" s="170"/>
      <c r="I26" s="170">
        <f t="shared" si="10"/>
        <v>1715269.8929888341</v>
      </c>
      <c r="J26" s="210"/>
      <c r="K26" s="211">
        <f>1405242</f>
        <v>1405242</v>
      </c>
      <c r="L26" s="849">
        <v>482808</v>
      </c>
      <c r="M26" s="170"/>
      <c r="N26" s="170"/>
      <c r="O26" s="170"/>
      <c r="P26" s="170"/>
      <c r="Q26" s="170"/>
      <c r="R26" s="170">
        <f t="shared" si="11"/>
        <v>1888050</v>
      </c>
      <c r="S26" s="210"/>
      <c r="T26" s="211">
        <v>1550504</v>
      </c>
      <c r="U26" s="849">
        <v>585496.68715755711</v>
      </c>
      <c r="V26" s="170"/>
      <c r="W26" s="170"/>
      <c r="X26" s="170"/>
      <c r="Y26" s="170"/>
      <c r="Z26" s="170">
        <f t="shared" si="12"/>
        <v>2136000.6871575573</v>
      </c>
      <c r="AA26" s="210"/>
      <c r="AB26" s="211">
        <v>1613820</v>
      </c>
      <c r="AC26" s="849">
        <v>610346</v>
      </c>
      <c r="AD26" s="170"/>
      <c r="AE26" s="170"/>
      <c r="AF26" s="170"/>
      <c r="AG26" s="170"/>
      <c r="AH26" s="170">
        <f t="shared" si="13"/>
        <v>2224166</v>
      </c>
      <c r="AI26" s="164" t="s">
        <v>53</v>
      </c>
      <c r="AJ26" s="164" t="s">
        <v>53</v>
      </c>
    </row>
    <row r="27" spans="1:36" s="212" customFormat="1" ht="26.25" customHeight="1" x14ac:dyDescent="0.2">
      <c r="A27" s="224">
        <v>580477982</v>
      </c>
      <c r="B27" s="965" t="s">
        <v>423</v>
      </c>
      <c r="C27" s="170"/>
      <c r="D27" s="210"/>
      <c r="E27" s="211">
        <v>767206</v>
      </c>
      <c r="F27" s="170"/>
      <c r="G27" s="170"/>
      <c r="H27" s="170"/>
      <c r="I27" s="170">
        <f t="shared" si="10"/>
        <v>767206</v>
      </c>
      <c r="J27" s="210"/>
      <c r="K27" s="211">
        <v>798447</v>
      </c>
      <c r="L27" s="170"/>
      <c r="M27" s="170"/>
      <c r="N27" s="170"/>
      <c r="O27" s="170"/>
      <c r="P27" s="170"/>
      <c r="Q27" s="170"/>
      <c r="R27" s="170">
        <f t="shared" si="11"/>
        <v>798447</v>
      </c>
      <c r="S27" s="210"/>
      <c r="T27" s="211">
        <v>831531</v>
      </c>
      <c r="U27" s="849"/>
      <c r="V27" s="170"/>
      <c r="W27" s="170"/>
      <c r="X27" s="170"/>
      <c r="Y27" s="170"/>
      <c r="Z27" s="170">
        <f t="shared" si="12"/>
        <v>831531</v>
      </c>
      <c r="AA27" s="210"/>
      <c r="AB27" s="211">
        <v>728429</v>
      </c>
      <c r="AC27" s="849"/>
      <c r="AD27" s="170"/>
      <c r="AE27" s="170"/>
      <c r="AF27" s="170"/>
      <c r="AG27" s="170"/>
      <c r="AH27" s="170">
        <f t="shared" si="13"/>
        <v>728429</v>
      </c>
      <c r="AI27" s="164" t="s">
        <v>416</v>
      </c>
      <c r="AJ27" s="164" t="s">
        <v>136</v>
      </c>
    </row>
    <row r="28" spans="1:36" s="212" customFormat="1" ht="26.25" customHeight="1" x14ac:dyDescent="0.2">
      <c r="A28" s="777">
        <v>580502946</v>
      </c>
      <c r="B28" s="966" t="s">
        <v>424</v>
      </c>
      <c r="C28" s="170"/>
      <c r="D28" s="210"/>
      <c r="E28" s="211">
        <v>1400000</v>
      </c>
      <c r="F28" s="849">
        <v>671555.09984664165</v>
      </c>
      <c r="G28" s="170"/>
      <c r="H28" s="170"/>
      <c r="I28" s="170">
        <f t="shared" si="10"/>
        <v>2071555.0998466415</v>
      </c>
      <c r="J28" s="210"/>
      <c r="K28" s="211">
        <v>1662460</v>
      </c>
      <c r="L28" s="849">
        <v>599481</v>
      </c>
      <c r="M28" s="170"/>
      <c r="N28" s="170"/>
      <c r="O28" s="170"/>
      <c r="P28" s="170"/>
      <c r="Q28" s="170"/>
      <c r="R28" s="170">
        <f t="shared" si="11"/>
        <v>2261941</v>
      </c>
      <c r="S28" s="210"/>
      <c r="T28" s="211">
        <v>1744739</v>
      </c>
      <c r="U28" s="849">
        <v>692667.04420445184</v>
      </c>
      <c r="V28" s="170"/>
      <c r="W28" s="170"/>
      <c r="X28" s="170"/>
      <c r="Y28" s="170"/>
      <c r="Z28" s="170">
        <f t="shared" si="12"/>
        <v>2437406.0442044521</v>
      </c>
      <c r="AA28" s="210"/>
      <c r="AB28" s="211">
        <v>1706688</v>
      </c>
      <c r="AC28" s="849">
        <v>686805</v>
      </c>
      <c r="AD28" s="170"/>
      <c r="AE28" s="170"/>
      <c r="AF28" s="170"/>
      <c r="AG28" s="170"/>
      <c r="AH28" s="170">
        <f t="shared" si="13"/>
        <v>2393493</v>
      </c>
      <c r="AI28" s="164" t="s">
        <v>53</v>
      </c>
      <c r="AJ28" s="164" t="s">
        <v>53</v>
      </c>
    </row>
    <row r="29" spans="1:36" s="212" customFormat="1" ht="26.25" customHeight="1" x14ac:dyDescent="0.2">
      <c r="A29" s="777" t="s">
        <v>2454</v>
      </c>
      <c r="B29" s="975" t="s">
        <v>2455</v>
      </c>
      <c r="C29" s="170"/>
      <c r="D29" s="210"/>
      <c r="E29" s="211">
        <f>261616+3200</f>
        <v>264816</v>
      </c>
      <c r="F29" s="849"/>
      <c r="G29" s="170"/>
      <c r="H29" s="170"/>
      <c r="I29" s="170">
        <f t="shared" si="10"/>
        <v>264816</v>
      </c>
      <c r="J29" s="210"/>
      <c r="K29" s="211">
        <f>504948</f>
        <v>504948</v>
      </c>
      <c r="L29" s="849"/>
      <c r="M29" s="170"/>
      <c r="N29" s="170"/>
      <c r="O29" s="170"/>
      <c r="P29" s="170"/>
      <c r="Q29" s="170"/>
      <c r="R29" s="170">
        <f t="shared" si="11"/>
        <v>504948</v>
      </c>
      <c r="S29" s="210"/>
      <c r="T29" s="211">
        <v>659786</v>
      </c>
      <c r="U29" s="849"/>
      <c r="V29" s="170"/>
      <c r="W29" s="170"/>
      <c r="X29" s="170"/>
      <c r="Y29" s="170"/>
      <c r="Z29" s="170">
        <f t="shared" si="12"/>
        <v>659786</v>
      </c>
      <c r="AA29" s="210"/>
      <c r="AB29" s="211">
        <v>620995</v>
      </c>
      <c r="AC29" s="849"/>
      <c r="AD29" s="170"/>
      <c r="AE29" s="170"/>
      <c r="AF29" s="170"/>
      <c r="AG29" s="170"/>
      <c r="AH29" s="170">
        <f t="shared" si="13"/>
        <v>620995</v>
      </c>
      <c r="AI29" s="164" t="s">
        <v>1499</v>
      </c>
      <c r="AJ29" s="164" t="s">
        <v>12</v>
      </c>
    </row>
    <row r="30" spans="1:36" ht="27.75" customHeight="1" x14ac:dyDescent="0.2">
      <c r="A30" s="771">
        <v>580558807</v>
      </c>
      <c r="B30" s="975" t="s">
        <v>2461</v>
      </c>
      <c r="C30" s="170"/>
      <c r="E30" s="1068" t="s">
        <v>3359</v>
      </c>
      <c r="F30" s="1069"/>
      <c r="G30" s="1069"/>
      <c r="H30" s="1070"/>
      <c r="I30" s="170"/>
      <c r="K30" s="845"/>
      <c r="L30" s="849"/>
      <c r="M30" s="170"/>
      <c r="N30" s="170"/>
      <c r="O30" s="170"/>
      <c r="P30" s="170"/>
      <c r="Q30" s="170"/>
      <c r="R30" s="170">
        <f t="shared" ref="R30" si="14">SUM(K30:Q30)</f>
        <v>0</v>
      </c>
      <c r="T30" s="845"/>
      <c r="U30" s="849"/>
      <c r="V30" s="170"/>
      <c r="W30" s="170"/>
      <c r="X30" s="170"/>
      <c r="Y30" s="170"/>
      <c r="Z30" s="170">
        <f t="shared" ref="Z30" si="15">SUM(T30:Y30)</f>
        <v>0</v>
      </c>
      <c r="AB30" s="845">
        <v>928281</v>
      </c>
      <c r="AC30" s="849">
        <v>32393</v>
      </c>
      <c r="AD30" s="170"/>
      <c r="AE30" s="170"/>
      <c r="AF30" s="170"/>
      <c r="AG30" s="170"/>
      <c r="AH30" s="170">
        <f t="shared" si="13"/>
        <v>960674</v>
      </c>
      <c r="AI30" s="195" t="s">
        <v>2431</v>
      </c>
      <c r="AJ30" s="195" t="s">
        <v>9</v>
      </c>
    </row>
    <row r="31" spans="1:36" ht="28.5" customHeight="1" x14ac:dyDescent="0.2">
      <c r="A31" s="777">
        <v>512287350</v>
      </c>
      <c r="B31" s="964" t="s">
        <v>425</v>
      </c>
      <c r="C31" s="170"/>
      <c r="E31" s="211">
        <v>1748916</v>
      </c>
      <c r="F31" s="170"/>
      <c r="G31" s="170"/>
      <c r="H31" s="170"/>
      <c r="I31" s="170">
        <f t="shared" si="10"/>
        <v>1748916</v>
      </c>
      <c r="K31" s="211">
        <v>1737732</v>
      </c>
      <c r="L31" s="170"/>
      <c r="M31" s="170"/>
      <c r="N31" s="170"/>
      <c r="O31" s="170"/>
      <c r="P31" s="170"/>
      <c r="Q31" s="170"/>
      <c r="R31" s="170">
        <f t="shared" si="11"/>
        <v>1737732</v>
      </c>
      <c r="T31" s="942">
        <v>1821766</v>
      </c>
      <c r="U31" s="849"/>
      <c r="V31" s="170"/>
      <c r="W31" s="170"/>
      <c r="X31" s="170"/>
      <c r="Y31" s="170"/>
      <c r="Z31" s="170">
        <f t="shared" si="12"/>
        <v>1821766</v>
      </c>
      <c r="AB31" s="211">
        <v>1459463</v>
      </c>
      <c r="AC31" s="849"/>
      <c r="AD31" s="170"/>
      <c r="AE31" s="170"/>
      <c r="AF31" s="170"/>
      <c r="AG31" s="170"/>
      <c r="AH31" s="170">
        <f t="shared" si="13"/>
        <v>1459463</v>
      </c>
      <c r="AI31" s="164" t="s">
        <v>426</v>
      </c>
      <c r="AJ31" s="164" t="s">
        <v>136</v>
      </c>
    </row>
    <row r="32" spans="1:36" s="228" customFormat="1" ht="18" x14ac:dyDescent="0.2">
      <c r="A32" s="1072" t="s">
        <v>2914</v>
      </c>
      <c r="B32" s="1073"/>
      <c r="C32" s="205"/>
      <c r="D32" s="210"/>
      <c r="E32" s="205">
        <f>E33+E97</f>
        <v>26549791</v>
      </c>
      <c r="F32" s="205">
        <f>F33+F97</f>
        <v>1239184.3761295746</v>
      </c>
      <c r="G32" s="205">
        <f>G33+G97</f>
        <v>786869.08344001393</v>
      </c>
      <c r="H32" s="205">
        <f>H33+H97</f>
        <v>0</v>
      </c>
      <c r="I32" s="205">
        <f>I33+I97</f>
        <v>28575844.459569592</v>
      </c>
      <c r="J32" s="210"/>
      <c r="K32" s="205">
        <f t="shared" ref="K32:R32" si="16">K33+K97</f>
        <v>26769888</v>
      </c>
      <c r="L32" s="205">
        <f t="shared" si="16"/>
        <v>1141818</v>
      </c>
      <c r="M32" s="205">
        <f t="shared" si="16"/>
        <v>1340439</v>
      </c>
      <c r="N32" s="205">
        <f t="shared" si="16"/>
        <v>316457</v>
      </c>
      <c r="O32" s="205">
        <f t="shared" si="16"/>
        <v>0</v>
      </c>
      <c r="P32" s="205">
        <f t="shared" si="16"/>
        <v>0</v>
      </c>
      <c r="Q32" s="205">
        <f t="shared" si="16"/>
        <v>0</v>
      </c>
      <c r="R32" s="205">
        <f t="shared" si="16"/>
        <v>29568602</v>
      </c>
      <c r="S32" s="210"/>
      <c r="T32" s="205">
        <f t="shared" ref="T32:Z32" si="17">T33+T97</f>
        <v>28735751.010000002</v>
      </c>
      <c r="U32" s="205">
        <f t="shared" si="17"/>
        <v>1183450.7003504708</v>
      </c>
      <c r="V32" s="205">
        <f t="shared" si="17"/>
        <v>1382912</v>
      </c>
      <c r="W32" s="205">
        <f t="shared" si="17"/>
        <v>525782</v>
      </c>
      <c r="X32" s="205">
        <f t="shared" ref="X32:Y32" si="18">X33+X97</f>
        <v>0</v>
      </c>
      <c r="Y32" s="205">
        <f t="shared" si="18"/>
        <v>0</v>
      </c>
      <c r="Z32" s="205">
        <f t="shared" si="17"/>
        <v>31827895.710350469</v>
      </c>
      <c r="AA32" s="210"/>
      <c r="AB32" s="205">
        <f t="shared" ref="AB32:AH32" si="19">AB33+AB97</f>
        <v>29420815</v>
      </c>
      <c r="AC32" s="205">
        <f t="shared" si="19"/>
        <v>1437067</v>
      </c>
      <c r="AD32" s="205">
        <f t="shared" si="19"/>
        <v>2619648</v>
      </c>
      <c r="AE32" s="205">
        <f t="shared" si="19"/>
        <v>566501</v>
      </c>
      <c r="AF32" s="205">
        <f t="shared" si="19"/>
        <v>0</v>
      </c>
      <c r="AG32" s="205">
        <f t="shared" ref="AG32" si="20">AG33+AG97</f>
        <v>46245</v>
      </c>
      <c r="AH32" s="205">
        <f t="shared" si="19"/>
        <v>34090276</v>
      </c>
      <c r="AI32" s="205"/>
      <c r="AJ32" s="205"/>
    </row>
    <row r="33" spans="1:36" s="228" customFormat="1" ht="18" x14ac:dyDescent="0.2">
      <c r="A33" s="229"/>
      <c r="B33" s="976" t="s">
        <v>427</v>
      </c>
      <c r="C33" s="205"/>
      <c r="D33" s="210"/>
      <c r="E33" s="205">
        <f>SUM(E34:E96)</f>
        <v>25508371</v>
      </c>
      <c r="F33" s="205">
        <f>SUM(F34:F96)</f>
        <v>1239184.3761295746</v>
      </c>
      <c r="G33" s="205">
        <f>SUM(G34:G96)</f>
        <v>786869.08344001393</v>
      </c>
      <c r="H33" s="205">
        <f>SUM(H34:H96)</f>
        <v>0</v>
      </c>
      <c r="I33" s="205">
        <f>SUM(I34:I96)</f>
        <v>27534424.459569592</v>
      </c>
      <c r="J33" s="210"/>
      <c r="K33" s="205">
        <f t="shared" ref="K33:R33" si="21">SUM(K34:K96)</f>
        <v>25768637</v>
      </c>
      <c r="L33" s="205">
        <f t="shared" si="21"/>
        <v>1141818</v>
      </c>
      <c r="M33" s="205">
        <f t="shared" si="21"/>
        <v>1340439</v>
      </c>
      <c r="N33" s="205">
        <f t="shared" si="21"/>
        <v>316457</v>
      </c>
      <c r="O33" s="205">
        <f t="shared" si="21"/>
        <v>0</v>
      </c>
      <c r="P33" s="205">
        <f t="shared" si="21"/>
        <v>0</v>
      </c>
      <c r="Q33" s="205">
        <f t="shared" si="21"/>
        <v>0</v>
      </c>
      <c r="R33" s="205">
        <f t="shared" si="21"/>
        <v>28567351</v>
      </c>
      <c r="S33" s="210"/>
      <c r="T33" s="205">
        <f t="shared" ref="T33:Z33" si="22">SUM(T34:T96)</f>
        <v>27843388.010000002</v>
      </c>
      <c r="U33" s="205">
        <f t="shared" si="22"/>
        <v>1183450.7003504708</v>
      </c>
      <c r="V33" s="205">
        <f t="shared" si="22"/>
        <v>1382912</v>
      </c>
      <c r="W33" s="205">
        <f t="shared" si="22"/>
        <v>525782</v>
      </c>
      <c r="X33" s="205">
        <f t="shared" ref="X33:Y33" si="23">SUM(X34:X96)</f>
        <v>0</v>
      </c>
      <c r="Y33" s="205">
        <f t="shared" si="23"/>
        <v>0</v>
      </c>
      <c r="Z33" s="205">
        <f t="shared" si="22"/>
        <v>30935532.710350469</v>
      </c>
      <c r="AA33" s="210"/>
      <c r="AB33" s="205">
        <f t="shared" ref="AB33:AH33" si="24">SUM(AB34:AB96)</f>
        <v>28137664</v>
      </c>
      <c r="AC33" s="205">
        <f t="shared" si="24"/>
        <v>1437067</v>
      </c>
      <c r="AD33" s="205">
        <f t="shared" si="24"/>
        <v>2619648</v>
      </c>
      <c r="AE33" s="205">
        <f t="shared" si="24"/>
        <v>566501</v>
      </c>
      <c r="AF33" s="205">
        <f t="shared" si="24"/>
        <v>0</v>
      </c>
      <c r="AG33" s="205">
        <f t="shared" ref="AG33" si="25">SUM(AG34:AG96)</f>
        <v>46245</v>
      </c>
      <c r="AH33" s="205">
        <f t="shared" si="24"/>
        <v>32807125</v>
      </c>
      <c r="AI33" s="205"/>
      <c r="AJ33" s="205"/>
    </row>
    <row r="34" spans="1:36" s="220" customFormat="1" ht="23.25" customHeight="1" x14ac:dyDescent="0.2">
      <c r="A34" s="771">
        <v>580080224</v>
      </c>
      <c r="B34" s="963" t="s">
        <v>428</v>
      </c>
      <c r="C34" s="170"/>
      <c r="D34" s="221"/>
      <c r="E34" s="845">
        <v>800000</v>
      </c>
      <c r="F34" s="849">
        <v>267179.27281033917</v>
      </c>
      <c r="G34" s="170"/>
      <c r="H34" s="170"/>
      <c r="I34" s="170">
        <f t="shared" ref="I34:I59" si="26">SUM(E34:H34)</f>
        <v>1067179.2728103392</v>
      </c>
      <c r="J34" s="221"/>
      <c r="K34" s="845">
        <f>860238+48750</f>
        <v>908988</v>
      </c>
      <c r="L34" s="849">
        <v>187680</v>
      </c>
      <c r="M34" s="170"/>
      <c r="N34" s="170"/>
      <c r="O34" s="170"/>
      <c r="P34" s="170"/>
      <c r="Q34" s="170"/>
      <c r="R34" s="170">
        <f t="shared" ref="R34:R59" si="27">SUM(K34:Q34)</f>
        <v>1096668</v>
      </c>
      <c r="S34" s="221"/>
      <c r="T34" s="845">
        <v>885750</v>
      </c>
      <c r="U34" s="849">
        <v>205681.76369163219</v>
      </c>
      <c r="V34" s="170"/>
      <c r="W34" s="170"/>
      <c r="X34" s="170"/>
      <c r="Y34" s="170"/>
      <c r="Z34" s="170">
        <f t="shared" ref="Z34:Z59" si="28">SUM(T34:Y34)</f>
        <v>1091431.7636916321</v>
      </c>
      <c r="AA34" s="221"/>
      <c r="AB34" s="1030">
        <v>896402</v>
      </c>
      <c r="AC34" s="849">
        <v>247057</v>
      </c>
      <c r="AD34" s="170"/>
      <c r="AE34" s="170"/>
      <c r="AF34" s="170"/>
      <c r="AG34" s="170"/>
      <c r="AH34" s="170">
        <f t="shared" ref="AH34:AH96" si="29">SUM(AB34:AG34)</f>
        <v>1143459</v>
      </c>
      <c r="AI34" s="512" t="s">
        <v>53</v>
      </c>
      <c r="AJ34" s="512" t="s">
        <v>53</v>
      </c>
    </row>
    <row r="35" spans="1:36" s="220" customFormat="1" ht="31.5" customHeight="1" x14ac:dyDescent="0.2">
      <c r="A35" s="771">
        <v>580103026</v>
      </c>
      <c r="B35" s="963" t="s">
        <v>324</v>
      </c>
      <c r="C35" s="170"/>
      <c r="D35" s="221"/>
      <c r="E35" s="845">
        <f>1138000+800000</f>
        <v>1938000</v>
      </c>
      <c r="F35" s="170"/>
      <c r="G35" s="170"/>
      <c r="H35" s="170"/>
      <c r="I35" s="170">
        <f t="shared" si="26"/>
        <v>1938000</v>
      </c>
      <c r="J35" s="221"/>
      <c r="K35" s="845">
        <f>1122592+815193</f>
        <v>1937785</v>
      </c>
      <c r="L35" s="170"/>
      <c r="M35" s="170"/>
      <c r="N35" s="170"/>
      <c r="O35" s="170"/>
      <c r="P35" s="170"/>
      <c r="Q35" s="170"/>
      <c r="R35" s="170">
        <f t="shared" si="27"/>
        <v>1937785</v>
      </c>
      <c r="S35" s="221"/>
      <c r="T35" s="845">
        <v>2066234</v>
      </c>
      <c r="U35" s="849"/>
      <c r="V35" s="170"/>
      <c r="W35" s="170"/>
      <c r="X35" s="170"/>
      <c r="Y35" s="170"/>
      <c r="Z35" s="170">
        <f t="shared" si="28"/>
        <v>2066234</v>
      </c>
      <c r="AA35" s="221"/>
      <c r="AB35" s="1030">
        <f>1173332+874128</f>
        <v>2047460</v>
      </c>
      <c r="AC35" s="849"/>
      <c r="AD35" s="170"/>
      <c r="AE35" s="170"/>
      <c r="AF35" s="170"/>
      <c r="AG35" s="170"/>
      <c r="AH35" s="170">
        <f t="shared" si="29"/>
        <v>2047460</v>
      </c>
      <c r="AI35" s="164" t="s">
        <v>73</v>
      </c>
      <c r="AJ35" s="164" t="s">
        <v>136</v>
      </c>
    </row>
    <row r="36" spans="1:36" s="218" customFormat="1" ht="29.25" customHeight="1" x14ac:dyDescent="0.2">
      <c r="A36" s="772">
        <v>580317766</v>
      </c>
      <c r="B36" s="963" t="s">
        <v>429</v>
      </c>
      <c r="C36" s="170"/>
      <c r="D36" s="232"/>
      <c r="E36" s="845">
        <v>1500000</v>
      </c>
      <c r="F36" s="170"/>
      <c r="G36" s="170"/>
      <c r="H36" s="170"/>
      <c r="I36" s="170">
        <f t="shared" si="26"/>
        <v>1500000</v>
      </c>
      <c r="J36" s="232"/>
      <c r="K36" s="845">
        <v>1224929</v>
      </c>
      <c r="L36" s="170"/>
      <c r="M36" s="170"/>
      <c r="N36" s="170"/>
      <c r="O36" s="170"/>
      <c r="P36" s="170"/>
      <c r="Q36" s="170"/>
      <c r="R36" s="170">
        <f t="shared" si="27"/>
        <v>1224929</v>
      </c>
      <c r="S36" s="232"/>
      <c r="T36" s="845">
        <v>1261952</v>
      </c>
      <c r="U36" s="849"/>
      <c r="V36" s="170"/>
      <c r="W36" s="170"/>
      <c r="X36" s="170"/>
      <c r="Y36" s="170"/>
      <c r="Z36" s="170">
        <f t="shared" si="28"/>
        <v>1261952</v>
      </c>
      <c r="AA36" s="232"/>
      <c r="AB36" s="845">
        <v>1058699</v>
      </c>
      <c r="AC36" s="849"/>
      <c r="AD36" s="170"/>
      <c r="AE36" s="170"/>
      <c r="AF36" s="170"/>
      <c r="AG36" s="170"/>
      <c r="AH36" s="170">
        <f t="shared" si="29"/>
        <v>1058699</v>
      </c>
      <c r="AI36" s="164" t="s">
        <v>73</v>
      </c>
      <c r="AJ36" s="164" t="s">
        <v>136</v>
      </c>
    </row>
    <row r="37" spans="1:36" s="218" customFormat="1" ht="29.25" customHeight="1" x14ac:dyDescent="0.2">
      <c r="A37" s="772">
        <v>580202091</v>
      </c>
      <c r="B37" s="963" t="s">
        <v>430</v>
      </c>
      <c r="C37" s="170"/>
      <c r="D37" s="232"/>
      <c r="E37" s="841">
        <v>1125701</v>
      </c>
      <c r="F37" s="170"/>
      <c r="G37" s="170"/>
      <c r="H37" s="170"/>
      <c r="I37" s="170">
        <f t="shared" si="26"/>
        <v>1125701</v>
      </c>
      <c r="J37" s="232"/>
      <c r="K37" s="841">
        <v>915612</v>
      </c>
      <c r="L37" s="170"/>
      <c r="M37" s="170"/>
      <c r="N37" s="170"/>
      <c r="O37" s="170"/>
      <c r="P37" s="170"/>
      <c r="Q37" s="170"/>
      <c r="R37" s="170">
        <f t="shared" si="27"/>
        <v>915612</v>
      </c>
      <c r="S37" s="232"/>
      <c r="T37" s="841">
        <v>607185</v>
      </c>
      <c r="U37" s="849"/>
      <c r="V37" s="170"/>
      <c r="W37" s="170"/>
      <c r="X37" s="170"/>
      <c r="Y37" s="170"/>
      <c r="Z37" s="170">
        <f t="shared" si="28"/>
        <v>607185</v>
      </c>
      <c r="AA37" s="232"/>
      <c r="AB37" s="845">
        <v>722279</v>
      </c>
      <c r="AC37" s="849"/>
      <c r="AD37" s="170"/>
      <c r="AE37" s="170"/>
      <c r="AF37" s="170"/>
      <c r="AG37" s="170"/>
      <c r="AH37" s="170">
        <f t="shared" si="29"/>
        <v>722279</v>
      </c>
      <c r="AI37" s="164" t="s">
        <v>73</v>
      </c>
      <c r="AJ37" s="164" t="s">
        <v>136</v>
      </c>
    </row>
    <row r="38" spans="1:36" s="214" customFormat="1" ht="54.75" customHeight="1" x14ac:dyDescent="0.2">
      <c r="A38" s="773">
        <v>580189769</v>
      </c>
      <c r="B38" s="963" t="s">
        <v>431</v>
      </c>
      <c r="C38" s="170"/>
      <c r="D38" s="210"/>
      <c r="E38" s="845">
        <v>850000</v>
      </c>
      <c r="F38" s="170"/>
      <c r="G38" s="170"/>
      <c r="H38" s="170"/>
      <c r="I38" s="170">
        <f t="shared" si="26"/>
        <v>850000</v>
      </c>
      <c r="J38" s="210"/>
      <c r="K38" s="845">
        <v>998066</v>
      </c>
      <c r="L38" s="170"/>
      <c r="M38" s="170"/>
      <c r="N38" s="170"/>
      <c r="O38" s="170"/>
      <c r="P38" s="170"/>
      <c r="Q38" s="170"/>
      <c r="R38" s="170">
        <f t="shared" si="27"/>
        <v>998066</v>
      </c>
      <c r="S38" s="210"/>
      <c r="T38" s="943">
        <v>1108348</v>
      </c>
      <c r="U38" s="849"/>
      <c r="V38" s="170"/>
      <c r="W38" s="170"/>
      <c r="X38" s="170"/>
      <c r="Y38" s="170"/>
      <c r="Z38" s="170">
        <f t="shared" si="28"/>
        <v>1108348</v>
      </c>
      <c r="AA38" s="210"/>
      <c r="AB38" s="845">
        <v>1038175</v>
      </c>
      <c r="AC38" s="849"/>
      <c r="AD38" s="170"/>
      <c r="AE38" s="170"/>
      <c r="AF38" s="170"/>
      <c r="AG38" s="170"/>
      <c r="AH38" s="170">
        <f t="shared" si="29"/>
        <v>1038175</v>
      </c>
      <c r="AI38" s="164" t="s">
        <v>432</v>
      </c>
      <c r="AJ38" s="164" t="s">
        <v>136</v>
      </c>
    </row>
    <row r="39" spans="1:36" s="222" customFormat="1" ht="38.25" customHeight="1" x14ac:dyDescent="0.2">
      <c r="A39" s="773">
        <v>580415446</v>
      </c>
      <c r="B39" s="963" t="s">
        <v>433</v>
      </c>
      <c r="C39" s="170"/>
      <c r="D39" s="221"/>
      <c r="E39" s="845">
        <v>1100000</v>
      </c>
      <c r="F39" s="170"/>
      <c r="G39" s="170">
        <v>236395.32381850888</v>
      </c>
      <c r="H39" s="170"/>
      <c r="I39" s="170">
        <f t="shared" si="26"/>
        <v>1336395.323818509</v>
      </c>
      <c r="J39" s="221"/>
      <c r="K39" s="845">
        <v>1108073</v>
      </c>
      <c r="L39" s="170"/>
      <c r="M39" s="170">
        <f>350000+41226</f>
        <v>391226</v>
      </c>
      <c r="N39" s="170"/>
      <c r="O39" s="170"/>
      <c r="P39" s="170"/>
      <c r="Q39" s="170"/>
      <c r="R39" s="170">
        <f t="shared" si="27"/>
        <v>1499299</v>
      </c>
      <c r="S39" s="221"/>
      <c r="T39" s="845">
        <v>1179789</v>
      </c>
      <c r="U39" s="849"/>
      <c r="V39" s="170">
        <v>388144</v>
      </c>
      <c r="W39" s="170"/>
      <c r="X39" s="170"/>
      <c r="Y39" s="170"/>
      <c r="Z39" s="170">
        <f t="shared" si="28"/>
        <v>1567933</v>
      </c>
      <c r="AA39" s="221"/>
      <c r="AB39" s="845">
        <v>1010361</v>
      </c>
      <c r="AC39" s="849"/>
      <c r="AD39" s="170">
        <v>498978</v>
      </c>
      <c r="AE39" s="170"/>
      <c r="AF39" s="170"/>
      <c r="AG39" s="170"/>
      <c r="AH39" s="170">
        <f t="shared" si="29"/>
        <v>1509339</v>
      </c>
      <c r="AI39" s="164" t="s">
        <v>434</v>
      </c>
      <c r="AJ39" s="164" t="s">
        <v>9</v>
      </c>
    </row>
    <row r="40" spans="1:36" s="220" customFormat="1" ht="24" customHeight="1" x14ac:dyDescent="0.2">
      <c r="A40" s="771">
        <v>580158210</v>
      </c>
      <c r="B40" s="963" t="s">
        <v>435</v>
      </c>
      <c r="C40" s="170"/>
      <c r="D40" s="221"/>
      <c r="E40" s="845">
        <v>1279494</v>
      </c>
      <c r="F40" s="170"/>
      <c r="G40" s="170"/>
      <c r="H40" s="170"/>
      <c r="I40" s="170">
        <f t="shared" si="26"/>
        <v>1279494</v>
      </c>
      <c r="J40" s="221"/>
      <c r="K40" s="845">
        <v>1052353</v>
      </c>
      <c r="L40" s="170"/>
      <c r="M40" s="170"/>
      <c r="N40" s="170"/>
      <c r="O40" s="170"/>
      <c r="P40" s="170"/>
      <c r="Q40" s="170"/>
      <c r="R40" s="170">
        <f t="shared" si="27"/>
        <v>1052353</v>
      </c>
      <c r="S40" s="221"/>
      <c r="T40" s="943">
        <v>1080591</v>
      </c>
      <c r="U40" s="849"/>
      <c r="V40" s="170"/>
      <c r="W40" s="170"/>
      <c r="X40" s="170"/>
      <c r="Y40" s="170"/>
      <c r="Z40" s="170">
        <f t="shared" si="28"/>
        <v>1080591</v>
      </c>
      <c r="AA40" s="221"/>
      <c r="AB40" s="845">
        <v>1018133</v>
      </c>
      <c r="AC40" s="849"/>
      <c r="AD40" s="170"/>
      <c r="AE40" s="170"/>
      <c r="AF40" s="170"/>
      <c r="AG40" s="170"/>
      <c r="AH40" s="170">
        <f t="shared" si="29"/>
        <v>1018133</v>
      </c>
      <c r="AI40" s="164" t="s">
        <v>73</v>
      </c>
      <c r="AJ40" s="164" t="s">
        <v>136</v>
      </c>
    </row>
    <row r="41" spans="1:36" s="220" customFormat="1" ht="39.75" customHeight="1" x14ac:dyDescent="0.2">
      <c r="A41" s="771">
        <v>580350783</v>
      </c>
      <c r="B41" s="963" t="s">
        <v>436</v>
      </c>
      <c r="C41" s="170"/>
      <c r="D41" s="221"/>
      <c r="E41" s="845">
        <v>865636</v>
      </c>
      <c r="F41" s="170"/>
      <c r="G41" s="170">
        <v>186029.36593541704</v>
      </c>
      <c r="H41" s="170"/>
      <c r="I41" s="170">
        <f t="shared" si="26"/>
        <v>1051665.3659354171</v>
      </c>
      <c r="J41" s="221"/>
      <c r="K41" s="845">
        <v>704083</v>
      </c>
      <c r="L41" s="170"/>
      <c r="M41" s="841">
        <f>250000+57872</f>
        <v>307872</v>
      </c>
      <c r="N41" s="170"/>
      <c r="O41" s="170"/>
      <c r="P41" s="170"/>
      <c r="Q41" s="170"/>
      <c r="R41" s="170">
        <f t="shared" si="27"/>
        <v>1011955</v>
      </c>
      <c r="S41" s="221"/>
      <c r="T41" s="943">
        <v>648176</v>
      </c>
      <c r="U41" s="849"/>
      <c r="V41" s="170">
        <v>289469</v>
      </c>
      <c r="W41" s="170"/>
      <c r="X41" s="170"/>
      <c r="Y41" s="170"/>
      <c r="Z41" s="170">
        <f t="shared" si="28"/>
        <v>937645</v>
      </c>
      <c r="AA41" s="221"/>
      <c r="AB41" s="845">
        <f>543779+90011</f>
        <v>633790</v>
      </c>
      <c r="AC41" s="849"/>
      <c r="AD41" s="170">
        <v>274139</v>
      </c>
      <c r="AE41" s="170"/>
      <c r="AF41" s="170"/>
      <c r="AG41" s="170"/>
      <c r="AH41" s="170">
        <f t="shared" si="29"/>
        <v>907929</v>
      </c>
      <c r="AI41" s="164" t="s">
        <v>437</v>
      </c>
      <c r="AJ41" s="164" t="s">
        <v>9</v>
      </c>
    </row>
    <row r="42" spans="1:36" s="218" customFormat="1" ht="29.25" customHeight="1" x14ac:dyDescent="0.2">
      <c r="A42" s="111">
        <v>513377457</v>
      </c>
      <c r="B42" s="965" t="s">
        <v>438</v>
      </c>
      <c r="C42" s="216"/>
      <c r="D42" s="232"/>
      <c r="E42" s="845">
        <f>468588+72763</f>
        <v>541351</v>
      </c>
      <c r="F42" s="170"/>
      <c r="G42" s="170"/>
      <c r="H42" s="170"/>
      <c r="I42" s="170">
        <f t="shared" si="26"/>
        <v>541351</v>
      </c>
      <c r="J42" s="232"/>
      <c r="K42" s="845">
        <f>88659+536433+69000</f>
        <v>694092</v>
      </c>
      <c r="L42" s="170"/>
      <c r="M42" s="170"/>
      <c r="N42" s="170"/>
      <c r="O42" s="170"/>
      <c r="P42" s="170"/>
      <c r="Q42" s="170"/>
      <c r="R42" s="170">
        <f t="shared" si="27"/>
        <v>694092</v>
      </c>
      <c r="S42" s="232"/>
      <c r="T42" s="943">
        <v>674896</v>
      </c>
      <c r="U42" s="849"/>
      <c r="V42" s="170"/>
      <c r="W42" s="170"/>
      <c r="X42" s="170"/>
      <c r="Y42" s="170"/>
      <c r="Z42" s="170">
        <f t="shared" si="28"/>
        <v>674896</v>
      </c>
      <c r="AA42" s="232"/>
      <c r="AB42" s="1030">
        <f>669948+133803+121168</f>
        <v>924919</v>
      </c>
      <c r="AC42" s="849"/>
      <c r="AD42" s="170"/>
      <c r="AE42" s="170"/>
      <c r="AF42" s="170"/>
      <c r="AG42" s="170"/>
      <c r="AH42" s="170">
        <f t="shared" si="29"/>
        <v>924919</v>
      </c>
      <c r="AI42" s="164" t="s">
        <v>73</v>
      </c>
      <c r="AJ42" s="164" t="s">
        <v>136</v>
      </c>
    </row>
    <row r="43" spans="1:36" ht="24" customHeight="1" x14ac:dyDescent="0.2">
      <c r="A43" s="774">
        <v>580371045</v>
      </c>
      <c r="B43" s="963" t="s">
        <v>439</v>
      </c>
      <c r="C43" s="170"/>
      <c r="E43" s="845">
        <v>800000</v>
      </c>
      <c r="F43" s="849">
        <v>250000</v>
      </c>
      <c r="G43" s="170"/>
      <c r="H43" s="170"/>
      <c r="I43" s="170">
        <f t="shared" si="26"/>
        <v>1050000</v>
      </c>
      <c r="K43" s="845">
        <v>827390</v>
      </c>
      <c r="L43" s="849">
        <v>187680</v>
      </c>
      <c r="M43" s="170"/>
      <c r="N43" s="170"/>
      <c r="O43" s="170"/>
      <c r="P43" s="170"/>
      <c r="Q43" s="170"/>
      <c r="R43" s="170">
        <f t="shared" si="27"/>
        <v>1015070</v>
      </c>
      <c r="T43" s="845">
        <v>863494</v>
      </c>
      <c r="U43" s="849">
        <v>197827.85050279056</v>
      </c>
      <c r="V43" s="170"/>
      <c r="W43" s="170"/>
      <c r="X43" s="170"/>
      <c r="Y43" s="170"/>
      <c r="Z43" s="170">
        <f t="shared" si="28"/>
        <v>1061321.8505027907</v>
      </c>
      <c r="AB43" s="845">
        <v>756008</v>
      </c>
      <c r="AC43" s="849">
        <v>240849</v>
      </c>
      <c r="AD43" s="170"/>
      <c r="AE43" s="170"/>
      <c r="AF43" s="170"/>
      <c r="AG43" s="170"/>
      <c r="AH43" s="170">
        <f t="shared" si="29"/>
        <v>996857</v>
      </c>
      <c r="AI43" s="164" t="s">
        <v>53</v>
      </c>
      <c r="AJ43" s="164" t="s">
        <v>53</v>
      </c>
    </row>
    <row r="44" spans="1:36" ht="23.25" customHeight="1" x14ac:dyDescent="0.2">
      <c r="A44" s="774">
        <v>580370773</v>
      </c>
      <c r="B44" s="963" t="s">
        <v>440</v>
      </c>
      <c r="C44" s="170"/>
      <c r="E44" s="845">
        <v>900000</v>
      </c>
      <c r="F44" s="170"/>
      <c r="G44" s="170"/>
      <c r="H44" s="170"/>
      <c r="I44" s="170">
        <f t="shared" si="26"/>
        <v>900000</v>
      </c>
      <c r="K44" s="845">
        <v>866086</v>
      </c>
      <c r="L44" s="170"/>
      <c r="M44" s="170"/>
      <c r="N44" s="170"/>
      <c r="O44" s="170"/>
      <c r="P44" s="170"/>
      <c r="Q44" s="170"/>
      <c r="R44" s="170">
        <f t="shared" si="27"/>
        <v>866086</v>
      </c>
      <c r="T44" s="845">
        <v>821383</v>
      </c>
      <c r="U44" s="849"/>
      <c r="V44" s="170"/>
      <c r="W44" s="170"/>
      <c r="X44" s="170"/>
      <c r="Y44" s="170"/>
      <c r="Z44" s="170">
        <f t="shared" si="28"/>
        <v>821383</v>
      </c>
      <c r="AB44" s="845">
        <v>831125</v>
      </c>
      <c r="AC44" s="849"/>
      <c r="AD44" s="170"/>
      <c r="AE44" s="170"/>
      <c r="AF44" s="170"/>
      <c r="AG44" s="170"/>
      <c r="AH44" s="170">
        <f t="shared" si="29"/>
        <v>831125</v>
      </c>
      <c r="AI44" s="164" t="s">
        <v>441</v>
      </c>
      <c r="AJ44" s="164" t="s">
        <v>136</v>
      </c>
    </row>
    <row r="45" spans="1:36" ht="34.5" customHeight="1" x14ac:dyDescent="0.2">
      <c r="A45" s="774">
        <v>580300614</v>
      </c>
      <c r="B45" s="963" t="s">
        <v>442</v>
      </c>
      <c r="C45" s="216"/>
      <c r="E45" s="841">
        <f>749381+90000</f>
        <v>839381</v>
      </c>
      <c r="F45" s="170"/>
      <c r="G45" s="170"/>
      <c r="H45" s="170"/>
      <c r="I45" s="170">
        <f t="shared" si="26"/>
        <v>839381</v>
      </c>
      <c r="K45" s="845">
        <v>725830</v>
      </c>
      <c r="L45" s="170"/>
      <c r="M45" s="170"/>
      <c r="N45" s="170"/>
      <c r="O45" s="170"/>
      <c r="P45" s="170"/>
      <c r="Q45" s="170"/>
      <c r="R45" s="170">
        <f t="shared" si="27"/>
        <v>725830</v>
      </c>
      <c r="T45" s="943">
        <v>661167</v>
      </c>
      <c r="U45" s="849"/>
      <c r="V45" s="170"/>
      <c r="W45" s="170"/>
      <c r="X45" s="170"/>
      <c r="Y45" s="170"/>
      <c r="Z45" s="170">
        <f t="shared" si="28"/>
        <v>661167</v>
      </c>
      <c r="AB45" s="845">
        <f>848815+94857</f>
        <v>943672</v>
      </c>
      <c r="AC45" s="849"/>
      <c r="AD45" s="170"/>
      <c r="AE45" s="170"/>
      <c r="AF45" s="170"/>
      <c r="AG45" s="170"/>
      <c r="AH45" s="170">
        <f t="shared" si="29"/>
        <v>943672</v>
      </c>
      <c r="AI45" s="164" t="s">
        <v>443</v>
      </c>
      <c r="AJ45" s="164" t="s">
        <v>136</v>
      </c>
    </row>
    <row r="46" spans="1:36" s="220" customFormat="1" ht="26.25" customHeight="1" x14ac:dyDescent="0.2">
      <c r="A46" s="771">
        <v>580283281</v>
      </c>
      <c r="B46" s="963" t="s">
        <v>444</v>
      </c>
      <c r="C46" s="234"/>
      <c r="D46" s="221"/>
      <c r="E46" s="841">
        <v>191250</v>
      </c>
      <c r="F46" s="170"/>
      <c r="G46" s="170"/>
      <c r="H46" s="170"/>
      <c r="I46" s="170">
        <f t="shared" si="26"/>
        <v>191250</v>
      </c>
      <c r="J46" s="221"/>
      <c r="K46" s="845">
        <v>201000</v>
      </c>
      <c r="L46" s="170"/>
      <c r="M46" s="170"/>
      <c r="N46" s="170"/>
      <c r="O46" s="170"/>
      <c r="P46" s="170"/>
      <c r="Q46" s="170"/>
      <c r="R46" s="170">
        <f t="shared" si="27"/>
        <v>201000</v>
      </c>
      <c r="S46" s="221"/>
      <c r="T46" s="943">
        <v>163500</v>
      </c>
      <c r="U46" s="849"/>
      <c r="V46" s="170"/>
      <c r="W46" s="170"/>
      <c r="X46" s="170"/>
      <c r="Y46" s="170"/>
      <c r="Z46" s="170">
        <f t="shared" si="28"/>
        <v>163500</v>
      </c>
      <c r="AA46" s="221"/>
      <c r="AB46" s="845"/>
      <c r="AC46" s="849"/>
      <c r="AD46" s="170"/>
      <c r="AE46" s="170"/>
      <c r="AF46" s="170"/>
      <c r="AG46" s="170"/>
      <c r="AH46" s="170">
        <f t="shared" si="29"/>
        <v>0</v>
      </c>
      <c r="AI46" s="164" t="s">
        <v>73</v>
      </c>
      <c r="AJ46" s="164" t="s">
        <v>136</v>
      </c>
    </row>
    <row r="47" spans="1:36" ht="42.75" x14ac:dyDescent="0.2">
      <c r="A47" s="772">
        <v>510748734</v>
      </c>
      <c r="B47" s="963" t="s">
        <v>445</v>
      </c>
      <c r="C47" s="170"/>
      <c r="E47" s="845">
        <f>300000+346904</f>
        <v>646904</v>
      </c>
      <c r="F47" s="849">
        <v>143462.69564598193</v>
      </c>
      <c r="G47" s="170"/>
      <c r="H47" s="170"/>
      <c r="I47" s="170">
        <f t="shared" si="26"/>
        <v>790366.69564598193</v>
      </c>
      <c r="K47" s="845">
        <v>562273</v>
      </c>
      <c r="L47" s="849">
        <v>151764</v>
      </c>
      <c r="M47" s="170"/>
      <c r="N47" s="170"/>
      <c r="O47" s="170"/>
      <c r="P47" s="170"/>
      <c r="Q47" s="170"/>
      <c r="R47" s="170">
        <f t="shared" si="27"/>
        <v>714037</v>
      </c>
      <c r="T47" s="845">
        <v>635479</v>
      </c>
      <c r="U47" s="849">
        <v>134438.7277895014</v>
      </c>
      <c r="V47" s="170"/>
      <c r="W47" s="170"/>
      <c r="X47" s="170"/>
      <c r="Y47" s="170"/>
      <c r="Z47" s="170">
        <f t="shared" si="28"/>
        <v>769917.72778950143</v>
      </c>
      <c r="AB47" s="845">
        <v>711279</v>
      </c>
      <c r="AC47" s="849">
        <v>177250</v>
      </c>
      <c r="AD47" s="170"/>
      <c r="AE47" s="170"/>
      <c r="AF47" s="170"/>
      <c r="AG47" s="170"/>
      <c r="AH47" s="170">
        <f t="shared" si="29"/>
        <v>888529</v>
      </c>
      <c r="AI47" s="164" t="s">
        <v>53</v>
      </c>
      <c r="AJ47" s="164" t="s">
        <v>53</v>
      </c>
    </row>
    <row r="48" spans="1:36" ht="26.25" customHeight="1" x14ac:dyDescent="0.2">
      <c r="A48" s="775">
        <v>580373769</v>
      </c>
      <c r="B48" s="968" t="s">
        <v>446</v>
      </c>
      <c r="C48" s="170"/>
      <c r="E48" s="841">
        <v>1310086</v>
      </c>
      <c r="F48" s="849">
        <v>353294.71218132594</v>
      </c>
      <c r="G48" s="170"/>
      <c r="H48" s="170"/>
      <c r="I48" s="170">
        <f t="shared" si="26"/>
        <v>1663380.712181326</v>
      </c>
      <c r="K48" s="845">
        <v>1065585</v>
      </c>
      <c r="L48" s="849">
        <v>307347</v>
      </c>
      <c r="M48" s="170"/>
      <c r="N48" s="170"/>
      <c r="O48" s="170"/>
      <c r="P48" s="170"/>
      <c r="Q48" s="170"/>
      <c r="R48" s="170">
        <f t="shared" si="27"/>
        <v>1372932</v>
      </c>
      <c r="T48" s="845">
        <v>1096521</v>
      </c>
      <c r="U48" s="849">
        <v>254779.95875949197</v>
      </c>
      <c r="V48" s="170"/>
      <c r="W48" s="170"/>
      <c r="X48" s="170"/>
      <c r="Y48" s="170"/>
      <c r="Z48" s="170">
        <f t="shared" si="28"/>
        <v>1351300.958759492</v>
      </c>
      <c r="AB48" s="845">
        <f>940173+90011</f>
        <v>1030184</v>
      </c>
      <c r="AC48" s="849">
        <v>305846</v>
      </c>
      <c r="AD48" s="170"/>
      <c r="AE48" s="170"/>
      <c r="AF48" s="170"/>
      <c r="AG48" s="170"/>
      <c r="AH48" s="170">
        <f t="shared" si="29"/>
        <v>1336030</v>
      </c>
      <c r="AI48" s="164" t="s">
        <v>53</v>
      </c>
      <c r="AJ48" s="164" t="s">
        <v>53</v>
      </c>
    </row>
    <row r="49" spans="1:36" ht="19.5" customHeight="1" x14ac:dyDescent="0.2">
      <c r="A49" s="776">
        <v>580345403</v>
      </c>
      <c r="B49" s="969" t="s">
        <v>447</v>
      </c>
      <c r="C49" s="170"/>
      <c r="E49" s="845">
        <v>782971</v>
      </c>
      <c r="F49" s="170"/>
      <c r="G49" s="170"/>
      <c r="H49" s="170"/>
      <c r="I49" s="170">
        <f t="shared" si="26"/>
        <v>782971</v>
      </c>
      <c r="K49" s="845">
        <v>797248</v>
      </c>
      <c r="L49" s="170"/>
      <c r="M49" s="170"/>
      <c r="N49" s="170"/>
      <c r="O49" s="170"/>
      <c r="P49" s="170"/>
      <c r="Q49" s="170"/>
      <c r="R49" s="170">
        <f t="shared" si="27"/>
        <v>797248</v>
      </c>
      <c r="T49" s="943">
        <v>837296</v>
      </c>
      <c r="U49" s="849"/>
      <c r="V49" s="170"/>
      <c r="W49" s="170"/>
      <c r="X49" s="170"/>
      <c r="Y49" s="170"/>
      <c r="Z49" s="170">
        <f t="shared" si="28"/>
        <v>837296</v>
      </c>
      <c r="AB49" s="845">
        <v>813295</v>
      </c>
      <c r="AC49" s="849"/>
      <c r="AD49" s="170">
        <f>310000+44125</f>
        <v>354125</v>
      </c>
      <c r="AE49" s="170"/>
      <c r="AF49" s="170"/>
      <c r="AG49" s="170"/>
      <c r="AH49" s="170">
        <f t="shared" si="29"/>
        <v>1167420</v>
      </c>
      <c r="AI49" s="164" t="s">
        <v>448</v>
      </c>
      <c r="AJ49" s="164" t="s">
        <v>9</v>
      </c>
    </row>
    <row r="50" spans="1:36" ht="24.75" customHeight="1" x14ac:dyDescent="0.2">
      <c r="A50" s="777">
        <v>580396307</v>
      </c>
      <c r="B50" s="964" t="s">
        <v>449</v>
      </c>
      <c r="C50" s="170"/>
      <c r="E50" s="845">
        <v>650000</v>
      </c>
      <c r="F50" s="170"/>
      <c r="G50" s="170"/>
      <c r="H50" s="170"/>
      <c r="I50" s="170">
        <f t="shared" si="26"/>
        <v>650000</v>
      </c>
      <c r="K50" s="845">
        <v>581945</v>
      </c>
      <c r="L50" s="170"/>
      <c r="M50" s="170"/>
      <c r="N50" s="170"/>
      <c r="O50" s="170"/>
      <c r="P50" s="170"/>
      <c r="Q50" s="170"/>
      <c r="R50" s="170">
        <f t="shared" si="27"/>
        <v>581945</v>
      </c>
      <c r="T50" s="845">
        <v>648117</v>
      </c>
      <c r="U50" s="849"/>
      <c r="V50" s="170"/>
      <c r="W50" s="170"/>
      <c r="X50" s="170"/>
      <c r="Y50" s="170"/>
      <c r="Z50" s="170">
        <f t="shared" si="28"/>
        <v>648117</v>
      </c>
      <c r="AB50" s="845">
        <v>543730</v>
      </c>
      <c r="AC50" s="849"/>
      <c r="AD50" s="170"/>
      <c r="AE50" s="170"/>
      <c r="AF50" s="170"/>
      <c r="AG50" s="170"/>
      <c r="AH50" s="170">
        <f t="shared" si="29"/>
        <v>543730</v>
      </c>
      <c r="AI50" s="164" t="s">
        <v>443</v>
      </c>
      <c r="AJ50" s="164" t="s">
        <v>136</v>
      </c>
    </row>
    <row r="51" spans="1:36" ht="24.75" customHeight="1" x14ac:dyDescent="0.2">
      <c r="A51" s="777">
        <v>580081834</v>
      </c>
      <c r="B51" s="964" t="s">
        <v>450</v>
      </c>
      <c r="C51" s="170"/>
      <c r="E51" s="845">
        <f>170000+50000</f>
        <v>220000</v>
      </c>
      <c r="F51" s="170"/>
      <c r="G51" s="170"/>
      <c r="H51" s="170"/>
      <c r="I51" s="170">
        <f t="shared" si="26"/>
        <v>220000</v>
      </c>
      <c r="K51" s="845">
        <f>50000+170000</f>
        <v>220000</v>
      </c>
      <c r="L51" s="170"/>
      <c r="M51" s="170"/>
      <c r="N51" s="170"/>
      <c r="O51" s="170"/>
      <c r="P51" s="170"/>
      <c r="Q51" s="170"/>
      <c r="R51" s="170">
        <f t="shared" si="27"/>
        <v>220000</v>
      </c>
      <c r="T51" s="845">
        <v>197048</v>
      </c>
      <c r="U51" s="849"/>
      <c r="V51" s="170"/>
      <c r="W51" s="170"/>
      <c r="X51" s="170"/>
      <c r="Y51" s="170"/>
      <c r="Z51" s="170">
        <f t="shared" si="28"/>
        <v>197048</v>
      </c>
      <c r="AB51" s="943">
        <f>185136+52435</f>
        <v>237571</v>
      </c>
      <c r="AC51" s="849"/>
      <c r="AD51" s="170"/>
      <c r="AE51" s="170"/>
      <c r="AF51" s="170"/>
      <c r="AG51" s="170"/>
      <c r="AH51" s="170">
        <f t="shared" si="29"/>
        <v>237571</v>
      </c>
      <c r="AI51" s="164" t="s">
        <v>73</v>
      </c>
      <c r="AJ51" s="164" t="s">
        <v>136</v>
      </c>
    </row>
    <row r="52" spans="1:36" ht="24.75" customHeight="1" x14ac:dyDescent="0.2">
      <c r="A52" s="777">
        <v>580385797</v>
      </c>
      <c r="B52" s="964" t="s">
        <v>451</v>
      </c>
      <c r="C52" s="170"/>
      <c r="E52" s="845">
        <f>19588+263686+75339+33750+30000</f>
        <v>422363</v>
      </c>
      <c r="F52" s="170"/>
      <c r="G52" s="170"/>
      <c r="H52" s="170"/>
      <c r="I52" s="170">
        <f t="shared" si="26"/>
        <v>422363</v>
      </c>
      <c r="K52" s="845">
        <f>260250+39750+15504+30727+45000</f>
        <v>391231</v>
      </c>
      <c r="L52" s="170"/>
      <c r="M52" s="170"/>
      <c r="N52" s="170"/>
      <c r="O52" s="170"/>
      <c r="P52" s="170"/>
      <c r="Q52" s="170"/>
      <c r="R52" s="170">
        <f t="shared" si="27"/>
        <v>391231</v>
      </c>
      <c r="T52" s="845">
        <v>351000</v>
      </c>
      <c r="U52" s="849"/>
      <c r="V52" s="170"/>
      <c r="W52" s="170"/>
      <c r="X52" s="170"/>
      <c r="Y52" s="170"/>
      <c r="Z52" s="170">
        <f t="shared" si="28"/>
        <v>351000</v>
      </c>
      <c r="AB52" s="845">
        <f>295650+152325</f>
        <v>447975</v>
      </c>
      <c r="AC52" s="849"/>
      <c r="AD52" s="170"/>
      <c r="AE52" s="170"/>
      <c r="AF52" s="170"/>
      <c r="AG52" s="170"/>
      <c r="AH52" s="170">
        <f t="shared" si="29"/>
        <v>447975</v>
      </c>
      <c r="AI52" s="195" t="s">
        <v>73</v>
      </c>
      <c r="AJ52" s="195" t="s">
        <v>136</v>
      </c>
    </row>
    <row r="53" spans="1:36" ht="31.5" customHeight="1" x14ac:dyDescent="0.2">
      <c r="A53" s="777">
        <v>580213288</v>
      </c>
      <c r="B53" s="964" t="s">
        <v>452</v>
      </c>
      <c r="C53" s="170"/>
      <c r="E53" s="845">
        <v>286078</v>
      </c>
      <c r="F53" s="170"/>
      <c r="G53" s="170"/>
      <c r="H53" s="170"/>
      <c r="I53" s="170">
        <f t="shared" si="26"/>
        <v>286078</v>
      </c>
      <c r="K53" s="845">
        <v>360832</v>
      </c>
      <c r="L53" s="170"/>
      <c r="M53" s="170"/>
      <c r="N53" s="170"/>
      <c r="O53" s="170"/>
      <c r="P53" s="170"/>
      <c r="Q53" s="170"/>
      <c r="R53" s="170">
        <f t="shared" si="27"/>
        <v>360832</v>
      </c>
      <c r="T53" s="845">
        <v>349759</v>
      </c>
      <c r="U53" s="849"/>
      <c r="V53" s="170"/>
      <c r="W53" s="170"/>
      <c r="X53" s="170"/>
      <c r="Y53" s="170"/>
      <c r="Z53" s="170">
        <f t="shared" si="28"/>
        <v>349759</v>
      </c>
      <c r="AB53" s="943">
        <v>427426</v>
      </c>
      <c r="AC53" s="849"/>
      <c r="AD53" s="170"/>
      <c r="AE53" s="170"/>
      <c r="AF53" s="170"/>
      <c r="AG53" s="170"/>
      <c r="AH53" s="170">
        <f t="shared" si="29"/>
        <v>427426</v>
      </c>
      <c r="AI53" s="195" t="s">
        <v>443</v>
      </c>
      <c r="AJ53" s="195" t="s">
        <v>136</v>
      </c>
    </row>
    <row r="54" spans="1:36" ht="25.5" customHeight="1" x14ac:dyDescent="0.2">
      <c r="A54" s="777">
        <v>580408896</v>
      </c>
      <c r="B54" s="964" t="s">
        <v>453</v>
      </c>
      <c r="C54" s="170"/>
      <c r="E54" s="845">
        <v>22602</v>
      </c>
      <c r="F54" s="170"/>
      <c r="G54" s="170"/>
      <c r="H54" s="170"/>
      <c r="I54" s="170">
        <f t="shared" si="26"/>
        <v>22602</v>
      </c>
      <c r="K54" s="845">
        <v>22500</v>
      </c>
      <c r="L54" s="170"/>
      <c r="M54" s="170"/>
      <c r="N54" s="170"/>
      <c r="O54" s="170"/>
      <c r="P54" s="170"/>
      <c r="Q54" s="170"/>
      <c r="R54" s="170">
        <f t="shared" si="27"/>
        <v>22500</v>
      </c>
      <c r="T54" s="845">
        <v>21094</v>
      </c>
      <c r="U54" s="849"/>
      <c r="V54" s="170"/>
      <c r="W54" s="170"/>
      <c r="X54" s="170"/>
      <c r="Y54" s="170"/>
      <c r="Z54" s="170">
        <f t="shared" si="28"/>
        <v>21094</v>
      </c>
      <c r="AB54" s="845"/>
      <c r="AC54" s="849"/>
      <c r="AD54" s="170"/>
      <c r="AE54" s="170"/>
      <c r="AF54" s="170"/>
      <c r="AG54" s="170"/>
      <c r="AH54" s="170">
        <f t="shared" si="29"/>
        <v>0</v>
      </c>
      <c r="AI54" s="195" t="s">
        <v>73</v>
      </c>
      <c r="AJ54" s="195" t="s">
        <v>136</v>
      </c>
    </row>
    <row r="55" spans="1:36" ht="25.5" customHeight="1" x14ac:dyDescent="0.2">
      <c r="A55" s="777">
        <v>580423283</v>
      </c>
      <c r="B55" s="964" t="s">
        <v>454</v>
      </c>
      <c r="C55" s="234"/>
      <c r="E55" s="845">
        <v>157520</v>
      </c>
      <c r="F55" s="170"/>
      <c r="G55" s="170"/>
      <c r="H55" s="170"/>
      <c r="I55" s="170">
        <f t="shared" si="26"/>
        <v>157520</v>
      </c>
      <c r="K55" s="845">
        <v>161338</v>
      </c>
      <c r="L55" s="170"/>
      <c r="M55" s="170"/>
      <c r="N55" s="170"/>
      <c r="O55" s="170"/>
      <c r="P55" s="170"/>
      <c r="Q55" s="170"/>
      <c r="R55" s="170">
        <f t="shared" si="27"/>
        <v>161338</v>
      </c>
      <c r="T55" s="845">
        <v>140625</v>
      </c>
      <c r="U55" s="849"/>
      <c r="V55" s="170"/>
      <c r="W55" s="170"/>
      <c r="X55" s="170"/>
      <c r="Y55" s="170"/>
      <c r="Z55" s="170">
        <f t="shared" si="28"/>
        <v>140625</v>
      </c>
      <c r="AB55" s="845">
        <v>173097</v>
      </c>
      <c r="AC55" s="849"/>
      <c r="AD55" s="170"/>
      <c r="AE55" s="170"/>
      <c r="AF55" s="170"/>
      <c r="AG55" s="170"/>
      <c r="AH55" s="170">
        <f t="shared" si="29"/>
        <v>173097</v>
      </c>
      <c r="AI55" s="195" t="s">
        <v>73</v>
      </c>
      <c r="AJ55" s="195" t="s">
        <v>136</v>
      </c>
    </row>
    <row r="56" spans="1:36" ht="23.25" customHeight="1" x14ac:dyDescent="0.2">
      <c r="A56" s="777">
        <v>580421378</v>
      </c>
      <c r="B56" s="966" t="s">
        <v>455</v>
      </c>
      <c r="C56" s="170"/>
      <c r="E56" s="845">
        <v>63667</v>
      </c>
      <c r="F56" s="849">
        <v>25247.695491927421</v>
      </c>
      <c r="G56" s="170"/>
      <c r="H56" s="170"/>
      <c r="I56" s="170">
        <f t="shared" si="26"/>
        <v>88914.695491927414</v>
      </c>
      <c r="K56" s="845">
        <v>61438</v>
      </c>
      <c r="L56" s="849">
        <v>14936</v>
      </c>
      <c r="M56" s="170"/>
      <c r="N56" s="170"/>
      <c r="O56" s="170"/>
      <c r="P56" s="170"/>
      <c r="Q56" s="170"/>
      <c r="R56" s="170">
        <f t="shared" si="27"/>
        <v>76374</v>
      </c>
      <c r="T56" s="845">
        <v>64521</v>
      </c>
      <c r="U56" s="849">
        <v>13711.613070112953</v>
      </c>
      <c r="V56" s="170"/>
      <c r="W56" s="170"/>
      <c r="X56" s="170"/>
      <c r="Y56" s="170"/>
      <c r="Z56" s="170">
        <f t="shared" si="28"/>
        <v>78232.613070112959</v>
      </c>
      <c r="AB56" s="845"/>
      <c r="AC56" s="849"/>
      <c r="AD56" s="170"/>
      <c r="AE56" s="170"/>
      <c r="AF56" s="170"/>
      <c r="AG56" s="170"/>
      <c r="AH56" s="170">
        <f t="shared" si="29"/>
        <v>0</v>
      </c>
      <c r="AI56" s="195" t="s">
        <v>53</v>
      </c>
      <c r="AJ56" s="195" t="s">
        <v>53</v>
      </c>
    </row>
    <row r="57" spans="1:36" ht="37.5" customHeight="1" x14ac:dyDescent="0.2">
      <c r="A57" s="777">
        <v>580482941</v>
      </c>
      <c r="B57" s="970" t="s">
        <v>457</v>
      </c>
      <c r="C57" s="170"/>
      <c r="E57" s="845">
        <v>614188</v>
      </c>
      <c r="F57" s="170"/>
      <c r="G57" s="211">
        <v>131991.97376858394</v>
      </c>
      <c r="H57" s="215"/>
      <c r="I57" s="170">
        <f t="shared" si="26"/>
        <v>746179.97376858396</v>
      </c>
      <c r="K57" s="845">
        <v>706265</v>
      </c>
      <c r="L57" s="170"/>
      <c r="M57" s="211">
        <f>218442+26319</f>
        <v>244761</v>
      </c>
      <c r="N57" s="211"/>
      <c r="O57" s="211"/>
      <c r="P57" s="215"/>
      <c r="Q57" s="215"/>
      <c r="R57" s="170">
        <f t="shared" si="27"/>
        <v>951026</v>
      </c>
      <c r="T57" s="943">
        <v>848501</v>
      </c>
      <c r="U57" s="849"/>
      <c r="V57" s="211">
        <v>247082</v>
      </c>
      <c r="W57" s="211"/>
      <c r="X57" s="211"/>
      <c r="Y57" s="215"/>
      <c r="Z57" s="170">
        <f t="shared" si="28"/>
        <v>1095583</v>
      </c>
      <c r="AB57" s="845">
        <v>825449</v>
      </c>
      <c r="AC57" s="849"/>
      <c r="AD57" s="211">
        <v>358864</v>
      </c>
      <c r="AE57" s="211"/>
      <c r="AF57" s="211"/>
      <c r="AG57" s="211"/>
      <c r="AH57" s="170">
        <f t="shared" si="29"/>
        <v>1184313</v>
      </c>
      <c r="AI57" s="195" t="s">
        <v>456</v>
      </c>
      <c r="AJ57" s="195" t="s">
        <v>32</v>
      </c>
    </row>
    <row r="58" spans="1:36" ht="25.5" customHeight="1" x14ac:dyDescent="0.2">
      <c r="A58" s="778">
        <v>580270858</v>
      </c>
      <c r="B58" s="970" t="s">
        <v>458</v>
      </c>
      <c r="C58" s="170"/>
      <c r="E58" s="845">
        <v>900000</v>
      </c>
      <c r="F58" s="849">
        <v>200000</v>
      </c>
      <c r="G58" s="170"/>
      <c r="H58" s="170"/>
      <c r="I58" s="170">
        <f t="shared" si="26"/>
        <v>1100000</v>
      </c>
      <c r="K58" s="845"/>
      <c r="L58" s="849">
        <v>0</v>
      </c>
      <c r="M58" s="170"/>
      <c r="N58" s="170"/>
      <c r="O58" s="170"/>
      <c r="P58" s="170"/>
      <c r="Q58" s="170"/>
      <c r="R58" s="170">
        <f t="shared" si="27"/>
        <v>0</v>
      </c>
      <c r="T58" s="845"/>
      <c r="U58" s="849"/>
      <c r="V58" s="170"/>
      <c r="W58" s="170"/>
      <c r="X58" s="170"/>
      <c r="Y58" s="170"/>
      <c r="Z58" s="170">
        <f t="shared" si="28"/>
        <v>0</v>
      </c>
      <c r="AB58" s="845"/>
      <c r="AC58" s="849"/>
      <c r="AD58" s="170"/>
      <c r="AE58" s="170"/>
      <c r="AF58" s="170"/>
      <c r="AG58" s="170"/>
      <c r="AH58" s="170">
        <f t="shared" si="29"/>
        <v>0</v>
      </c>
      <c r="AI58" s="195" t="s">
        <v>53</v>
      </c>
      <c r="AJ58" s="195" t="s">
        <v>53</v>
      </c>
    </row>
    <row r="59" spans="1:36" s="212" customFormat="1" ht="18.75" customHeight="1" x14ac:dyDescent="0.2">
      <c r="A59" s="771">
        <v>580279537</v>
      </c>
      <c r="B59" s="963" t="s">
        <v>460</v>
      </c>
      <c r="C59" s="170"/>
      <c r="D59" s="210"/>
      <c r="E59" s="845">
        <v>41420</v>
      </c>
      <c r="F59" s="170"/>
      <c r="G59" s="170"/>
      <c r="H59" s="170"/>
      <c r="I59" s="170">
        <f t="shared" si="26"/>
        <v>41420</v>
      </c>
      <c r="J59" s="210"/>
      <c r="K59" s="845"/>
      <c r="L59" s="170"/>
      <c r="M59" s="170"/>
      <c r="N59" s="170"/>
      <c r="O59" s="170"/>
      <c r="P59" s="170"/>
      <c r="Q59" s="170"/>
      <c r="R59" s="170">
        <f t="shared" si="27"/>
        <v>0</v>
      </c>
      <c r="S59" s="210"/>
      <c r="T59" s="845"/>
      <c r="U59" s="849"/>
      <c r="V59" s="170"/>
      <c r="W59" s="170"/>
      <c r="X59" s="170"/>
      <c r="Y59" s="170"/>
      <c r="Z59" s="170">
        <f t="shared" si="28"/>
        <v>0</v>
      </c>
      <c r="AA59" s="210"/>
      <c r="AB59" s="845"/>
      <c r="AC59" s="849"/>
      <c r="AD59" s="170"/>
      <c r="AE59" s="170"/>
      <c r="AF59" s="170"/>
      <c r="AG59" s="170"/>
      <c r="AH59" s="170">
        <f t="shared" si="29"/>
        <v>0</v>
      </c>
      <c r="AI59" s="164" t="s">
        <v>43</v>
      </c>
      <c r="AJ59" s="164" t="s">
        <v>9</v>
      </c>
    </row>
    <row r="60" spans="1:36" s="212" customFormat="1" ht="33" customHeight="1" x14ac:dyDescent="0.2">
      <c r="A60" s="771">
        <v>580600542</v>
      </c>
      <c r="B60" s="965" t="s">
        <v>2933</v>
      </c>
      <c r="C60" s="170"/>
      <c r="D60" s="210"/>
      <c r="E60" s="845">
        <v>54572</v>
      </c>
      <c r="F60" s="170"/>
      <c r="G60" s="170"/>
      <c r="H60" s="170"/>
      <c r="I60" s="170">
        <f t="shared" ref="I60:I96" si="30">SUM(E60:H60)</f>
        <v>54572</v>
      </c>
      <c r="J60" s="210"/>
      <c r="K60" s="845">
        <v>62061</v>
      </c>
      <c r="L60" s="849">
        <v>12803</v>
      </c>
      <c r="M60" s="170"/>
      <c r="N60" s="170"/>
      <c r="O60" s="170"/>
      <c r="P60" s="170"/>
      <c r="Q60" s="170"/>
      <c r="R60" s="170">
        <f t="shared" ref="R60:R96" si="31">SUM(K60:Q60)</f>
        <v>74864</v>
      </c>
      <c r="S60" s="210"/>
      <c r="T60" s="845">
        <v>330000</v>
      </c>
      <c r="U60" s="849">
        <v>14838.702703747549</v>
      </c>
      <c r="V60" s="170"/>
      <c r="W60" s="170"/>
      <c r="X60" s="170"/>
      <c r="Y60" s="170"/>
      <c r="Z60" s="170">
        <f t="shared" ref="Z60:Z96" si="32">SUM(T60:Y60)</f>
        <v>344838.70270374755</v>
      </c>
      <c r="AA60" s="210"/>
      <c r="AB60" s="845">
        <v>467148</v>
      </c>
      <c r="AC60" s="849">
        <v>92045</v>
      </c>
      <c r="AD60" s="170"/>
      <c r="AE60" s="170"/>
      <c r="AF60" s="170"/>
      <c r="AG60" s="170">
        <v>46245</v>
      </c>
      <c r="AH60" s="170">
        <f t="shared" si="29"/>
        <v>605438</v>
      </c>
      <c r="AI60" s="195" t="s">
        <v>53</v>
      </c>
      <c r="AJ60" s="195" t="s">
        <v>53</v>
      </c>
    </row>
    <row r="61" spans="1:36" s="212" customFormat="1" ht="42.75" customHeight="1" x14ac:dyDescent="0.2">
      <c r="A61" s="111">
        <v>580459261</v>
      </c>
      <c r="B61" s="965" t="s">
        <v>462</v>
      </c>
      <c r="C61" s="234"/>
      <c r="D61" s="210"/>
      <c r="E61" s="845"/>
      <c r="F61" s="170"/>
      <c r="G61" s="170"/>
      <c r="H61" s="170"/>
      <c r="I61" s="170">
        <f t="shared" si="30"/>
        <v>0</v>
      </c>
      <c r="J61" s="210"/>
      <c r="K61" s="845"/>
      <c r="L61" s="170"/>
      <c r="M61" s="170"/>
      <c r="N61" s="170"/>
      <c r="O61" s="170"/>
      <c r="P61" s="170"/>
      <c r="Q61" s="170"/>
      <c r="R61" s="170">
        <f t="shared" si="31"/>
        <v>0</v>
      </c>
      <c r="S61" s="210"/>
      <c r="T61" s="845"/>
      <c r="U61" s="849"/>
      <c r="V61" s="170"/>
      <c r="W61" s="170"/>
      <c r="X61" s="170"/>
      <c r="Y61" s="170"/>
      <c r="Z61" s="170">
        <f t="shared" si="32"/>
        <v>0</v>
      </c>
      <c r="AA61" s="210"/>
      <c r="AB61" s="845"/>
      <c r="AC61" s="849"/>
      <c r="AD61" s="170"/>
      <c r="AE61" s="170"/>
      <c r="AF61" s="170"/>
      <c r="AG61" s="170"/>
      <c r="AH61" s="170">
        <f t="shared" si="29"/>
        <v>0</v>
      </c>
      <c r="AI61" s="195" t="s">
        <v>73</v>
      </c>
      <c r="AJ61" s="195" t="s">
        <v>136</v>
      </c>
    </row>
    <row r="62" spans="1:36" s="212" customFormat="1" ht="25.5" customHeight="1" x14ac:dyDescent="0.2">
      <c r="A62" s="111">
        <v>580462760</v>
      </c>
      <c r="B62" s="965" t="s">
        <v>463</v>
      </c>
      <c r="C62" s="234"/>
      <c r="D62" s="210"/>
      <c r="E62" s="845">
        <f>110748+50477</f>
        <v>161225</v>
      </c>
      <c r="F62" s="170"/>
      <c r="G62" s="170"/>
      <c r="H62" s="170"/>
      <c r="I62" s="170">
        <f t="shared" si="30"/>
        <v>161225</v>
      </c>
      <c r="J62" s="210"/>
      <c r="K62" s="845">
        <f>48750+112500</f>
        <v>161250</v>
      </c>
      <c r="L62" s="170"/>
      <c r="M62" s="170"/>
      <c r="N62" s="170"/>
      <c r="O62" s="170"/>
      <c r="P62" s="170"/>
      <c r="Q62" s="170"/>
      <c r="R62" s="170">
        <f t="shared" si="31"/>
        <v>161250</v>
      </c>
      <c r="S62" s="210"/>
      <c r="T62" s="943">
        <v>150750</v>
      </c>
      <c r="U62" s="849"/>
      <c r="V62" s="170"/>
      <c r="W62" s="170"/>
      <c r="X62" s="170"/>
      <c r="Y62" s="170"/>
      <c r="Z62" s="170">
        <f t="shared" si="32"/>
        <v>150750</v>
      </c>
      <c r="AA62" s="210"/>
      <c r="AB62" s="845">
        <v>191099</v>
      </c>
      <c r="AC62" s="849"/>
      <c r="AD62" s="170"/>
      <c r="AE62" s="170"/>
      <c r="AF62" s="170"/>
      <c r="AG62" s="170"/>
      <c r="AH62" s="170">
        <f t="shared" si="29"/>
        <v>191099</v>
      </c>
      <c r="AI62" s="195" t="s">
        <v>73</v>
      </c>
      <c r="AJ62" s="195" t="s">
        <v>136</v>
      </c>
    </row>
    <row r="63" spans="1:36" s="212" customFormat="1" ht="24.75" customHeight="1" x14ac:dyDescent="0.2">
      <c r="A63" s="111">
        <v>580474021</v>
      </c>
      <c r="B63" s="965" t="s">
        <v>464</v>
      </c>
      <c r="C63" s="234"/>
      <c r="D63" s="210"/>
      <c r="E63" s="845">
        <v>419968</v>
      </c>
      <c r="F63" s="170"/>
      <c r="G63" s="170"/>
      <c r="H63" s="170"/>
      <c r="I63" s="170">
        <f t="shared" si="30"/>
        <v>419968</v>
      </c>
      <c r="J63" s="210"/>
      <c r="K63" s="845">
        <v>487789</v>
      </c>
      <c r="L63" s="170"/>
      <c r="M63" s="170"/>
      <c r="N63" s="170"/>
      <c r="O63" s="170"/>
      <c r="P63" s="170"/>
      <c r="Q63" s="170"/>
      <c r="R63" s="170">
        <f t="shared" si="31"/>
        <v>487789</v>
      </c>
      <c r="S63" s="210"/>
      <c r="T63" s="845">
        <v>531788</v>
      </c>
      <c r="U63" s="849"/>
      <c r="V63" s="170"/>
      <c r="W63" s="170"/>
      <c r="X63" s="170"/>
      <c r="Y63" s="170"/>
      <c r="Z63" s="170">
        <f t="shared" si="32"/>
        <v>531788</v>
      </c>
      <c r="AA63" s="210"/>
      <c r="AB63" s="845">
        <v>496604</v>
      </c>
      <c r="AC63" s="849"/>
      <c r="AD63" s="170"/>
      <c r="AE63" s="170"/>
      <c r="AF63" s="170"/>
      <c r="AG63" s="170"/>
      <c r="AH63" s="170">
        <f t="shared" si="29"/>
        <v>496604</v>
      </c>
      <c r="AI63" s="195" t="s">
        <v>73</v>
      </c>
      <c r="AJ63" s="195" t="s">
        <v>136</v>
      </c>
    </row>
    <row r="64" spans="1:36" s="212" customFormat="1" ht="19.5" customHeight="1" x14ac:dyDescent="0.2">
      <c r="A64" s="111">
        <v>580465235</v>
      </c>
      <c r="B64" s="965" t="s">
        <v>465</v>
      </c>
      <c r="C64" s="234"/>
      <c r="D64" s="210"/>
      <c r="E64" s="845"/>
      <c r="F64" s="1063"/>
      <c r="G64" s="170"/>
      <c r="H64" s="170"/>
      <c r="I64" s="170">
        <f t="shared" si="30"/>
        <v>0</v>
      </c>
      <c r="J64" s="210"/>
      <c r="K64" s="845">
        <v>53195</v>
      </c>
      <c r="L64" s="1063"/>
      <c r="M64" s="170"/>
      <c r="N64" s="170"/>
      <c r="O64" s="170"/>
      <c r="P64" s="170"/>
      <c r="Q64" s="170"/>
      <c r="R64" s="170">
        <f t="shared" si="31"/>
        <v>53195</v>
      </c>
      <c r="S64" s="210"/>
      <c r="T64" s="845">
        <v>116137</v>
      </c>
      <c r="U64" s="849">
        <v>12718.853874830425</v>
      </c>
      <c r="V64" s="170"/>
      <c r="W64" s="170"/>
      <c r="X64" s="170"/>
      <c r="Y64" s="170"/>
      <c r="Z64" s="170">
        <f t="shared" si="32"/>
        <v>128855.85387483043</v>
      </c>
      <c r="AA64" s="210"/>
      <c r="AB64" s="845"/>
      <c r="AC64" s="849"/>
      <c r="AD64" s="170"/>
      <c r="AE64" s="170"/>
      <c r="AF64" s="170"/>
      <c r="AG64" s="170"/>
      <c r="AH64" s="170">
        <f t="shared" si="29"/>
        <v>0</v>
      </c>
      <c r="AI64" s="195" t="s">
        <v>53</v>
      </c>
      <c r="AJ64" s="195" t="s">
        <v>53</v>
      </c>
    </row>
    <row r="65" spans="1:36" s="212" customFormat="1" ht="19.5" customHeight="1" x14ac:dyDescent="0.2">
      <c r="A65" s="111">
        <v>580497741</v>
      </c>
      <c r="B65" s="965" t="s">
        <v>466</v>
      </c>
      <c r="C65" s="234"/>
      <c r="D65" s="210"/>
      <c r="E65" s="845">
        <f>35625+330007</f>
        <v>365632</v>
      </c>
      <c r="F65" s="170"/>
      <c r="G65" s="170"/>
      <c r="H65" s="170"/>
      <c r="I65" s="170">
        <f t="shared" si="30"/>
        <v>365632</v>
      </c>
      <c r="J65" s="210"/>
      <c r="K65" s="845">
        <v>722577</v>
      </c>
      <c r="L65" s="170"/>
      <c r="M65" s="170"/>
      <c r="N65" s="170"/>
      <c r="O65" s="170"/>
      <c r="P65" s="170"/>
      <c r="Q65" s="170"/>
      <c r="R65" s="170">
        <f t="shared" si="31"/>
        <v>722577</v>
      </c>
      <c r="S65" s="210"/>
      <c r="T65" s="943">
        <v>862886</v>
      </c>
      <c r="U65" s="849"/>
      <c r="V65" s="170"/>
      <c r="W65" s="170"/>
      <c r="X65" s="170"/>
      <c r="Y65" s="170"/>
      <c r="Z65" s="170">
        <f t="shared" si="32"/>
        <v>862886</v>
      </c>
      <c r="AA65" s="210"/>
      <c r="AB65" s="845">
        <v>723908</v>
      </c>
      <c r="AC65" s="849"/>
      <c r="AD65" s="170"/>
      <c r="AE65" s="170"/>
      <c r="AF65" s="170"/>
      <c r="AG65" s="170"/>
      <c r="AH65" s="170">
        <f t="shared" si="29"/>
        <v>723908</v>
      </c>
      <c r="AI65" s="195" t="s">
        <v>467</v>
      </c>
      <c r="AJ65" s="195" t="s">
        <v>9</v>
      </c>
    </row>
    <row r="66" spans="1:36" s="212" customFormat="1" ht="19.5" customHeight="1" x14ac:dyDescent="0.2">
      <c r="A66" s="111">
        <v>580321016</v>
      </c>
      <c r="B66" s="965" t="s">
        <v>468</v>
      </c>
      <c r="C66" s="234"/>
      <c r="D66" s="210"/>
      <c r="E66" s="845"/>
      <c r="F66" s="170"/>
      <c r="G66" s="170"/>
      <c r="H66" s="170"/>
      <c r="I66" s="170">
        <f t="shared" si="30"/>
        <v>0</v>
      </c>
      <c r="J66" s="210"/>
      <c r="K66" s="845"/>
      <c r="L66" s="170"/>
      <c r="M66" s="170"/>
      <c r="N66" s="170"/>
      <c r="O66" s="170"/>
      <c r="P66" s="170"/>
      <c r="Q66" s="170"/>
      <c r="R66" s="170">
        <f t="shared" si="31"/>
        <v>0</v>
      </c>
      <c r="S66" s="210"/>
      <c r="T66" s="845"/>
      <c r="U66" s="849"/>
      <c r="V66" s="170"/>
      <c r="W66" s="170"/>
      <c r="X66" s="170"/>
      <c r="Y66" s="170"/>
      <c r="Z66" s="170">
        <f t="shared" si="32"/>
        <v>0</v>
      </c>
      <c r="AA66" s="210"/>
      <c r="AB66" s="845"/>
      <c r="AC66" s="849"/>
      <c r="AD66" s="170"/>
      <c r="AE66" s="170"/>
      <c r="AF66" s="170"/>
      <c r="AG66" s="170"/>
      <c r="AH66" s="170">
        <f t="shared" si="29"/>
        <v>0</v>
      </c>
      <c r="AI66" s="236" t="s">
        <v>53</v>
      </c>
      <c r="AJ66" s="236" t="s">
        <v>53</v>
      </c>
    </row>
    <row r="67" spans="1:36" s="212" customFormat="1" ht="19.5" customHeight="1" x14ac:dyDescent="0.2">
      <c r="A67" s="111" t="s">
        <v>469</v>
      </c>
      <c r="B67" s="965" t="s">
        <v>470</v>
      </c>
      <c r="C67" s="234"/>
      <c r="D67" s="210"/>
      <c r="E67" s="845">
        <f>50477+72763</f>
        <v>123240</v>
      </c>
      <c r="F67" s="170"/>
      <c r="G67" s="170"/>
      <c r="H67" s="170"/>
      <c r="I67" s="170">
        <f t="shared" si="30"/>
        <v>123240</v>
      </c>
      <c r="J67" s="210"/>
      <c r="K67" s="845">
        <f>51000+79793</f>
        <v>130793</v>
      </c>
      <c r="L67" s="170"/>
      <c r="M67" s="170"/>
      <c r="N67" s="170"/>
      <c r="O67" s="170"/>
      <c r="P67" s="170"/>
      <c r="Q67" s="170"/>
      <c r="R67" s="170">
        <f t="shared" si="31"/>
        <v>130793</v>
      </c>
      <c r="S67" s="210"/>
      <c r="T67" s="845">
        <v>239965</v>
      </c>
      <c r="U67" s="849"/>
      <c r="V67" s="170"/>
      <c r="W67" s="170"/>
      <c r="X67" s="170"/>
      <c r="Y67" s="170"/>
      <c r="Z67" s="170">
        <f t="shared" si="32"/>
        <v>239965</v>
      </c>
      <c r="AA67" s="210"/>
      <c r="AB67" s="845">
        <f>310477+101089</f>
        <v>411566</v>
      </c>
      <c r="AC67" s="849"/>
      <c r="AD67" s="170"/>
      <c r="AE67" s="170"/>
      <c r="AF67" s="170"/>
      <c r="AG67" s="170"/>
      <c r="AH67" s="170">
        <f t="shared" si="29"/>
        <v>411566</v>
      </c>
      <c r="AI67" s="236" t="s">
        <v>471</v>
      </c>
      <c r="AJ67" s="236" t="s">
        <v>12</v>
      </c>
    </row>
    <row r="68" spans="1:36" s="212" customFormat="1" ht="19.5" customHeight="1" x14ac:dyDescent="0.2">
      <c r="A68" s="788">
        <v>580490811</v>
      </c>
      <c r="B68" s="965" t="s">
        <v>472</v>
      </c>
      <c r="C68" s="234"/>
      <c r="D68" s="210"/>
      <c r="E68" s="845">
        <f>48217+44000</f>
        <v>92217</v>
      </c>
      <c r="F68" s="170"/>
      <c r="G68" s="170"/>
      <c r="H68" s="170"/>
      <c r="I68" s="170">
        <f t="shared" si="30"/>
        <v>92217</v>
      </c>
      <c r="J68" s="210"/>
      <c r="K68" s="845">
        <v>49386</v>
      </c>
      <c r="L68" s="170"/>
      <c r="M68" s="170"/>
      <c r="N68" s="170"/>
      <c r="O68" s="170"/>
      <c r="P68" s="170"/>
      <c r="Q68" s="170"/>
      <c r="R68" s="170">
        <f t="shared" si="31"/>
        <v>49386</v>
      </c>
      <c r="S68" s="210"/>
      <c r="T68" s="943">
        <v>59063</v>
      </c>
      <c r="U68" s="849"/>
      <c r="V68" s="170"/>
      <c r="W68" s="170"/>
      <c r="X68" s="170"/>
      <c r="Y68" s="170"/>
      <c r="Z68" s="170">
        <f t="shared" si="32"/>
        <v>59063</v>
      </c>
      <c r="AA68" s="210"/>
      <c r="AB68" s="845">
        <v>244162</v>
      </c>
      <c r="AC68" s="849"/>
      <c r="AD68" s="170"/>
      <c r="AE68" s="170"/>
      <c r="AF68" s="170"/>
      <c r="AG68" s="170"/>
      <c r="AH68" s="170">
        <f t="shared" si="29"/>
        <v>244162</v>
      </c>
      <c r="AI68" s="236" t="s">
        <v>43</v>
      </c>
      <c r="AJ68" s="236" t="s">
        <v>9</v>
      </c>
    </row>
    <row r="69" spans="1:36" s="212" customFormat="1" ht="29.25" customHeight="1" x14ac:dyDescent="0.2">
      <c r="A69" s="111">
        <v>514307719</v>
      </c>
      <c r="B69" s="965" t="s">
        <v>473</v>
      </c>
      <c r="C69" s="234"/>
      <c r="D69" s="210"/>
      <c r="E69" s="845">
        <v>600000</v>
      </c>
      <c r="F69" s="170"/>
      <c r="G69" s="170"/>
      <c r="H69" s="170"/>
      <c r="I69" s="170">
        <f t="shared" si="30"/>
        <v>600000</v>
      </c>
      <c r="J69" s="210"/>
      <c r="K69" s="845">
        <v>542148</v>
      </c>
      <c r="L69" s="170"/>
      <c r="M69" s="170"/>
      <c r="N69" s="170"/>
      <c r="O69" s="170"/>
      <c r="P69" s="170"/>
      <c r="Q69" s="170"/>
      <c r="R69" s="170">
        <f t="shared" si="31"/>
        <v>542148</v>
      </c>
      <c r="S69" s="210"/>
      <c r="T69" s="845">
        <v>539688</v>
      </c>
      <c r="U69" s="849"/>
      <c r="V69" s="170"/>
      <c r="W69" s="170"/>
      <c r="X69" s="170"/>
      <c r="Y69" s="170"/>
      <c r="Z69" s="170">
        <f t="shared" si="32"/>
        <v>539688</v>
      </c>
      <c r="AA69" s="210"/>
      <c r="AB69" s="845">
        <v>455117</v>
      </c>
      <c r="AC69" s="849"/>
      <c r="AD69" s="170"/>
      <c r="AE69" s="170"/>
      <c r="AF69" s="170"/>
      <c r="AG69" s="170"/>
      <c r="AH69" s="170">
        <f t="shared" si="29"/>
        <v>455117</v>
      </c>
      <c r="AI69" s="195" t="s">
        <v>73</v>
      </c>
      <c r="AJ69" s="195" t="s">
        <v>136</v>
      </c>
    </row>
    <row r="70" spans="1:36" s="212" customFormat="1" ht="29.25" customHeight="1" x14ac:dyDescent="0.2">
      <c r="A70" s="788">
        <v>580533941</v>
      </c>
      <c r="B70" s="971" t="s">
        <v>525</v>
      </c>
      <c r="C70" s="234"/>
      <c r="D70" s="210"/>
      <c r="E70" s="845">
        <f>82873+60000</f>
        <v>142873</v>
      </c>
      <c r="F70" s="170"/>
      <c r="G70" s="170"/>
      <c r="H70" s="170"/>
      <c r="I70" s="170">
        <f t="shared" si="30"/>
        <v>142873</v>
      </c>
      <c r="J70" s="210"/>
      <c r="K70" s="845">
        <f>84882+53195</f>
        <v>138077</v>
      </c>
      <c r="L70" s="170"/>
      <c r="M70" s="170"/>
      <c r="N70" s="170"/>
      <c r="O70" s="170"/>
      <c r="P70" s="170"/>
      <c r="Q70" s="170"/>
      <c r="R70" s="170">
        <f t="shared" si="31"/>
        <v>138077</v>
      </c>
      <c r="S70" s="210"/>
      <c r="T70" s="845">
        <v>169375</v>
      </c>
      <c r="U70" s="849"/>
      <c r="V70" s="170"/>
      <c r="W70" s="170"/>
      <c r="X70" s="170"/>
      <c r="Y70" s="170"/>
      <c r="Z70" s="170">
        <f t="shared" si="32"/>
        <v>169375</v>
      </c>
      <c r="AA70" s="210"/>
      <c r="AB70" s="845">
        <v>300000</v>
      </c>
      <c r="AC70" s="849"/>
      <c r="AD70" s="170"/>
      <c r="AE70" s="170"/>
      <c r="AF70" s="170"/>
      <c r="AG70" s="170"/>
      <c r="AH70" s="170">
        <f t="shared" si="29"/>
        <v>300000</v>
      </c>
      <c r="AI70" s="195" t="s">
        <v>73</v>
      </c>
      <c r="AJ70" s="195" t="s">
        <v>136</v>
      </c>
    </row>
    <row r="71" spans="1:36" s="212" customFormat="1" ht="29.25" customHeight="1" x14ac:dyDescent="0.2">
      <c r="A71" s="788">
        <v>580063568</v>
      </c>
      <c r="B71" s="971" t="s">
        <v>527</v>
      </c>
      <c r="C71" s="234"/>
      <c r="D71" s="210"/>
      <c r="E71" s="845">
        <f>70000+48495</f>
        <v>118495</v>
      </c>
      <c r="F71" s="170"/>
      <c r="G71" s="170"/>
      <c r="H71" s="170"/>
      <c r="I71" s="170">
        <f t="shared" si="30"/>
        <v>118495</v>
      </c>
      <c r="J71" s="210"/>
      <c r="K71" s="845">
        <f>48750+69750</f>
        <v>118500</v>
      </c>
      <c r="L71" s="170"/>
      <c r="M71" s="170"/>
      <c r="N71" s="170"/>
      <c r="O71" s="170"/>
      <c r="P71" s="170"/>
      <c r="Q71" s="170"/>
      <c r="R71" s="170">
        <f t="shared" si="31"/>
        <v>118500</v>
      </c>
      <c r="S71" s="210"/>
      <c r="T71" s="845">
        <v>44400</v>
      </c>
      <c r="U71" s="849"/>
      <c r="V71" s="170"/>
      <c r="W71" s="170"/>
      <c r="X71" s="170"/>
      <c r="Y71" s="170"/>
      <c r="Z71" s="170">
        <f t="shared" si="32"/>
        <v>44400</v>
      </c>
      <c r="AA71" s="210"/>
      <c r="AB71" s="845"/>
      <c r="AC71" s="849"/>
      <c r="AD71" s="170"/>
      <c r="AE71" s="170"/>
      <c r="AF71" s="170"/>
      <c r="AG71" s="170"/>
      <c r="AH71" s="170">
        <f t="shared" si="29"/>
        <v>0</v>
      </c>
      <c r="AI71" s="195" t="s">
        <v>73</v>
      </c>
      <c r="AJ71" s="195" t="s">
        <v>136</v>
      </c>
    </row>
    <row r="72" spans="1:36" ht="38.25" customHeight="1" x14ac:dyDescent="0.2">
      <c r="A72" s="788">
        <v>580525236</v>
      </c>
      <c r="B72" s="972" t="s">
        <v>3365</v>
      </c>
      <c r="C72" s="170"/>
      <c r="E72" s="845">
        <f>500000+433850</f>
        <v>933850</v>
      </c>
      <c r="F72" s="170"/>
      <c r="G72" s="170">
        <v>107452.41991750404</v>
      </c>
      <c r="H72" s="170"/>
      <c r="I72" s="170">
        <f t="shared" si="30"/>
        <v>1041302.4199175041</v>
      </c>
      <c r="K72" s="845">
        <f>700000+581503</f>
        <v>1281503</v>
      </c>
      <c r="L72" s="170"/>
      <c r="M72" s="170">
        <f>100000+77830</f>
        <v>177830</v>
      </c>
      <c r="N72" s="170"/>
      <c r="O72" s="170"/>
      <c r="P72" s="170"/>
      <c r="Q72" s="170"/>
      <c r="R72" s="170">
        <f t="shared" si="31"/>
        <v>1459333</v>
      </c>
      <c r="T72" s="943">
        <v>1362107</v>
      </c>
      <c r="U72" s="849"/>
      <c r="V72" s="170">
        <v>244498</v>
      </c>
      <c r="W72" s="170"/>
      <c r="X72" s="170"/>
      <c r="Y72" s="170"/>
      <c r="Z72" s="170">
        <f t="shared" si="32"/>
        <v>1606605</v>
      </c>
      <c r="AB72" s="845">
        <f>563421+828449</f>
        <v>1391870</v>
      </c>
      <c r="AC72" s="849"/>
      <c r="AD72" s="170">
        <f>346584+229503</f>
        <v>576087</v>
      </c>
      <c r="AE72" s="170"/>
      <c r="AF72" s="170"/>
      <c r="AG72" s="170"/>
      <c r="AH72" s="170">
        <f t="shared" si="29"/>
        <v>1967957</v>
      </c>
      <c r="AI72" s="164" t="s">
        <v>400</v>
      </c>
      <c r="AJ72" s="164" t="s">
        <v>32</v>
      </c>
    </row>
    <row r="73" spans="1:36" ht="24.75" customHeight="1" x14ac:dyDescent="0.2">
      <c r="A73" s="788">
        <v>580304855</v>
      </c>
      <c r="B73" s="973" t="s">
        <v>2396</v>
      </c>
      <c r="C73" s="170"/>
      <c r="E73" s="845"/>
      <c r="F73" s="170"/>
      <c r="G73" s="170"/>
      <c r="H73" s="170"/>
      <c r="I73" s="170">
        <f t="shared" si="30"/>
        <v>0</v>
      </c>
      <c r="K73" s="845"/>
      <c r="L73" s="170"/>
      <c r="M73" s="170"/>
      <c r="N73" s="170"/>
      <c r="O73" s="170"/>
      <c r="P73" s="170"/>
      <c r="Q73" s="170"/>
      <c r="R73" s="170">
        <f t="shared" si="31"/>
        <v>0</v>
      </c>
      <c r="T73" s="845"/>
      <c r="U73" s="849"/>
      <c r="V73" s="170"/>
      <c r="W73" s="170"/>
      <c r="X73" s="170"/>
      <c r="Y73" s="170"/>
      <c r="Z73" s="170">
        <f t="shared" si="32"/>
        <v>0</v>
      </c>
      <c r="AB73" s="845"/>
      <c r="AC73" s="849"/>
      <c r="AD73" s="170"/>
      <c r="AE73" s="170"/>
      <c r="AF73" s="170"/>
      <c r="AG73" s="170"/>
      <c r="AH73" s="170">
        <f t="shared" si="29"/>
        <v>0</v>
      </c>
      <c r="AI73" s="164" t="s">
        <v>400</v>
      </c>
      <c r="AJ73" s="164" t="s">
        <v>32</v>
      </c>
    </row>
    <row r="74" spans="1:36" ht="27.75" customHeight="1" x14ac:dyDescent="0.2">
      <c r="A74" s="788">
        <v>580557767</v>
      </c>
      <c r="B74" s="973" t="s">
        <v>2398</v>
      </c>
      <c r="C74" s="170"/>
      <c r="E74" s="845">
        <v>48970</v>
      </c>
      <c r="F74" s="170"/>
      <c r="G74" s="170"/>
      <c r="H74" s="170"/>
      <c r="I74" s="170">
        <f t="shared" si="30"/>
        <v>48970</v>
      </c>
      <c r="K74" s="845">
        <v>48750</v>
      </c>
      <c r="L74" s="170"/>
      <c r="M74" s="170"/>
      <c r="N74" s="170"/>
      <c r="O74" s="170"/>
      <c r="P74" s="170"/>
      <c r="Q74" s="170"/>
      <c r="R74" s="170">
        <f t="shared" si="31"/>
        <v>48750</v>
      </c>
      <c r="T74" s="845"/>
      <c r="U74" s="849"/>
      <c r="V74" s="170"/>
      <c r="W74" s="170"/>
      <c r="X74" s="170"/>
      <c r="Y74" s="170"/>
      <c r="Z74" s="170">
        <f t="shared" si="32"/>
        <v>0</v>
      </c>
      <c r="AB74" s="845"/>
      <c r="AC74" s="849"/>
      <c r="AD74" s="170"/>
      <c r="AE74" s="170"/>
      <c r="AF74" s="170"/>
      <c r="AG74" s="170"/>
      <c r="AH74" s="170">
        <f t="shared" si="29"/>
        <v>0</v>
      </c>
      <c r="AI74" s="195" t="s">
        <v>73</v>
      </c>
      <c r="AJ74" s="195" t="s">
        <v>136</v>
      </c>
    </row>
    <row r="75" spans="1:36" ht="27.75" customHeight="1" x14ac:dyDescent="0.2">
      <c r="A75" s="771" t="s">
        <v>2399</v>
      </c>
      <c r="B75" s="973" t="s">
        <v>2400</v>
      </c>
      <c r="C75" s="170"/>
      <c r="E75" s="841">
        <f>118240+45477+81858+45477+54572+72763+81858+100049+72763+87000+72763+54572+81858+93190+72763+43500+40500</f>
        <v>1219203</v>
      </c>
      <c r="F75" s="170"/>
      <c r="G75" s="170"/>
      <c r="H75" s="170"/>
      <c r="I75" s="170">
        <f t="shared" si="30"/>
        <v>1219203</v>
      </c>
      <c r="K75" s="845">
        <f>70927+79793+53195+132988+70927+88659+53195+62061+62061+70927+53195</f>
        <v>797928</v>
      </c>
      <c r="L75" s="170"/>
      <c r="M75" s="170"/>
      <c r="N75" s="170">
        <v>316457</v>
      </c>
      <c r="O75" s="170"/>
      <c r="P75" s="170"/>
      <c r="Q75" s="170"/>
      <c r="R75" s="170">
        <f t="shared" si="31"/>
        <v>1114385</v>
      </c>
      <c r="T75" s="943">
        <v>1447210.01</v>
      </c>
      <c r="U75" s="849"/>
      <c r="V75" s="170"/>
      <c r="W75" s="170">
        <v>525782</v>
      </c>
      <c r="X75" s="170"/>
      <c r="Y75" s="170"/>
      <c r="Z75" s="170">
        <f t="shared" si="32"/>
        <v>1972992.01</v>
      </c>
      <c r="AB75" s="845">
        <v>1514498</v>
      </c>
      <c r="AC75" s="849"/>
      <c r="AD75" s="170"/>
      <c r="AE75" s="170">
        <v>566501</v>
      </c>
      <c r="AF75" s="170"/>
      <c r="AG75" s="170"/>
      <c r="AH75" s="170">
        <f t="shared" si="29"/>
        <v>2080999</v>
      </c>
      <c r="AI75" s="195" t="s">
        <v>386</v>
      </c>
      <c r="AJ75" s="195" t="s">
        <v>386</v>
      </c>
    </row>
    <row r="76" spans="1:36" ht="27.75" customHeight="1" x14ac:dyDescent="0.2">
      <c r="A76" s="771">
        <v>580575470</v>
      </c>
      <c r="B76" s="973" t="s">
        <v>2401</v>
      </c>
      <c r="C76" s="170"/>
      <c r="E76" s="845">
        <v>1201236</v>
      </c>
      <c r="F76" s="170"/>
      <c r="G76" s="170"/>
      <c r="H76" s="170"/>
      <c r="I76" s="170">
        <f t="shared" si="30"/>
        <v>1201236</v>
      </c>
      <c r="K76" s="845">
        <v>977050</v>
      </c>
      <c r="L76" s="170"/>
      <c r="M76" s="170"/>
      <c r="N76" s="170"/>
      <c r="O76" s="170"/>
      <c r="P76" s="170"/>
      <c r="Q76" s="170"/>
      <c r="R76" s="170">
        <f t="shared" si="31"/>
        <v>977050</v>
      </c>
      <c r="T76" s="943">
        <v>1012329</v>
      </c>
      <c r="U76" s="849"/>
      <c r="V76" s="170"/>
      <c r="W76" s="170"/>
      <c r="X76" s="170"/>
      <c r="Y76" s="170"/>
      <c r="Z76" s="170">
        <f t="shared" si="32"/>
        <v>1012329</v>
      </c>
      <c r="AB76" s="845">
        <v>946013</v>
      </c>
      <c r="AC76" s="849"/>
      <c r="AD76" s="170"/>
      <c r="AE76" s="170"/>
      <c r="AF76" s="170"/>
      <c r="AG76" s="170"/>
      <c r="AH76" s="170">
        <f t="shared" si="29"/>
        <v>946013</v>
      </c>
      <c r="AI76" s="195" t="s">
        <v>73</v>
      </c>
      <c r="AJ76" s="195" t="s">
        <v>136</v>
      </c>
    </row>
    <row r="77" spans="1:36" ht="27.75" customHeight="1" x14ac:dyDescent="0.2">
      <c r="A77" s="771">
        <v>580218774</v>
      </c>
      <c r="B77" s="973" t="s">
        <v>2458</v>
      </c>
      <c r="C77" s="170"/>
      <c r="E77" s="845">
        <v>110660</v>
      </c>
      <c r="F77" s="170"/>
      <c r="G77" s="170"/>
      <c r="H77" s="170"/>
      <c r="I77" s="170">
        <f t="shared" si="30"/>
        <v>110660</v>
      </c>
      <c r="K77" s="845">
        <v>110824</v>
      </c>
      <c r="L77" s="849">
        <v>25961</v>
      </c>
      <c r="M77" s="170"/>
      <c r="N77" s="170"/>
      <c r="O77" s="170"/>
      <c r="P77" s="170"/>
      <c r="Q77" s="170"/>
      <c r="R77" s="170">
        <f t="shared" si="31"/>
        <v>136785</v>
      </c>
      <c r="T77" s="845">
        <v>100000</v>
      </c>
      <c r="U77" s="849">
        <v>26497.871262791741</v>
      </c>
      <c r="V77" s="170"/>
      <c r="W77" s="170"/>
      <c r="X77" s="170"/>
      <c r="Y77" s="170"/>
      <c r="Z77" s="170">
        <f t="shared" si="32"/>
        <v>126497.87126279174</v>
      </c>
      <c r="AB77" s="845"/>
      <c r="AC77" s="849"/>
      <c r="AD77" s="170"/>
      <c r="AE77" s="170"/>
      <c r="AF77" s="170"/>
      <c r="AG77" s="170"/>
      <c r="AH77" s="170">
        <f t="shared" si="29"/>
        <v>0</v>
      </c>
      <c r="AI77" s="195" t="s">
        <v>1530</v>
      </c>
      <c r="AJ77" s="195" t="s">
        <v>12</v>
      </c>
    </row>
    <row r="78" spans="1:36" ht="27.75" customHeight="1" x14ac:dyDescent="0.2">
      <c r="A78" s="771">
        <v>580558807</v>
      </c>
      <c r="B78" s="975" t="s">
        <v>2461</v>
      </c>
      <c r="C78" s="170"/>
      <c r="E78" s="845">
        <v>63667</v>
      </c>
      <c r="F78" s="170"/>
      <c r="G78" s="170"/>
      <c r="H78" s="170"/>
      <c r="I78" s="170">
        <f t="shared" si="30"/>
        <v>63667</v>
      </c>
      <c r="K78" s="845">
        <v>79793</v>
      </c>
      <c r="L78" s="849">
        <v>14936</v>
      </c>
      <c r="M78" s="170"/>
      <c r="N78" s="170"/>
      <c r="O78" s="170"/>
      <c r="P78" s="170"/>
      <c r="Q78" s="170"/>
      <c r="R78" s="170">
        <f t="shared" si="31"/>
        <v>94729</v>
      </c>
      <c r="T78" s="845">
        <v>116137</v>
      </c>
      <c r="U78" s="849">
        <v>19078.400361581804</v>
      </c>
      <c r="V78" s="170"/>
      <c r="W78" s="170"/>
      <c r="X78" s="170"/>
      <c r="Y78" s="170"/>
      <c r="Z78" s="170">
        <f t="shared" si="32"/>
        <v>135215.40036158179</v>
      </c>
      <c r="AB78" s="1068" t="s">
        <v>3360</v>
      </c>
      <c r="AC78" s="1069"/>
      <c r="AD78" s="1070"/>
      <c r="AE78" s="170"/>
      <c r="AF78" s="170"/>
      <c r="AG78" s="170"/>
      <c r="AH78" s="170">
        <f t="shared" si="29"/>
        <v>0</v>
      </c>
      <c r="AI78" s="195" t="s">
        <v>2431</v>
      </c>
      <c r="AJ78" s="195" t="s">
        <v>9</v>
      </c>
    </row>
    <row r="79" spans="1:36" ht="27.75" customHeight="1" x14ac:dyDescent="0.2">
      <c r="A79" s="771" t="s">
        <v>2459</v>
      </c>
      <c r="B79" s="975" t="s">
        <v>2460</v>
      </c>
      <c r="C79" s="170"/>
      <c r="E79" s="845">
        <v>63667</v>
      </c>
      <c r="F79" s="170"/>
      <c r="G79" s="170"/>
      <c r="H79" s="170"/>
      <c r="I79" s="170">
        <f t="shared" si="30"/>
        <v>63667</v>
      </c>
      <c r="K79" s="845"/>
      <c r="L79" s="849"/>
      <c r="M79" s="170"/>
      <c r="N79" s="170"/>
      <c r="O79" s="170"/>
      <c r="P79" s="170"/>
      <c r="Q79" s="170"/>
      <c r="R79" s="170">
        <f t="shared" si="31"/>
        <v>0</v>
      </c>
      <c r="T79" s="845"/>
      <c r="U79" s="849"/>
      <c r="V79" s="170"/>
      <c r="W79" s="170"/>
      <c r="X79" s="170"/>
      <c r="Y79" s="170"/>
      <c r="Z79" s="170">
        <f t="shared" si="32"/>
        <v>0</v>
      </c>
      <c r="AB79" s="845"/>
      <c r="AC79" s="849"/>
      <c r="AD79" s="170"/>
      <c r="AE79" s="170"/>
      <c r="AF79" s="170"/>
      <c r="AG79" s="170"/>
      <c r="AH79" s="170">
        <f t="shared" si="29"/>
        <v>0</v>
      </c>
      <c r="AI79" s="195" t="s">
        <v>408</v>
      </c>
      <c r="AJ79" s="195" t="s">
        <v>136</v>
      </c>
    </row>
    <row r="80" spans="1:36" ht="27.75" customHeight="1" x14ac:dyDescent="0.2">
      <c r="A80" s="771">
        <v>580554277</v>
      </c>
      <c r="B80" s="975" t="s">
        <v>2462</v>
      </c>
      <c r="C80" s="170"/>
      <c r="E80" s="845">
        <v>72763</v>
      </c>
      <c r="F80" s="170"/>
      <c r="G80" s="170"/>
      <c r="H80" s="170"/>
      <c r="I80" s="170">
        <f t="shared" si="30"/>
        <v>72763</v>
      </c>
      <c r="K80" s="845">
        <v>79793</v>
      </c>
      <c r="L80" s="849"/>
      <c r="M80" s="170"/>
      <c r="N80" s="170"/>
      <c r="O80" s="170"/>
      <c r="P80" s="170"/>
      <c r="Q80" s="170"/>
      <c r="R80" s="170">
        <f t="shared" si="31"/>
        <v>79793</v>
      </c>
      <c r="T80" s="943">
        <v>90000</v>
      </c>
      <c r="U80" s="849"/>
      <c r="V80" s="170"/>
      <c r="W80" s="170"/>
      <c r="X80" s="170"/>
      <c r="Y80" s="170"/>
      <c r="Z80" s="170">
        <f t="shared" si="32"/>
        <v>90000</v>
      </c>
      <c r="AB80" s="845">
        <v>90000</v>
      </c>
      <c r="AC80" s="849"/>
      <c r="AD80" s="170"/>
      <c r="AE80" s="170"/>
      <c r="AF80" s="170"/>
      <c r="AG80" s="170"/>
      <c r="AH80" s="170">
        <f t="shared" si="29"/>
        <v>90000</v>
      </c>
      <c r="AI80" s="195" t="s">
        <v>297</v>
      </c>
      <c r="AJ80" s="195" t="s">
        <v>136</v>
      </c>
    </row>
    <row r="81" spans="1:36" ht="27.75" customHeight="1" x14ac:dyDescent="0.2">
      <c r="A81" s="771">
        <v>580569515</v>
      </c>
      <c r="B81" s="975" t="s">
        <v>2463</v>
      </c>
      <c r="C81" s="170"/>
      <c r="E81" s="845">
        <v>62949</v>
      </c>
      <c r="F81" s="170"/>
      <c r="G81" s="170"/>
      <c r="H81" s="170"/>
      <c r="I81" s="170">
        <f t="shared" si="30"/>
        <v>62949</v>
      </c>
      <c r="K81" s="845">
        <v>88659</v>
      </c>
      <c r="L81" s="849">
        <v>14768</v>
      </c>
      <c r="M81" s="170"/>
      <c r="N81" s="170"/>
      <c r="O81" s="170"/>
      <c r="P81" s="170"/>
      <c r="Q81" s="170"/>
      <c r="R81" s="170">
        <f t="shared" si="31"/>
        <v>103427</v>
      </c>
      <c r="T81" s="845"/>
      <c r="U81" s="849"/>
      <c r="V81" s="170"/>
      <c r="W81" s="170"/>
      <c r="X81" s="170"/>
      <c r="Y81" s="170"/>
      <c r="Z81" s="170">
        <f t="shared" si="32"/>
        <v>0</v>
      </c>
      <c r="AB81" s="845"/>
      <c r="AC81" s="849"/>
      <c r="AD81" s="170"/>
      <c r="AE81" s="170"/>
      <c r="AF81" s="170"/>
      <c r="AG81" s="170"/>
      <c r="AH81" s="170">
        <f t="shared" si="29"/>
        <v>0</v>
      </c>
      <c r="AI81" s="195" t="s">
        <v>53</v>
      </c>
      <c r="AJ81" s="195" t="s">
        <v>53</v>
      </c>
    </row>
    <row r="82" spans="1:36" ht="27.75" customHeight="1" x14ac:dyDescent="0.2">
      <c r="A82" s="771" t="s">
        <v>2464</v>
      </c>
      <c r="B82" s="975" t="s">
        <v>2465</v>
      </c>
      <c r="C82" s="170"/>
      <c r="E82" s="845">
        <v>54572</v>
      </c>
      <c r="F82" s="170"/>
      <c r="G82" s="170"/>
      <c r="H82" s="170"/>
      <c r="I82" s="170">
        <f t="shared" si="30"/>
        <v>54572</v>
      </c>
      <c r="K82" s="845">
        <v>70927</v>
      </c>
      <c r="L82" s="849">
        <v>12803</v>
      </c>
      <c r="M82" s="170"/>
      <c r="N82" s="170"/>
      <c r="O82" s="170"/>
      <c r="P82" s="170"/>
      <c r="Q82" s="170"/>
      <c r="R82" s="170">
        <f t="shared" si="31"/>
        <v>83730</v>
      </c>
      <c r="T82" s="845">
        <v>90000</v>
      </c>
      <c r="U82" s="849">
        <v>16958.551532664678</v>
      </c>
      <c r="V82" s="170"/>
      <c r="W82" s="170"/>
      <c r="X82" s="170"/>
      <c r="Y82" s="170"/>
      <c r="Z82" s="170">
        <f t="shared" si="32"/>
        <v>106958.55153266469</v>
      </c>
      <c r="AB82" s="845"/>
      <c r="AC82" s="849"/>
      <c r="AD82" s="170"/>
      <c r="AE82" s="170"/>
      <c r="AF82" s="170"/>
      <c r="AG82" s="170"/>
      <c r="AH82" s="170">
        <f t="shared" si="29"/>
        <v>0</v>
      </c>
      <c r="AI82" s="195" t="s">
        <v>53</v>
      </c>
      <c r="AJ82" s="195" t="s">
        <v>53</v>
      </c>
    </row>
    <row r="83" spans="1:36" ht="27.75" customHeight="1" x14ac:dyDescent="0.2">
      <c r="A83" s="771" t="s">
        <v>2926</v>
      </c>
      <c r="B83" s="975" t="s">
        <v>2927</v>
      </c>
      <c r="C83" s="170"/>
      <c r="E83" s="845"/>
      <c r="F83" s="170"/>
      <c r="G83" s="170"/>
      <c r="H83" s="170"/>
      <c r="I83" s="170"/>
      <c r="K83" s="845">
        <v>62061</v>
      </c>
      <c r="L83" s="170"/>
      <c r="M83" s="170"/>
      <c r="N83" s="170"/>
      <c r="O83" s="170"/>
      <c r="P83" s="170"/>
      <c r="Q83" s="170"/>
      <c r="R83" s="170">
        <f t="shared" si="31"/>
        <v>62061</v>
      </c>
      <c r="T83" s="845">
        <v>90000</v>
      </c>
      <c r="U83" s="849"/>
      <c r="V83" s="170"/>
      <c r="W83" s="170"/>
      <c r="X83" s="170"/>
      <c r="Y83" s="170"/>
      <c r="Z83" s="170">
        <f t="shared" si="32"/>
        <v>90000</v>
      </c>
      <c r="AB83" s="845"/>
      <c r="AC83" s="849"/>
      <c r="AD83" s="170"/>
      <c r="AE83" s="170"/>
      <c r="AF83" s="170"/>
      <c r="AG83" s="170"/>
      <c r="AH83" s="170">
        <f t="shared" si="29"/>
        <v>0</v>
      </c>
      <c r="AI83" s="195" t="s">
        <v>2537</v>
      </c>
      <c r="AJ83" s="195" t="s">
        <v>9</v>
      </c>
    </row>
    <row r="84" spans="1:36" ht="27.75" customHeight="1" x14ac:dyDescent="0.2">
      <c r="A84" s="771">
        <v>580107977</v>
      </c>
      <c r="B84" s="975" t="s">
        <v>2928</v>
      </c>
      <c r="C84" s="170"/>
      <c r="E84" s="845"/>
      <c r="F84" s="170"/>
      <c r="G84" s="170"/>
      <c r="H84" s="170"/>
      <c r="I84" s="170"/>
      <c r="K84" s="845">
        <f>71250+37500*2</f>
        <v>146250</v>
      </c>
      <c r="L84" s="170"/>
      <c r="M84" s="170"/>
      <c r="N84" s="170"/>
      <c r="O84" s="170"/>
      <c r="P84" s="170"/>
      <c r="Q84" s="170"/>
      <c r="R84" s="170">
        <f t="shared" si="31"/>
        <v>146250</v>
      </c>
      <c r="T84" s="845">
        <v>140625</v>
      </c>
      <c r="U84" s="849"/>
      <c r="V84" s="170"/>
      <c r="W84" s="170"/>
      <c r="X84" s="170"/>
      <c r="Y84" s="170"/>
      <c r="Z84" s="170">
        <f t="shared" si="32"/>
        <v>140625</v>
      </c>
      <c r="AB84" s="845">
        <f>205188+34619+62315+34619</f>
        <v>336741</v>
      </c>
      <c r="AC84" s="849"/>
      <c r="AD84" s="170"/>
      <c r="AE84" s="170"/>
      <c r="AF84" s="170"/>
      <c r="AG84" s="170"/>
      <c r="AH84" s="170">
        <f t="shared" si="29"/>
        <v>336741</v>
      </c>
      <c r="AI84" s="195" t="s">
        <v>73</v>
      </c>
      <c r="AJ84" s="195" t="s">
        <v>136</v>
      </c>
    </row>
    <row r="85" spans="1:36" ht="27.75" customHeight="1" x14ac:dyDescent="0.2">
      <c r="A85" s="771" t="s">
        <v>2349</v>
      </c>
      <c r="B85" s="975" t="s">
        <v>2925</v>
      </c>
      <c r="C85" s="170"/>
      <c r="E85" s="845"/>
      <c r="F85" s="170"/>
      <c r="G85" s="170"/>
      <c r="H85" s="170"/>
      <c r="I85" s="170"/>
      <c r="K85" s="845">
        <v>62061</v>
      </c>
      <c r="L85" s="170"/>
      <c r="M85" s="170"/>
      <c r="N85" s="170"/>
      <c r="O85" s="170"/>
      <c r="P85" s="170"/>
      <c r="Q85" s="170"/>
      <c r="R85" s="170">
        <f t="shared" si="31"/>
        <v>62061</v>
      </c>
      <c r="T85" s="845"/>
      <c r="U85" s="849"/>
      <c r="V85" s="170"/>
      <c r="W85" s="170"/>
      <c r="X85" s="170"/>
      <c r="Y85" s="170"/>
      <c r="Z85" s="170">
        <f t="shared" si="32"/>
        <v>0</v>
      </c>
      <c r="AB85" s="845"/>
      <c r="AC85" s="849"/>
      <c r="AD85" s="170"/>
      <c r="AE85" s="170"/>
      <c r="AF85" s="170"/>
      <c r="AG85" s="170"/>
      <c r="AH85" s="170">
        <f t="shared" si="29"/>
        <v>0</v>
      </c>
      <c r="AI85" s="195" t="s">
        <v>416</v>
      </c>
      <c r="AJ85" s="195" t="s">
        <v>136</v>
      </c>
    </row>
    <row r="86" spans="1:36" ht="27.75" customHeight="1" x14ac:dyDescent="0.2">
      <c r="A86" s="771">
        <v>580501724</v>
      </c>
      <c r="B86" s="975" t="s">
        <v>2929</v>
      </c>
      <c r="C86" s="170"/>
      <c r="E86" s="845"/>
      <c r="F86" s="170"/>
      <c r="G86" s="170"/>
      <c r="H86" s="170"/>
      <c r="I86" s="170"/>
      <c r="K86" s="845">
        <v>74766</v>
      </c>
      <c r="L86" s="170"/>
      <c r="M86" s="170"/>
      <c r="N86" s="170"/>
      <c r="O86" s="170"/>
      <c r="P86" s="170"/>
      <c r="Q86" s="170"/>
      <c r="R86" s="170">
        <f t="shared" si="31"/>
        <v>74766</v>
      </c>
      <c r="T86" s="845"/>
      <c r="U86" s="849"/>
      <c r="V86" s="170"/>
      <c r="W86" s="170"/>
      <c r="X86" s="170"/>
      <c r="Y86" s="170"/>
      <c r="Z86" s="170">
        <f t="shared" si="32"/>
        <v>0</v>
      </c>
      <c r="AB86" s="845">
        <v>259133</v>
      </c>
      <c r="AC86" s="849"/>
      <c r="AD86" s="170"/>
      <c r="AE86" s="170"/>
      <c r="AF86" s="170"/>
      <c r="AG86" s="170"/>
      <c r="AH86" s="170">
        <f t="shared" si="29"/>
        <v>259133</v>
      </c>
      <c r="AI86" s="195" t="s">
        <v>73</v>
      </c>
      <c r="AJ86" s="195" t="s">
        <v>136</v>
      </c>
    </row>
    <row r="87" spans="1:36" ht="27.75" customHeight="1" x14ac:dyDescent="0.2">
      <c r="A87" s="771">
        <v>580569283</v>
      </c>
      <c r="B87" s="975" t="s">
        <v>2930</v>
      </c>
      <c r="C87" s="170"/>
      <c r="E87" s="845"/>
      <c r="F87" s="170"/>
      <c r="G87" s="170"/>
      <c r="H87" s="170"/>
      <c r="I87" s="170"/>
      <c r="K87" s="845">
        <f>132988+48750</f>
        <v>181738</v>
      </c>
      <c r="L87" s="170"/>
      <c r="M87" s="170"/>
      <c r="N87" s="170"/>
      <c r="O87" s="170"/>
      <c r="P87" s="170"/>
      <c r="Q87" s="170"/>
      <c r="R87" s="170">
        <f t="shared" si="31"/>
        <v>181738</v>
      </c>
      <c r="T87" s="845">
        <v>193562</v>
      </c>
      <c r="U87" s="849"/>
      <c r="V87" s="170"/>
      <c r="W87" s="170"/>
      <c r="X87" s="170"/>
      <c r="Y87" s="170"/>
      <c r="Z87" s="170">
        <f t="shared" si="32"/>
        <v>193562</v>
      </c>
      <c r="AB87" s="845"/>
      <c r="AC87" s="849"/>
      <c r="AD87" s="170"/>
      <c r="AE87" s="170"/>
      <c r="AF87" s="170"/>
      <c r="AG87" s="170"/>
      <c r="AH87" s="170">
        <f t="shared" si="29"/>
        <v>0</v>
      </c>
      <c r="AI87" s="195" t="s">
        <v>53</v>
      </c>
      <c r="AJ87" s="195" t="s">
        <v>53</v>
      </c>
    </row>
    <row r="88" spans="1:36" ht="27.75" customHeight="1" x14ac:dyDescent="0.2">
      <c r="A88" s="771">
        <v>580587426</v>
      </c>
      <c r="B88" s="975" t="s">
        <v>2931</v>
      </c>
      <c r="C88" s="170"/>
      <c r="E88" s="845"/>
      <c r="F88" s="170"/>
      <c r="G88" s="170"/>
      <c r="H88" s="170"/>
      <c r="I88" s="170"/>
      <c r="K88" s="845">
        <v>335788</v>
      </c>
      <c r="L88" s="170"/>
      <c r="M88" s="170"/>
      <c r="N88" s="170"/>
      <c r="O88" s="170"/>
      <c r="P88" s="170"/>
      <c r="Q88" s="170"/>
      <c r="R88" s="170">
        <f t="shared" si="31"/>
        <v>335788</v>
      </c>
      <c r="T88" s="845">
        <v>699311</v>
      </c>
      <c r="U88" s="849"/>
      <c r="V88" s="170"/>
      <c r="W88" s="170"/>
      <c r="X88" s="170"/>
      <c r="Y88" s="170"/>
      <c r="Z88" s="170">
        <f t="shared" si="32"/>
        <v>699311</v>
      </c>
      <c r="AB88" s="845">
        <v>857744</v>
      </c>
      <c r="AC88" s="849"/>
      <c r="AD88" s="170">
        <v>295766</v>
      </c>
      <c r="AE88" s="170"/>
      <c r="AF88" s="170"/>
      <c r="AG88" s="170"/>
      <c r="AH88" s="170">
        <f t="shared" si="29"/>
        <v>1153510</v>
      </c>
      <c r="AI88" s="195" t="s">
        <v>2932</v>
      </c>
      <c r="AJ88" s="195" t="s">
        <v>32</v>
      </c>
    </row>
    <row r="89" spans="1:36" ht="27.75" customHeight="1" x14ac:dyDescent="0.2">
      <c r="A89" s="771">
        <v>580606598</v>
      </c>
      <c r="B89" s="975" t="s">
        <v>2934</v>
      </c>
      <c r="C89" s="170"/>
      <c r="E89" s="845"/>
      <c r="F89" s="170"/>
      <c r="G89" s="170"/>
      <c r="H89" s="170"/>
      <c r="I89" s="170"/>
      <c r="K89" s="845">
        <v>1200000</v>
      </c>
      <c r="L89" s="849">
        <v>211140</v>
      </c>
      <c r="M89" s="170"/>
      <c r="N89" s="170"/>
      <c r="O89" s="170"/>
      <c r="P89" s="170"/>
      <c r="Q89" s="170"/>
      <c r="R89" s="170">
        <f t="shared" si="31"/>
        <v>1411140</v>
      </c>
      <c r="T89" s="845">
        <v>1340938</v>
      </c>
      <c r="U89" s="849">
        <v>286918.40680132544</v>
      </c>
      <c r="V89" s="170"/>
      <c r="W89" s="170"/>
      <c r="X89" s="170"/>
      <c r="Y89" s="170"/>
      <c r="Z89" s="170">
        <f t="shared" si="32"/>
        <v>1627856.4068013255</v>
      </c>
      <c r="AB89" s="845">
        <v>1324860</v>
      </c>
      <c r="AC89" s="849">
        <v>374020</v>
      </c>
      <c r="AD89" s="170"/>
      <c r="AE89" s="170"/>
      <c r="AF89" s="170"/>
      <c r="AG89" s="170"/>
      <c r="AH89" s="170">
        <f t="shared" si="29"/>
        <v>1698880</v>
      </c>
      <c r="AI89" s="195" t="s">
        <v>53</v>
      </c>
      <c r="AJ89" s="195" t="s">
        <v>53</v>
      </c>
    </row>
    <row r="90" spans="1:36" ht="27.75" customHeight="1" x14ac:dyDescent="0.2">
      <c r="A90" s="771" t="s">
        <v>3071</v>
      </c>
      <c r="B90" s="975" t="s">
        <v>3072</v>
      </c>
      <c r="C90" s="170"/>
      <c r="E90" s="845"/>
      <c r="F90" s="170"/>
      <c r="G90" s="170"/>
      <c r="H90" s="170"/>
      <c r="I90" s="170"/>
      <c r="K90" s="845"/>
      <c r="L90" s="849"/>
      <c r="M90" s="170"/>
      <c r="N90" s="170"/>
      <c r="O90" s="170"/>
      <c r="P90" s="170"/>
      <c r="Q90" s="170"/>
      <c r="R90" s="170"/>
      <c r="T90" s="845">
        <v>182718</v>
      </c>
      <c r="U90" s="849"/>
      <c r="V90" s="170"/>
      <c r="W90" s="170"/>
      <c r="X90" s="170"/>
      <c r="Y90" s="170"/>
      <c r="Z90" s="170">
        <f t="shared" si="32"/>
        <v>182718</v>
      </c>
      <c r="AB90" s="845"/>
      <c r="AC90" s="849"/>
      <c r="AD90" s="170"/>
      <c r="AE90" s="170"/>
      <c r="AF90" s="170"/>
      <c r="AG90" s="170"/>
      <c r="AH90" s="170">
        <f t="shared" si="29"/>
        <v>0</v>
      </c>
      <c r="AI90" s="195" t="s">
        <v>1487</v>
      </c>
      <c r="AJ90" s="195" t="s">
        <v>9</v>
      </c>
    </row>
    <row r="91" spans="1:36" ht="27.75" customHeight="1" x14ac:dyDescent="0.2">
      <c r="A91" s="771" t="s">
        <v>3073</v>
      </c>
      <c r="B91" s="977" t="s">
        <v>3074</v>
      </c>
      <c r="C91" s="170"/>
      <c r="E91" s="845"/>
      <c r="F91" s="170"/>
      <c r="G91" s="170"/>
      <c r="H91" s="170"/>
      <c r="I91" s="170"/>
      <c r="K91" s="845"/>
      <c r="L91" s="849"/>
      <c r="M91" s="170"/>
      <c r="N91" s="170"/>
      <c r="O91" s="170"/>
      <c r="P91" s="170"/>
      <c r="Q91" s="170"/>
      <c r="R91" s="170"/>
      <c r="T91" s="943">
        <v>103233</v>
      </c>
      <c r="U91" s="849"/>
      <c r="V91" s="170"/>
      <c r="W91" s="170"/>
      <c r="X91" s="170"/>
      <c r="Y91" s="170"/>
      <c r="Z91" s="170">
        <f t="shared" si="32"/>
        <v>103233</v>
      </c>
      <c r="AB91" s="845"/>
      <c r="AC91" s="849"/>
      <c r="AD91" s="170"/>
      <c r="AE91" s="170"/>
      <c r="AF91" s="170"/>
      <c r="AG91" s="170"/>
      <c r="AH91" s="170">
        <f t="shared" si="29"/>
        <v>0</v>
      </c>
      <c r="AI91" s="195" t="s">
        <v>53</v>
      </c>
      <c r="AJ91" s="195" t="s">
        <v>53</v>
      </c>
    </row>
    <row r="92" spans="1:36" ht="27.75" customHeight="1" x14ac:dyDescent="0.2">
      <c r="A92" s="771">
        <v>580603918</v>
      </c>
      <c r="B92" s="977" t="s">
        <v>3438</v>
      </c>
      <c r="C92" s="170"/>
      <c r="E92" s="845"/>
      <c r="F92" s="170"/>
      <c r="G92" s="170"/>
      <c r="H92" s="170"/>
      <c r="I92" s="170"/>
      <c r="K92" s="845"/>
      <c r="L92" s="849"/>
      <c r="M92" s="170"/>
      <c r="N92" s="170"/>
      <c r="O92" s="170"/>
      <c r="P92" s="170"/>
      <c r="Q92" s="170"/>
      <c r="R92" s="170"/>
      <c r="T92" s="943"/>
      <c r="U92" s="849"/>
      <c r="V92" s="170"/>
      <c r="W92" s="170"/>
      <c r="X92" s="170"/>
      <c r="Y92" s="170"/>
      <c r="Z92" s="170"/>
      <c r="AB92" s="845">
        <v>133803</v>
      </c>
      <c r="AC92" s="849"/>
      <c r="AD92" s="170"/>
      <c r="AE92" s="170"/>
      <c r="AF92" s="170"/>
      <c r="AG92" s="170"/>
      <c r="AH92" s="170">
        <f t="shared" si="29"/>
        <v>133803</v>
      </c>
      <c r="AI92" s="195" t="s">
        <v>1593</v>
      </c>
      <c r="AJ92" s="195" t="s">
        <v>12</v>
      </c>
    </row>
    <row r="93" spans="1:36" ht="27.75" customHeight="1" x14ac:dyDescent="0.2">
      <c r="A93" s="771">
        <v>580614865</v>
      </c>
      <c r="B93" s="977" t="s">
        <v>3439</v>
      </c>
      <c r="C93" s="170"/>
      <c r="E93" s="845"/>
      <c r="F93" s="170"/>
      <c r="G93" s="170"/>
      <c r="H93" s="170"/>
      <c r="I93" s="170"/>
      <c r="K93" s="845"/>
      <c r="L93" s="849"/>
      <c r="M93" s="170"/>
      <c r="N93" s="170"/>
      <c r="O93" s="170"/>
      <c r="P93" s="170"/>
      <c r="Q93" s="170"/>
      <c r="R93" s="170"/>
      <c r="T93" s="943"/>
      <c r="U93" s="849"/>
      <c r="V93" s="170"/>
      <c r="W93" s="170"/>
      <c r="X93" s="170"/>
      <c r="Y93" s="170"/>
      <c r="Z93" s="170"/>
      <c r="AB93" s="845">
        <v>133803</v>
      </c>
      <c r="AC93" s="849"/>
      <c r="AD93" s="170"/>
      <c r="AE93" s="170"/>
      <c r="AF93" s="170"/>
      <c r="AG93" s="170"/>
      <c r="AH93" s="170">
        <f t="shared" si="29"/>
        <v>133803</v>
      </c>
      <c r="AI93" s="195" t="s">
        <v>73</v>
      </c>
      <c r="AJ93" s="195" t="s">
        <v>136</v>
      </c>
    </row>
    <row r="94" spans="1:36" ht="27.75" customHeight="1" x14ac:dyDescent="0.2">
      <c r="A94" s="771">
        <v>580622223</v>
      </c>
      <c r="B94" s="977" t="s">
        <v>3440</v>
      </c>
      <c r="C94" s="170"/>
      <c r="E94" s="845"/>
      <c r="F94" s="170"/>
      <c r="G94" s="170"/>
      <c r="H94" s="170"/>
      <c r="I94" s="170"/>
      <c r="K94" s="845"/>
      <c r="L94" s="849"/>
      <c r="M94" s="170"/>
      <c r="N94" s="170"/>
      <c r="O94" s="170"/>
      <c r="P94" s="170"/>
      <c r="Q94" s="170"/>
      <c r="R94" s="170"/>
      <c r="T94" s="943"/>
      <c r="U94" s="849"/>
      <c r="V94" s="170"/>
      <c r="W94" s="170"/>
      <c r="X94" s="170"/>
      <c r="Y94" s="170"/>
      <c r="Z94" s="170"/>
      <c r="AB94" s="845">
        <v>118936</v>
      </c>
      <c r="AC94" s="849"/>
      <c r="AD94" s="170"/>
      <c r="AE94" s="170"/>
      <c r="AF94" s="170"/>
      <c r="AG94" s="170"/>
      <c r="AH94" s="170">
        <f t="shared" si="29"/>
        <v>118936</v>
      </c>
      <c r="AI94" s="195" t="s">
        <v>400</v>
      </c>
      <c r="AJ94" s="195" t="s">
        <v>32</v>
      </c>
    </row>
    <row r="95" spans="1:36" ht="27.75" customHeight="1" x14ac:dyDescent="0.2">
      <c r="A95" s="771">
        <v>580625044</v>
      </c>
      <c r="B95" s="977" t="s">
        <v>3441</v>
      </c>
      <c r="C95" s="170"/>
      <c r="E95" s="845"/>
      <c r="F95" s="170"/>
      <c r="G95" s="170"/>
      <c r="H95" s="170"/>
      <c r="I95" s="170"/>
      <c r="K95" s="845"/>
      <c r="L95" s="849"/>
      <c r="M95" s="170"/>
      <c r="N95" s="170"/>
      <c r="O95" s="170"/>
      <c r="P95" s="170"/>
      <c r="Q95" s="170"/>
      <c r="R95" s="170"/>
      <c r="T95" s="943"/>
      <c r="U95" s="849"/>
      <c r="V95" s="170"/>
      <c r="W95" s="170"/>
      <c r="X95" s="170"/>
      <c r="Y95" s="170"/>
      <c r="Z95" s="170"/>
      <c r="AB95" s="845">
        <v>52000</v>
      </c>
      <c r="AC95" s="849"/>
      <c r="AD95" s="170"/>
      <c r="AE95" s="170"/>
      <c r="AF95" s="170"/>
      <c r="AG95" s="170"/>
      <c r="AH95" s="170">
        <f t="shared" si="29"/>
        <v>52000</v>
      </c>
      <c r="AI95" s="195" t="s">
        <v>3442</v>
      </c>
      <c r="AJ95" s="195" t="s">
        <v>12</v>
      </c>
    </row>
    <row r="96" spans="1:36" s="212" customFormat="1" ht="21.75" customHeight="1" x14ac:dyDescent="0.2">
      <c r="A96" s="771">
        <v>580475721</v>
      </c>
      <c r="B96" s="963" t="s">
        <v>474</v>
      </c>
      <c r="C96" s="170"/>
      <c r="D96" s="210"/>
      <c r="E96" s="845">
        <v>750000</v>
      </c>
      <c r="F96" s="170"/>
      <c r="G96" s="170">
        <v>125000</v>
      </c>
      <c r="H96" s="170"/>
      <c r="I96" s="170">
        <f t="shared" si="30"/>
        <v>875000</v>
      </c>
      <c r="J96" s="210"/>
      <c r="K96" s="845">
        <v>610028</v>
      </c>
      <c r="L96" s="170"/>
      <c r="M96" s="170">
        <f>93750+125000</f>
        <v>218750</v>
      </c>
      <c r="N96" s="170"/>
      <c r="O96" s="170"/>
      <c r="P96" s="170"/>
      <c r="Q96" s="170"/>
      <c r="R96" s="170">
        <f t="shared" si="31"/>
        <v>828778</v>
      </c>
      <c r="S96" s="210"/>
      <c r="T96" s="845">
        <v>618740</v>
      </c>
      <c r="U96" s="849"/>
      <c r="V96" s="170">
        <v>213719</v>
      </c>
      <c r="W96" s="170"/>
      <c r="X96" s="170"/>
      <c r="Y96" s="170"/>
      <c r="Z96" s="170">
        <f t="shared" si="32"/>
        <v>832459</v>
      </c>
      <c r="AA96" s="210"/>
      <c r="AB96" s="845">
        <v>597630</v>
      </c>
      <c r="AC96" s="849"/>
      <c r="AD96" s="170">
        <v>261689</v>
      </c>
      <c r="AE96" s="170"/>
      <c r="AF96" s="170"/>
      <c r="AG96" s="170"/>
      <c r="AH96" s="170">
        <f t="shared" si="29"/>
        <v>859319</v>
      </c>
      <c r="AI96" s="164" t="s">
        <v>2324</v>
      </c>
      <c r="AJ96" s="164" t="s">
        <v>32</v>
      </c>
    </row>
    <row r="97" spans="1:36" s="207" customFormat="1" ht="18" x14ac:dyDescent="0.2">
      <c r="A97" s="238" t="s">
        <v>475</v>
      </c>
      <c r="B97" s="978"/>
      <c r="C97" s="239"/>
      <c r="D97" s="201"/>
      <c r="E97" s="239">
        <f>SUM(E98:E100)</f>
        <v>1041420</v>
      </c>
      <c r="F97" s="239">
        <f>SUM(F98:F100)</f>
        <v>0</v>
      </c>
      <c r="G97" s="239">
        <f>SUM(G98:G100)</f>
        <v>0</v>
      </c>
      <c r="H97" s="239">
        <f>SUM(H98:H100)</f>
        <v>0</v>
      </c>
      <c r="I97" s="239">
        <f>SUM(I98:I100)</f>
        <v>1041420</v>
      </c>
      <c r="J97" s="201"/>
      <c r="K97" s="239">
        <f>SUM(K98:K102)</f>
        <v>1001251</v>
      </c>
      <c r="L97" s="239">
        <f t="shared" ref="L97:R97" si="33">SUM(L98:L102)</f>
        <v>0</v>
      </c>
      <c r="M97" s="239">
        <f t="shared" si="33"/>
        <v>0</v>
      </c>
      <c r="N97" s="239"/>
      <c r="O97" s="239"/>
      <c r="P97" s="239">
        <f t="shared" ref="P97" si="34">SUM(P98:P102)</f>
        <v>0</v>
      </c>
      <c r="Q97" s="239">
        <f t="shared" si="33"/>
        <v>0</v>
      </c>
      <c r="R97" s="239">
        <f t="shared" si="33"/>
        <v>1001251</v>
      </c>
      <c r="S97" s="201"/>
      <c r="T97" s="239">
        <f>SUM(T98:T102)</f>
        <v>892363</v>
      </c>
      <c r="U97" s="239">
        <f t="shared" ref="U97:Y97" si="35">SUM(U98:U102)</f>
        <v>0</v>
      </c>
      <c r="V97" s="239">
        <f t="shared" si="35"/>
        <v>0</v>
      </c>
      <c r="W97" s="239">
        <f t="shared" si="35"/>
        <v>0</v>
      </c>
      <c r="X97" s="239">
        <f t="shared" si="35"/>
        <v>0</v>
      </c>
      <c r="Y97" s="239">
        <f t="shared" si="35"/>
        <v>0</v>
      </c>
      <c r="Z97" s="239">
        <f t="shared" ref="Z97" si="36">SUM(Z98:Z102)</f>
        <v>892363</v>
      </c>
      <c r="AA97" s="201"/>
      <c r="AB97" s="239">
        <f>SUM(AB98:AB102)</f>
        <v>1283151</v>
      </c>
      <c r="AC97" s="239">
        <f t="shared" ref="AC97:AH97" si="37">SUM(AC98:AC102)</f>
        <v>0</v>
      </c>
      <c r="AD97" s="239">
        <f t="shared" si="37"/>
        <v>0</v>
      </c>
      <c r="AE97" s="239">
        <f t="shared" si="37"/>
        <v>0</v>
      </c>
      <c r="AF97" s="239">
        <f t="shared" si="37"/>
        <v>0</v>
      </c>
      <c r="AG97" s="239"/>
      <c r="AH97" s="239">
        <f t="shared" si="37"/>
        <v>1283151</v>
      </c>
      <c r="AI97" s="239"/>
      <c r="AJ97" s="239"/>
    </row>
    <row r="98" spans="1:36" s="220" customFormat="1" ht="31.5" customHeight="1" x14ac:dyDescent="0.2">
      <c r="A98" s="208">
        <v>500250006</v>
      </c>
      <c r="B98" s="963" t="s">
        <v>476</v>
      </c>
      <c r="C98" s="170"/>
      <c r="D98" s="221"/>
      <c r="E98" s="845">
        <f>859562+81858</f>
        <v>941420</v>
      </c>
      <c r="F98" s="170"/>
      <c r="G98" s="170"/>
      <c r="H98" s="170"/>
      <c r="I98" s="170">
        <f>SUM(E98:H98)</f>
        <v>941420</v>
      </c>
      <c r="J98" s="221"/>
      <c r="K98" s="845">
        <f>48750+659473+97525</f>
        <v>805748</v>
      </c>
      <c r="L98" s="170"/>
      <c r="M98" s="170"/>
      <c r="N98" s="170"/>
      <c r="O98" s="170"/>
      <c r="P98" s="170"/>
      <c r="Q98" s="170"/>
      <c r="R98" s="170">
        <f>SUM(K98:Q98)</f>
        <v>805748</v>
      </c>
      <c r="S98" s="221"/>
      <c r="T98" s="845">
        <v>763322</v>
      </c>
      <c r="U98" s="170"/>
      <c r="V98" s="170"/>
      <c r="W98" s="170"/>
      <c r="X98" s="170"/>
      <c r="Y98" s="170"/>
      <c r="Z98" s="170">
        <f>SUM(T98:Y98)</f>
        <v>763322</v>
      </c>
      <c r="AA98" s="221"/>
      <c r="AB98" s="845">
        <f>579480+249352+103858</f>
        <v>932690</v>
      </c>
      <c r="AC98" s="170"/>
      <c r="AD98" s="170"/>
      <c r="AE98" s="170"/>
      <c r="AF98" s="170"/>
      <c r="AG98" s="170"/>
      <c r="AH98" s="170">
        <f t="shared" ref="AH98:AH102" si="38">SUM(AB98:AG98)</f>
        <v>932690</v>
      </c>
      <c r="AI98" s="195" t="s">
        <v>443</v>
      </c>
      <c r="AJ98" s="195" t="s">
        <v>136</v>
      </c>
    </row>
    <row r="99" spans="1:36" s="220" customFormat="1" ht="24.75" customHeight="1" x14ac:dyDescent="0.2">
      <c r="A99" s="208" t="s">
        <v>2394</v>
      </c>
      <c r="B99" s="973" t="s">
        <v>2395</v>
      </c>
      <c r="C99" s="170"/>
      <c r="D99" s="221"/>
      <c r="E99" s="845"/>
      <c r="F99" s="170"/>
      <c r="G99" s="170"/>
      <c r="H99" s="170"/>
      <c r="I99" s="170">
        <f>SUM(E99:H99)</f>
        <v>0</v>
      </c>
      <c r="J99" s="221"/>
      <c r="K99" s="845"/>
      <c r="L99" s="170"/>
      <c r="M99" s="170"/>
      <c r="N99" s="170"/>
      <c r="O99" s="170"/>
      <c r="P99" s="170"/>
      <c r="Q99" s="170"/>
      <c r="R99" s="170">
        <f>SUM(K99:Q99)</f>
        <v>0</v>
      </c>
      <c r="S99" s="221"/>
      <c r="T99" s="845"/>
      <c r="U99" s="170"/>
      <c r="V99" s="170"/>
      <c r="W99" s="170"/>
      <c r="X99" s="170"/>
      <c r="Y99" s="170"/>
      <c r="Z99" s="170">
        <f>SUM(T99:Y99)</f>
        <v>0</v>
      </c>
      <c r="AA99" s="221"/>
      <c r="AB99" s="845"/>
      <c r="AC99" s="170"/>
      <c r="AD99" s="170"/>
      <c r="AE99" s="170"/>
      <c r="AF99" s="170"/>
      <c r="AG99" s="170"/>
      <c r="AH99" s="170">
        <f t="shared" si="38"/>
        <v>0</v>
      </c>
      <c r="AI99" s="195" t="s">
        <v>696</v>
      </c>
      <c r="AJ99" s="195" t="s">
        <v>9</v>
      </c>
    </row>
    <row r="100" spans="1:36" s="220" customFormat="1" ht="24.75" customHeight="1" x14ac:dyDescent="0.2">
      <c r="A100" s="208" t="s">
        <v>2266</v>
      </c>
      <c r="B100" s="973" t="s">
        <v>2457</v>
      </c>
      <c r="C100" s="170"/>
      <c r="D100" s="221"/>
      <c r="E100" s="845">
        <v>100000</v>
      </c>
      <c r="F100" s="170"/>
      <c r="G100" s="170"/>
      <c r="H100" s="170"/>
      <c r="I100" s="170">
        <f>SUM(E100:H100)</f>
        <v>100000</v>
      </c>
      <c r="J100" s="221"/>
      <c r="K100" s="845">
        <v>102424</v>
      </c>
      <c r="L100" s="170"/>
      <c r="M100" s="170"/>
      <c r="N100" s="170"/>
      <c r="O100" s="170"/>
      <c r="P100" s="170"/>
      <c r="Q100" s="170"/>
      <c r="R100" s="170">
        <f>SUM(K100:Q100)</f>
        <v>102424</v>
      </c>
      <c r="S100" s="221"/>
      <c r="T100" s="845"/>
      <c r="U100" s="170"/>
      <c r="V100" s="170"/>
      <c r="W100" s="170"/>
      <c r="X100" s="170"/>
      <c r="Y100" s="170"/>
      <c r="Z100" s="170">
        <f>SUM(T100:Y100)</f>
        <v>0</v>
      </c>
      <c r="AA100" s="221"/>
      <c r="AB100" s="845"/>
      <c r="AC100" s="170"/>
      <c r="AD100" s="170"/>
      <c r="AE100" s="170"/>
      <c r="AF100" s="170"/>
      <c r="AG100" s="170"/>
      <c r="AH100" s="170">
        <f t="shared" si="38"/>
        <v>0</v>
      </c>
      <c r="AI100" s="195" t="s">
        <v>1211</v>
      </c>
      <c r="AJ100" s="195" t="s">
        <v>136</v>
      </c>
    </row>
    <row r="101" spans="1:36" s="218" customFormat="1" ht="24.75" customHeight="1" x14ac:dyDescent="0.2">
      <c r="A101" s="195">
        <v>500265004</v>
      </c>
      <c r="B101" s="963" t="s">
        <v>2924</v>
      </c>
      <c r="C101" s="170"/>
      <c r="D101" s="232"/>
      <c r="E101" s="845"/>
      <c r="F101" s="170"/>
      <c r="G101" s="170"/>
      <c r="H101" s="170"/>
      <c r="I101" s="170"/>
      <c r="J101" s="232"/>
      <c r="K101" s="845">
        <v>48750</v>
      </c>
      <c r="L101" s="170"/>
      <c r="M101" s="170"/>
      <c r="N101" s="170"/>
      <c r="O101" s="170"/>
      <c r="P101" s="170"/>
      <c r="Q101" s="170"/>
      <c r="R101" s="170">
        <f>SUM(K101:Q101)</f>
        <v>48750</v>
      </c>
      <c r="S101" s="232"/>
      <c r="T101" s="845"/>
      <c r="U101" s="170"/>
      <c r="V101" s="170"/>
      <c r="W101" s="170"/>
      <c r="X101" s="170"/>
      <c r="Y101" s="170"/>
      <c r="Z101" s="170">
        <f>SUM(T101:Y101)</f>
        <v>0</v>
      </c>
      <c r="AA101" s="232"/>
      <c r="AB101" s="845">
        <v>85164</v>
      </c>
      <c r="AC101" s="170"/>
      <c r="AD101" s="170"/>
      <c r="AE101" s="170"/>
      <c r="AF101" s="170"/>
      <c r="AG101" s="170"/>
      <c r="AH101" s="170">
        <f t="shared" si="38"/>
        <v>85164</v>
      </c>
      <c r="AI101" s="195" t="s">
        <v>896</v>
      </c>
      <c r="AJ101" s="195" t="s">
        <v>12</v>
      </c>
    </row>
    <row r="102" spans="1:36" s="218" customFormat="1" ht="24.75" customHeight="1" x14ac:dyDescent="0.2">
      <c r="A102" s="195">
        <v>500222062</v>
      </c>
      <c r="B102" s="963" t="s">
        <v>2923</v>
      </c>
      <c r="C102" s="170"/>
      <c r="D102" s="232"/>
      <c r="E102" s="845"/>
      <c r="F102" s="170"/>
      <c r="G102" s="170"/>
      <c r="H102" s="170"/>
      <c r="I102" s="170"/>
      <c r="J102" s="232"/>
      <c r="K102" s="845">
        <v>44329</v>
      </c>
      <c r="L102" s="170"/>
      <c r="M102" s="170"/>
      <c r="N102" s="170"/>
      <c r="O102" s="170"/>
      <c r="P102" s="170"/>
      <c r="Q102" s="170"/>
      <c r="R102" s="170">
        <f>SUM(K102:Q102)</f>
        <v>44329</v>
      </c>
      <c r="S102" s="232"/>
      <c r="T102" s="943">
        <v>129041</v>
      </c>
      <c r="U102" s="170"/>
      <c r="V102" s="170"/>
      <c r="W102" s="170"/>
      <c r="X102" s="170"/>
      <c r="Y102" s="170"/>
      <c r="Z102" s="170">
        <f>SUM(T102:Y102)</f>
        <v>129041</v>
      </c>
      <c r="AA102" s="232"/>
      <c r="AB102" s="845">
        <v>265297</v>
      </c>
      <c r="AC102" s="170"/>
      <c r="AD102" s="170"/>
      <c r="AE102" s="170"/>
      <c r="AF102" s="170"/>
      <c r="AG102" s="170"/>
      <c r="AH102" s="170">
        <f t="shared" si="38"/>
        <v>265297</v>
      </c>
      <c r="AI102" s="195" t="s">
        <v>1476</v>
      </c>
      <c r="AJ102" s="195" t="s">
        <v>9</v>
      </c>
    </row>
    <row r="106" spans="1:36" x14ac:dyDescent="0.2">
      <c r="I106" s="912" t="e">
        <f>I9+#REF!+I59+I29+I68</f>
        <v>#REF!</v>
      </c>
      <c r="R106" s="912" t="e">
        <f>R9+#REF!+R59+R29+R68</f>
        <v>#REF!</v>
      </c>
      <c r="Z106" s="912" t="e">
        <f>Z9+#REF!+Z59+Z29+Z68</f>
        <v>#REF!</v>
      </c>
      <c r="AH106" s="912" t="e">
        <f>AH9+#REF!+AH59+AH29+AH68</f>
        <v>#REF!</v>
      </c>
    </row>
  </sheetData>
  <mergeCells count="8">
    <mergeCell ref="AB78:AD78"/>
    <mergeCell ref="AB1:AH1"/>
    <mergeCell ref="T1:Z1"/>
    <mergeCell ref="A32:B32"/>
    <mergeCell ref="A4:B4"/>
    <mergeCell ref="K1:R1"/>
    <mergeCell ref="E1:I1"/>
    <mergeCell ref="E30:H30"/>
  </mergeCells>
  <pageMargins left="0" right="0.19685039370078741" top="1.3385826771653544" bottom="0.35433070866141736" header="0.9055118110236221" footer="0.11811023622047245"/>
  <pageSetup paperSize="9" scale="38" fitToHeight="8" orientation="landscape" r:id="rId1"/>
  <headerFooter alignWithMargins="0">
    <oddHeader>&amp;L&amp;D&amp;C&amp;"Arial,מודגש"מינהל התרבות
&amp;11תקציב על שינויו 2016-2019 
 בש"ח בהתאם להחלטת ועדת התמיכות&amp;R&amp;"Arial,מודגש"&amp;14תקנות 42-02-07  ו- 42-02-15 תאטראות</oddHeader>
    <oddFooter>&amp;L&amp;F&amp;C&amp;P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A1:AC115"/>
  <sheetViews>
    <sheetView rightToLeft="1" zoomScale="80" zoomScaleNormal="80" workbookViewId="0">
      <pane xSplit="2" ySplit="2" topLeftCell="I75" activePane="bottomRight" state="frozen"/>
      <selection activeCell="S19" sqref="S19"/>
      <selection pane="topRight" activeCell="S19" sqref="S19"/>
      <selection pane="bottomLeft" activeCell="S19" sqref="S19"/>
      <selection pane="bottomRight" activeCell="AA1" sqref="AA1:AB1048576"/>
    </sheetView>
  </sheetViews>
  <sheetFormatPr defaultColWidth="1" defaultRowHeight="12.75" x14ac:dyDescent="0.2"/>
  <cols>
    <col min="1" max="1" width="14.140625" style="163" bestFit="1" customWidth="1"/>
    <col min="2" max="2" width="32.140625" style="343" customWidth="1"/>
    <col min="3" max="3" width="0.42578125" style="344" customWidth="1"/>
    <col min="4" max="4" width="13.5703125" style="371" customWidth="1"/>
    <col min="5" max="5" width="11.42578125" style="348" bestFit="1" customWidth="1"/>
    <col min="6" max="6" width="11.42578125" style="348" customWidth="1"/>
    <col min="7" max="7" width="13.5703125" style="372" customWidth="1"/>
    <col min="8" max="8" width="0.42578125" style="344" customWidth="1"/>
    <col min="9" max="9" width="13.5703125" style="371" customWidth="1"/>
    <col min="10" max="10" width="11.42578125" style="348" bestFit="1" customWidth="1"/>
    <col min="11" max="12" width="11.42578125" style="348" customWidth="1"/>
    <col min="13" max="13" width="13.5703125" style="372" customWidth="1"/>
    <col min="14" max="14" width="0.42578125" style="344" customWidth="1"/>
    <col min="15" max="15" width="13.5703125" style="371" customWidth="1"/>
    <col min="16" max="16" width="11.42578125" style="348" bestFit="1" customWidth="1"/>
    <col min="17" max="18" width="11.42578125" style="348" customWidth="1"/>
    <col min="19" max="19" width="13.5703125" style="372" customWidth="1"/>
    <col min="20" max="20" width="0.42578125" style="344" customWidth="1"/>
    <col min="21" max="21" width="13.5703125" style="371" customWidth="1"/>
    <col min="22" max="22" width="11.42578125" style="348" bestFit="1" customWidth="1"/>
    <col min="23" max="25" width="11.42578125" style="348" customWidth="1"/>
    <col min="26" max="26" width="13.5703125" style="372" customWidth="1"/>
    <col min="27" max="27" width="10.5703125" style="373" hidden="1" customWidth="1"/>
    <col min="28" max="28" width="13.140625" style="373" hidden="1" customWidth="1"/>
    <col min="29" max="250" width="1" style="348"/>
    <col min="251" max="251" width="0" style="348" hidden="1" customWidth="1"/>
    <col min="252" max="252" width="14.140625" style="348" bestFit="1" customWidth="1"/>
    <col min="253" max="253" width="32.140625" style="348" customWidth="1"/>
    <col min="254" max="254" width="0.42578125" style="348" customWidth="1"/>
    <col min="255" max="255" width="13.5703125" style="348" customWidth="1"/>
    <col min="256" max="257" width="11.42578125" style="348" bestFit="1" customWidth="1"/>
    <col min="258" max="258" width="9.85546875" style="348" customWidth="1"/>
    <col min="259" max="259" width="11.42578125" style="348" customWidth="1"/>
    <col min="260" max="260" width="13.5703125" style="348" customWidth="1"/>
    <col min="261" max="261" width="0.42578125" style="348" customWidth="1"/>
    <col min="262" max="262" width="13.5703125" style="348" customWidth="1"/>
    <col min="263" max="264" width="11.42578125" style="348" bestFit="1" customWidth="1"/>
    <col min="265" max="265" width="9.85546875" style="348" customWidth="1"/>
    <col min="266" max="266" width="11.42578125" style="348" bestFit="1" customWidth="1"/>
    <col min="267" max="267" width="11.42578125" style="348" customWidth="1"/>
    <col min="268" max="269" width="13.5703125" style="348" customWidth="1"/>
    <col min="270" max="270" width="0.42578125" style="348" customWidth="1"/>
    <col min="271" max="271" width="13.5703125" style="348" customWidth="1"/>
    <col min="272" max="272" width="11.42578125" style="348" bestFit="1" customWidth="1"/>
    <col min="273" max="273" width="9.85546875" style="348" customWidth="1"/>
    <col min="274" max="274" width="11.42578125" style="348" customWidth="1"/>
    <col min="275" max="275" width="13.5703125" style="348" customWidth="1"/>
    <col min="276" max="276" width="0.42578125" style="348" customWidth="1"/>
    <col min="277" max="277" width="13.5703125" style="348" customWidth="1"/>
    <col min="278" max="278" width="11.42578125" style="348" bestFit="1" customWidth="1"/>
    <col min="279" max="279" width="9.85546875" style="348" customWidth="1"/>
    <col min="280" max="280" width="11.42578125" style="348" customWidth="1"/>
    <col min="281" max="282" width="13.5703125" style="348" customWidth="1"/>
    <col min="283" max="283" width="10.5703125" style="348" customWidth="1"/>
    <col min="284" max="284" width="11.5703125" style="348" customWidth="1"/>
    <col min="285" max="506" width="1" style="348"/>
    <col min="507" max="507" width="0" style="348" hidden="1" customWidth="1"/>
    <col min="508" max="508" width="14.140625" style="348" bestFit="1" customWidth="1"/>
    <col min="509" max="509" width="32.140625" style="348" customWidth="1"/>
    <col min="510" max="510" width="0.42578125" style="348" customWidth="1"/>
    <col min="511" max="511" width="13.5703125" style="348" customWidth="1"/>
    <col min="512" max="513" width="11.42578125" style="348" bestFit="1" customWidth="1"/>
    <col min="514" max="514" width="9.85546875" style="348" customWidth="1"/>
    <col min="515" max="515" width="11.42578125" style="348" customWidth="1"/>
    <col min="516" max="516" width="13.5703125" style="348" customWidth="1"/>
    <col min="517" max="517" width="0.42578125" style="348" customWidth="1"/>
    <col min="518" max="518" width="13.5703125" style="348" customWidth="1"/>
    <col min="519" max="520" width="11.42578125" style="348" bestFit="1" customWidth="1"/>
    <col min="521" max="521" width="9.85546875" style="348" customWidth="1"/>
    <col min="522" max="522" width="11.42578125" style="348" bestFit="1" customWidth="1"/>
    <col min="523" max="523" width="11.42578125" style="348" customWidth="1"/>
    <col min="524" max="525" width="13.5703125" style="348" customWidth="1"/>
    <col min="526" max="526" width="0.42578125" style="348" customWidth="1"/>
    <col min="527" max="527" width="13.5703125" style="348" customWidth="1"/>
    <col min="528" max="528" width="11.42578125" style="348" bestFit="1" customWidth="1"/>
    <col min="529" max="529" width="9.85546875" style="348" customWidth="1"/>
    <col min="530" max="530" width="11.42578125" style="348" customWidth="1"/>
    <col min="531" max="531" width="13.5703125" style="348" customWidth="1"/>
    <col min="532" max="532" width="0.42578125" style="348" customWidth="1"/>
    <col min="533" max="533" width="13.5703125" style="348" customWidth="1"/>
    <col min="534" max="534" width="11.42578125" style="348" bestFit="1" customWidth="1"/>
    <col min="535" max="535" width="9.85546875" style="348" customWidth="1"/>
    <col min="536" max="536" width="11.42578125" style="348" customWidth="1"/>
    <col min="537" max="538" width="13.5703125" style="348" customWidth="1"/>
    <col min="539" max="539" width="10.5703125" style="348" customWidth="1"/>
    <col min="540" max="540" width="11.5703125" style="348" customWidth="1"/>
    <col min="541" max="762" width="1" style="348"/>
    <col min="763" max="763" width="0" style="348" hidden="1" customWidth="1"/>
    <col min="764" max="764" width="14.140625" style="348" bestFit="1" customWidth="1"/>
    <col min="765" max="765" width="32.140625" style="348" customWidth="1"/>
    <col min="766" max="766" width="0.42578125" style="348" customWidth="1"/>
    <col min="767" max="767" width="13.5703125" style="348" customWidth="1"/>
    <col min="768" max="769" width="11.42578125" style="348" bestFit="1" customWidth="1"/>
    <col min="770" max="770" width="9.85546875" style="348" customWidth="1"/>
    <col min="771" max="771" width="11.42578125" style="348" customWidth="1"/>
    <col min="772" max="772" width="13.5703125" style="348" customWidth="1"/>
    <col min="773" max="773" width="0.42578125" style="348" customWidth="1"/>
    <col min="774" max="774" width="13.5703125" style="348" customWidth="1"/>
    <col min="775" max="776" width="11.42578125" style="348" bestFit="1" customWidth="1"/>
    <col min="777" max="777" width="9.85546875" style="348" customWidth="1"/>
    <col min="778" max="778" width="11.42578125" style="348" bestFit="1" customWidth="1"/>
    <col min="779" max="779" width="11.42578125" style="348" customWidth="1"/>
    <col min="780" max="781" width="13.5703125" style="348" customWidth="1"/>
    <col min="782" max="782" width="0.42578125" style="348" customWidth="1"/>
    <col min="783" max="783" width="13.5703125" style="348" customWidth="1"/>
    <col min="784" max="784" width="11.42578125" style="348" bestFit="1" customWidth="1"/>
    <col min="785" max="785" width="9.85546875" style="348" customWidth="1"/>
    <col min="786" max="786" width="11.42578125" style="348" customWidth="1"/>
    <col min="787" max="787" width="13.5703125" style="348" customWidth="1"/>
    <col min="788" max="788" width="0.42578125" style="348" customWidth="1"/>
    <col min="789" max="789" width="13.5703125" style="348" customWidth="1"/>
    <col min="790" max="790" width="11.42578125" style="348" bestFit="1" customWidth="1"/>
    <col min="791" max="791" width="9.85546875" style="348" customWidth="1"/>
    <col min="792" max="792" width="11.42578125" style="348" customWidth="1"/>
    <col min="793" max="794" width="13.5703125" style="348" customWidth="1"/>
    <col min="795" max="795" width="10.5703125" style="348" customWidth="1"/>
    <col min="796" max="796" width="11.5703125" style="348" customWidth="1"/>
    <col min="797" max="1018" width="1" style="348"/>
    <col min="1019" max="1019" width="0" style="348" hidden="1" customWidth="1"/>
    <col min="1020" max="1020" width="14.140625" style="348" bestFit="1" customWidth="1"/>
    <col min="1021" max="1021" width="32.140625" style="348" customWidth="1"/>
    <col min="1022" max="1022" width="0.42578125" style="348" customWidth="1"/>
    <col min="1023" max="1023" width="13.5703125" style="348" customWidth="1"/>
    <col min="1024" max="1025" width="11.42578125" style="348" bestFit="1" customWidth="1"/>
    <col min="1026" max="1026" width="9.85546875" style="348" customWidth="1"/>
    <col min="1027" max="1027" width="11.42578125" style="348" customWidth="1"/>
    <col min="1028" max="1028" width="13.5703125" style="348" customWidth="1"/>
    <col min="1029" max="1029" width="0.42578125" style="348" customWidth="1"/>
    <col min="1030" max="1030" width="13.5703125" style="348" customWidth="1"/>
    <col min="1031" max="1032" width="11.42578125" style="348" bestFit="1" customWidth="1"/>
    <col min="1033" max="1033" width="9.85546875" style="348" customWidth="1"/>
    <col min="1034" max="1034" width="11.42578125" style="348" bestFit="1" customWidth="1"/>
    <col min="1035" max="1035" width="11.42578125" style="348" customWidth="1"/>
    <col min="1036" max="1037" width="13.5703125" style="348" customWidth="1"/>
    <col min="1038" max="1038" width="0.42578125" style="348" customWidth="1"/>
    <col min="1039" max="1039" width="13.5703125" style="348" customWidth="1"/>
    <col min="1040" max="1040" width="11.42578125" style="348" bestFit="1" customWidth="1"/>
    <col min="1041" max="1041" width="9.85546875" style="348" customWidth="1"/>
    <col min="1042" max="1042" width="11.42578125" style="348" customWidth="1"/>
    <col min="1043" max="1043" width="13.5703125" style="348" customWidth="1"/>
    <col min="1044" max="1044" width="0.42578125" style="348" customWidth="1"/>
    <col min="1045" max="1045" width="13.5703125" style="348" customWidth="1"/>
    <col min="1046" max="1046" width="11.42578125" style="348" bestFit="1" customWidth="1"/>
    <col min="1047" max="1047" width="9.85546875" style="348" customWidth="1"/>
    <col min="1048" max="1048" width="11.42578125" style="348" customWidth="1"/>
    <col min="1049" max="1050" width="13.5703125" style="348" customWidth="1"/>
    <col min="1051" max="1051" width="10.5703125" style="348" customWidth="1"/>
    <col min="1052" max="1052" width="11.5703125" style="348" customWidth="1"/>
    <col min="1053" max="1274" width="1" style="348"/>
    <col min="1275" max="1275" width="0" style="348" hidden="1" customWidth="1"/>
    <col min="1276" max="1276" width="14.140625" style="348" bestFit="1" customWidth="1"/>
    <col min="1277" max="1277" width="32.140625" style="348" customWidth="1"/>
    <col min="1278" max="1278" width="0.42578125" style="348" customWidth="1"/>
    <col min="1279" max="1279" width="13.5703125" style="348" customWidth="1"/>
    <col min="1280" max="1281" width="11.42578125" style="348" bestFit="1" customWidth="1"/>
    <col min="1282" max="1282" width="9.85546875" style="348" customWidth="1"/>
    <col min="1283" max="1283" width="11.42578125" style="348" customWidth="1"/>
    <col min="1284" max="1284" width="13.5703125" style="348" customWidth="1"/>
    <col min="1285" max="1285" width="0.42578125" style="348" customWidth="1"/>
    <col min="1286" max="1286" width="13.5703125" style="348" customWidth="1"/>
    <col min="1287" max="1288" width="11.42578125" style="348" bestFit="1" customWidth="1"/>
    <col min="1289" max="1289" width="9.85546875" style="348" customWidth="1"/>
    <col min="1290" max="1290" width="11.42578125" style="348" bestFit="1" customWidth="1"/>
    <col min="1291" max="1291" width="11.42578125" style="348" customWidth="1"/>
    <col min="1292" max="1293" width="13.5703125" style="348" customWidth="1"/>
    <col min="1294" max="1294" width="0.42578125" style="348" customWidth="1"/>
    <col min="1295" max="1295" width="13.5703125" style="348" customWidth="1"/>
    <col min="1296" max="1296" width="11.42578125" style="348" bestFit="1" customWidth="1"/>
    <col min="1297" max="1297" width="9.85546875" style="348" customWidth="1"/>
    <col min="1298" max="1298" width="11.42578125" style="348" customWidth="1"/>
    <col min="1299" max="1299" width="13.5703125" style="348" customWidth="1"/>
    <col min="1300" max="1300" width="0.42578125" style="348" customWidth="1"/>
    <col min="1301" max="1301" width="13.5703125" style="348" customWidth="1"/>
    <col min="1302" max="1302" width="11.42578125" style="348" bestFit="1" customWidth="1"/>
    <col min="1303" max="1303" width="9.85546875" style="348" customWidth="1"/>
    <col min="1304" max="1304" width="11.42578125" style="348" customWidth="1"/>
    <col min="1305" max="1306" width="13.5703125" style="348" customWidth="1"/>
    <col min="1307" max="1307" width="10.5703125" style="348" customWidth="1"/>
    <col min="1308" max="1308" width="11.5703125" style="348" customWidth="1"/>
    <col min="1309" max="1530" width="1" style="348"/>
    <col min="1531" max="1531" width="0" style="348" hidden="1" customWidth="1"/>
    <col min="1532" max="1532" width="14.140625" style="348" bestFit="1" customWidth="1"/>
    <col min="1533" max="1533" width="32.140625" style="348" customWidth="1"/>
    <col min="1534" max="1534" width="0.42578125" style="348" customWidth="1"/>
    <col min="1535" max="1535" width="13.5703125" style="348" customWidth="1"/>
    <col min="1536" max="1537" width="11.42578125" style="348" bestFit="1" customWidth="1"/>
    <col min="1538" max="1538" width="9.85546875" style="348" customWidth="1"/>
    <col min="1539" max="1539" width="11.42578125" style="348" customWidth="1"/>
    <col min="1540" max="1540" width="13.5703125" style="348" customWidth="1"/>
    <col min="1541" max="1541" width="0.42578125" style="348" customWidth="1"/>
    <col min="1542" max="1542" width="13.5703125" style="348" customWidth="1"/>
    <col min="1543" max="1544" width="11.42578125" style="348" bestFit="1" customWidth="1"/>
    <col min="1545" max="1545" width="9.85546875" style="348" customWidth="1"/>
    <col min="1546" max="1546" width="11.42578125" style="348" bestFit="1" customWidth="1"/>
    <col min="1547" max="1547" width="11.42578125" style="348" customWidth="1"/>
    <col min="1548" max="1549" width="13.5703125" style="348" customWidth="1"/>
    <col min="1550" max="1550" width="0.42578125" style="348" customWidth="1"/>
    <col min="1551" max="1551" width="13.5703125" style="348" customWidth="1"/>
    <col min="1552" max="1552" width="11.42578125" style="348" bestFit="1" customWidth="1"/>
    <col min="1553" max="1553" width="9.85546875" style="348" customWidth="1"/>
    <col min="1554" max="1554" width="11.42578125" style="348" customWidth="1"/>
    <col min="1555" max="1555" width="13.5703125" style="348" customWidth="1"/>
    <col min="1556" max="1556" width="0.42578125" style="348" customWidth="1"/>
    <col min="1557" max="1557" width="13.5703125" style="348" customWidth="1"/>
    <col min="1558" max="1558" width="11.42578125" style="348" bestFit="1" customWidth="1"/>
    <col min="1559" max="1559" width="9.85546875" style="348" customWidth="1"/>
    <col min="1560" max="1560" width="11.42578125" style="348" customWidth="1"/>
    <col min="1561" max="1562" width="13.5703125" style="348" customWidth="1"/>
    <col min="1563" max="1563" width="10.5703125" style="348" customWidth="1"/>
    <col min="1564" max="1564" width="11.5703125" style="348" customWidth="1"/>
    <col min="1565" max="1786" width="1" style="348"/>
    <col min="1787" max="1787" width="0" style="348" hidden="1" customWidth="1"/>
    <col min="1788" max="1788" width="14.140625" style="348" bestFit="1" customWidth="1"/>
    <col min="1789" max="1789" width="32.140625" style="348" customWidth="1"/>
    <col min="1790" max="1790" width="0.42578125" style="348" customWidth="1"/>
    <col min="1791" max="1791" width="13.5703125" style="348" customWidth="1"/>
    <col min="1792" max="1793" width="11.42578125" style="348" bestFit="1" customWidth="1"/>
    <col min="1794" max="1794" width="9.85546875" style="348" customWidth="1"/>
    <col min="1795" max="1795" width="11.42578125" style="348" customWidth="1"/>
    <col min="1796" max="1796" width="13.5703125" style="348" customWidth="1"/>
    <col min="1797" max="1797" width="0.42578125" style="348" customWidth="1"/>
    <col min="1798" max="1798" width="13.5703125" style="348" customWidth="1"/>
    <col min="1799" max="1800" width="11.42578125" style="348" bestFit="1" customWidth="1"/>
    <col min="1801" max="1801" width="9.85546875" style="348" customWidth="1"/>
    <col min="1802" max="1802" width="11.42578125" style="348" bestFit="1" customWidth="1"/>
    <col min="1803" max="1803" width="11.42578125" style="348" customWidth="1"/>
    <col min="1804" max="1805" width="13.5703125" style="348" customWidth="1"/>
    <col min="1806" max="1806" width="0.42578125" style="348" customWidth="1"/>
    <col min="1807" max="1807" width="13.5703125" style="348" customWidth="1"/>
    <col min="1808" max="1808" width="11.42578125" style="348" bestFit="1" customWidth="1"/>
    <col min="1809" max="1809" width="9.85546875" style="348" customWidth="1"/>
    <col min="1810" max="1810" width="11.42578125" style="348" customWidth="1"/>
    <col min="1811" max="1811" width="13.5703125" style="348" customWidth="1"/>
    <col min="1812" max="1812" width="0.42578125" style="348" customWidth="1"/>
    <col min="1813" max="1813" width="13.5703125" style="348" customWidth="1"/>
    <col min="1814" max="1814" width="11.42578125" style="348" bestFit="1" customWidth="1"/>
    <col min="1815" max="1815" width="9.85546875" style="348" customWidth="1"/>
    <col min="1816" max="1816" width="11.42578125" style="348" customWidth="1"/>
    <col min="1817" max="1818" width="13.5703125" style="348" customWidth="1"/>
    <col min="1819" max="1819" width="10.5703125" style="348" customWidth="1"/>
    <col min="1820" max="1820" width="11.5703125" style="348" customWidth="1"/>
    <col min="1821" max="2042" width="1" style="348"/>
    <col min="2043" max="2043" width="0" style="348" hidden="1" customWidth="1"/>
    <col min="2044" max="2044" width="14.140625" style="348" bestFit="1" customWidth="1"/>
    <col min="2045" max="2045" width="32.140625" style="348" customWidth="1"/>
    <col min="2046" max="2046" width="0.42578125" style="348" customWidth="1"/>
    <col min="2047" max="2047" width="13.5703125" style="348" customWidth="1"/>
    <col min="2048" max="2049" width="11.42578125" style="348" bestFit="1" customWidth="1"/>
    <col min="2050" max="2050" width="9.85546875" style="348" customWidth="1"/>
    <col min="2051" max="2051" width="11.42578125" style="348" customWidth="1"/>
    <col min="2052" max="2052" width="13.5703125" style="348" customWidth="1"/>
    <col min="2053" max="2053" width="0.42578125" style="348" customWidth="1"/>
    <col min="2054" max="2054" width="13.5703125" style="348" customWidth="1"/>
    <col min="2055" max="2056" width="11.42578125" style="348" bestFit="1" customWidth="1"/>
    <col min="2057" max="2057" width="9.85546875" style="348" customWidth="1"/>
    <col min="2058" max="2058" width="11.42578125" style="348" bestFit="1" customWidth="1"/>
    <col min="2059" max="2059" width="11.42578125" style="348" customWidth="1"/>
    <col min="2060" max="2061" width="13.5703125" style="348" customWidth="1"/>
    <col min="2062" max="2062" width="0.42578125" style="348" customWidth="1"/>
    <col min="2063" max="2063" width="13.5703125" style="348" customWidth="1"/>
    <col min="2064" max="2064" width="11.42578125" style="348" bestFit="1" customWidth="1"/>
    <col min="2065" max="2065" width="9.85546875" style="348" customWidth="1"/>
    <col min="2066" max="2066" width="11.42578125" style="348" customWidth="1"/>
    <col min="2067" max="2067" width="13.5703125" style="348" customWidth="1"/>
    <col min="2068" max="2068" width="0.42578125" style="348" customWidth="1"/>
    <col min="2069" max="2069" width="13.5703125" style="348" customWidth="1"/>
    <col min="2070" max="2070" width="11.42578125" style="348" bestFit="1" customWidth="1"/>
    <col min="2071" max="2071" width="9.85546875" style="348" customWidth="1"/>
    <col min="2072" max="2072" width="11.42578125" style="348" customWidth="1"/>
    <col min="2073" max="2074" width="13.5703125" style="348" customWidth="1"/>
    <col min="2075" max="2075" width="10.5703125" style="348" customWidth="1"/>
    <col min="2076" max="2076" width="11.5703125" style="348" customWidth="1"/>
    <col min="2077" max="2298" width="1" style="348"/>
    <col min="2299" max="2299" width="0" style="348" hidden="1" customWidth="1"/>
    <col min="2300" max="2300" width="14.140625" style="348" bestFit="1" customWidth="1"/>
    <col min="2301" max="2301" width="32.140625" style="348" customWidth="1"/>
    <col min="2302" max="2302" width="0.42578125" style="348" customWidth="1"/>
    <col min="2303" max="2303" width="13.5703125" style="348" customWidth="1"/>
    <col min="2304" max="2305" width="11.42578125" style="348" bestFit="1" customWidth="1"/>
    <col min="2306" max="2306" width="9.85546875" style="348" customWidth="1"/>
    <col min="2307" max="2307" width="11.42578125" style="348" customWidth="1"/>
    <col min="2308" max="2308" width="13.5703125" style="348" customWidth="1"/>
    <col min="2309" max="2309" width="0.42578125" style="348" customWidth="1"/>
    <col min="2310" max="2310" width="13.5703125" style="348" customWidth="1"/>
    <col min="2311" max="2312" width="11.42578125" style="348" bestFit="1" customWidth="1"/>
    <col min="2313" max="2313" width="9.85546875" style="348" customWidth="1"/>
    <col min="2314" max="2314" width="11.42578125" style="348" bestFit="1" customWidth="1"/>
    <col min="2315" max="2315" width="11.42578125" style="348" customWidth="1"/>
    <col min="2316" max="2317" width="13.5703125" style="348" customWidth="1"/>
    <col min="2318" max="2318" width="0.42578125" style="348" customWidth="1"/>
    <col min="2319" max="2319" width="13.5703125" style="348" customWidth="1"/>
    <col min="2320" max="2320" width="11.42578125" style="348" bestFit="1" customWidth="1"/>
    <col min="2321" max="2321" width="9.85546875" style="348" customWidth="1"/>
    <col min="2322" max="2322" width="11.42578125" style="348" customWidth="1"/>
    <col min="2323" max="2323" width="13.5703125" style="348" customWidth="1"/>
    <col min="2324" max="2324" width="0.42578125" style="348" customWidth="1"/>
    <col min="2325" max="2325" width="13.5703125" style="348" customWidth="1"/>
    <col min="2326" max="2326" width="11.42578125" style="348" bestFit="1" customWidth="1"/>
    <col min="2327" max="2327" width="9.85546875" style="348" customWidth="1"/>
    <col min="2328" max="2328" width="11.42578125" style="348" customWidth="1"/>
    <col min="2329" max="2330" width="13.5703125" style="348" customWidth="1"/>
    <col min="2331" max="2331" width="10.5703125" style="348" customWidth="1"/>
    <col min="2332" max="2332" width="11.5703125" style="348" customWidth="1"/>
    <col min="2333" max="2554" width="1" style="348"/>
    <col min="2555" max="2555" width="0" style="348" hidden="1" customWidth="1"/>
    <col min="2556" max="2556" width="14.140625" style="348" bestFit="1" customWidth="1"/>
    <col min="2557" max="2557" width="32.140625" style="348" customWidth="1"/>
    <col min="2558" max="2558" width="0.42578125" style="348" customWidth="1"/>
    <col min="2559" max="2559" width="13.5703125" style="348" customWidth="1"/>
    <col min="2560" max="2561" width="11.42578125" style="348" bestFit="1" customWidth="1"/>
    <col min="2562" max="2562" width="9.85546875" style="348" customWidth="1"/>
    <col min="2563" max="2563" width="11.42578125" style="348" customWidth="1"/>
    <col min="2564" max="2564" width="13.5703125" style="348" customWidth="1"/>
    <col min="2565" max="2565" width="0.42578125" style="348" customWidth="1"/>
    <col min="2566" max="2566" width="13.5703125" style="348" customWidth="1"/>
    <col min="2567" max="2568" width="11.42578125" style="348" bestFit="1" customWidth="1"/>
    <col min="2569" max="2569" width="9.85546875" style="348" customWidth="1"/>
    <col min="2570" max="2570" width="11.42578125" style="348" bestFit="1" customWidth="1"/>
    <col min="2571" max="2571" width="11.42578125" style="348" customWidth="1"/>
    <col min="2572" max="2573" width="13.5703125" style="348" customWidth="1"/>
    <col min="2574" max="2574" width="0.42578125" style="348" customWidth="1"/>
    <col min="2575" max="2575" width="13.5703125" style="348" customWidth="1"/>
    <col min="2576" max="2576" width="11.42578125" style="348" bestFit="1" customWidth="1"/>
    <col min="2577" max="2577" width="9.85546875" style="348" customWidth="1"/>
    <col min="2578" max="2578" width="11.42578125" style="348" customWidth="1"/>
    <col min="2579" max="2579" width="13.5703125" style="348" customWidth="1"/>
    <col min="2580" max="2580" width="0.42578125" style="348" customWidth="1"/>
    <col min="2581" max="2581" width="13.5703125" style="348" customWidth="1"/>
    <col min="2582" max="2582" width="11.42578125" style="348" bestFit="1" customWidth="1"/>
    <col min="2583" max="2583" width="9.85546875" style="348" customWidth="1"/>
    <col min="2584" max="2584" width="11.42578125" style="348" customWidth="1"/>
    <col min="2585" max="2586" width="13.5703125" style="348" customWidth="1"/>
    <col min="2587" max="2587" width="10.5703125" style="348" customWidth="1"/>
    <col min="2588" max="2588" width="11.5703125" style="348" customWidth="1"/>
    <col min="2589" max="2810" width="1" style="348"/>
    <col min="2811" max="2811" width="0" style="348" hidden="1" customWidth="1"/>
    <col min="2812" max="2812" width="14.140625" style="348" bestFit="1" customWidth="1"/>
    <col min="2813" max="2813" width="32.140625" style="348" customWidth="1"/>
    <col min="2814" max="2814" width="0.42578125" style="348" customWidth="1"/>
    <col min="2815" max="2815" width="13.5703125" style="348" customWidth="1"/>
    <col min="2816" max="2817" width="11.42578125" style="348" bestFit="1" customWidth="1"/>
    <col min="2818" max="2818" width="9.85546875" style="348" customWidth="1"/>
    <col min="2819" max="2819" width="11.42578125" style="348" customWidth="1"/>
    <col min="2820" max="2820" width="13.5703125" style="348" customWidth="1"/>
    <col min="2821" max="2821" width="0.42578125" style="348" customWidth="1"/>
    <col min="2822" max="2822" width="13.5703125" style="348" customWidth="1"/>
    <col min="2823" max="2824" width="11.42578125" style="348" bestFit="1" customWidth="1"/>
    <col min="2825" max="2825" width="9.85546875" style="348" customWidth="1"/>
    <col min="2826" max="2826" width="11.42578125" style="348" bestFit="1" customWidth="1"/>
    <col min="2827" max="2827" width="11.42578125" style="348" customWidth="1"/>
    <col min="2828" max="2829" width="13.5703125" style="348" customWidth="1"/>
    <col min="2830" max="2830" width="0.42578125" style="348" customWidth="1"/>
    <col min="2831" max="2831" width="13.5703125" style="348" customWidth="1"/>
    <col min="2832" max="2832" width="11.42578125" style="348" bestFit="1" customWidth="1"/>
    <col min="2833" max="2833" width="9.85546875" style="348" customWidth="1"/>
    <col min="2834" max="2834" width="11.42578125" style="348" customWidth="1"/>
    <col min="2835" max="2835" width="13.5703125" style="348" customWidth="1"/>
    <col min="2836" max="2836" width="0.42578125" style="348" customWidth="1"/>
    <col min="2837" max="2837" width="13.5703125" style="348" customWidth="1"/>
    <col min="2838" max="2838" width="11.42578125" style="348" bestFit="1" customWidth="1"/>
    <col min="2839" max="2839" width="9.85546875" style="348" customWidth="1"/>
    <col min="2840" max="2840" width="11.42578125" style="348" customWidth="1"/>
    <col min="2841" max="2842" width="13.5703125" style="348" customWidth="1"/>
    <col min="2843" max="2843" width="10.5703125" style="348" customWidth="1"/>
    <col min="2844" max="2844" width="11.5703125" style="348" customWidth="1"/>
    <col min="2845" max="3066" width="1" style="348"/>
    <col min="3067" max="3067" width="0" style="348" hidden="1" customWidth="1"/>
    <col min="3068" max="3068" width="14.140625" style="348" bestFit="1" customWidth="1"/>
    <col min="3069" max="3069" width="32.140625" style="348" customWidth="1"/>
    <col min="3070" max="3070" width="0.42578125" style="348" customWidth="1"/>
    <col min="3071" max="3071" width="13.5703125" style="348" customWidth="1"/>
    <col min="3072" max="3073" width="11.42578125" style="348" bestFit="1" customWidth="1"/>
    <col min="3074" max="3074" width="9.85546875" style="348" customWidth="1"/>
    <col min="3075" max="3075" width="11.42578125" style="348" customWidth="1"/>
    <col min="3076" max="3076" width="13.5703125" style="348" customWidth="1"/>
    <col min="3077" max="3077" width="0.42578125" style="348" customWidth="1"/>
    <col min="3078" max="3078" width="13.5703125" style="348" customWidth="1"/>
    <col min="3079" max="3080" width="11.42578125" style="348" bestFit="1" customWidth="1"/>
    <col min="3081" max="3081" width="9.85546875" style="348" customWidth="1"/>
    <col min="3082" max="3082" width="11.42578125" style="348" bestFit="1" customWidth="1"/>
    <col min="3083" max="3083" width="11.42578125" style="348" customWidth="1"/>
    <col min="3084" max="3085" width="13.5703125" style="348" customWidth="1"/>
    <col min="3086" max="3086" width="0.42578125" style="348" customWidth="1"/>
    <col min="3087" max="3087" width="13.5703125" style="348" customWidth="1"/>
    <col min="3088" max="3088" width="11.42578125" style="348" bestFit="1" customWidth="1"/>
    <col min="3089" max="3089" width="9.85546875" style="348" customWidth="1"/>
    <col min="3090" max="3090" width="11.42578125" style="348" customWidth="1"/>
    <col min="3091" max="3091" width="13.5703125" style="348" customWidth="1"/>
    <col min="3092" max="3092" width="0.42578125" style="348" customWidth="1"/>
    <col min="3093" max="3093" width="13.5703125" style="348" customWidth="1"/>
    <col min="3094" max="3094" width="11.42578125" style="348" bestFit="1" customWidth="1"/>
    <col min="3095" max="3095" width="9.85546875" style="348" customWidth="1"/>
    <col min="3096" max="3096" width="11.42578125" style="348" customWidth="1"/>
    <col min="3097" max="3098" width="13.5703125" style="348" customWidth="1"/>
    <col min="3099" max="3099" width="10.5703125" style="348" customWidth="1"/>
    <col min="3100" max="3100" width="11.5703125" style="348" customWidth="1"/>
    <col min="3101" max="3322" width="1" style="348"/>
    <col min="3323" max="3323" width="0" style="348" hidden="1" customWidth="1"/>
    <col min="3324" max="3324" width="14.140625" style="348" bestFit="1" customWidth="1"/>
    <col min="3325" max="3325" width="32.140625" style="348" customWidth="1"/>
    <col min="3326" max="3326" width="0.42578125" style="348" customWidth="1"/>
    <col min="3327" max="3327" width="13.5703125" style="348" customWidth="1"/>
    <col min="3328" max="3329" width="11.42578125" style="348" bestFit="1" customWidth="1"/>
    <col min="3330" max="3330" width="9.85546875" style="348" customWidth="1"/>
    <col min="3331" max="3331" width="11.42578125" style="348" customWidth="1"/>
    <col min="3332" max="3332" width="13.5703125" style="348" customWidth="1"/>
    <col min="3333" max="3333" width="0.42578125" style="348" customWidth="1"/>
    <col min="3334" max="3334" width="13.5703125" style="348" customWidth="1"/>
    <col min="3335" max="3336" width="11.42578125" style="348" bestFit="1" customWidth="1"/>
    <col min="3337" max="3337" width="9.85546875" style="348" customWidth="1"/>
    <col min="3338" max="3338" width="11.42578125" style="348" bestFit="1" customWidth="1"/>
    <col min="3339" max="3339" width="11.42578125" style="348" customWidth="1"/>
    <col min="3340" max="3341" width="13.5703125" style="348" customWidth="1"/>
    <col min="3342" max="3342" width="0.42578125" style="348" customWidth="1"/>
    <col min="3343" max="3343" width="13.5703125" style="348" customWidth="1"/>
    <col min="3344" max="3344" width="11.42578125" style="348" bestFit="1" customWidth="1"/>
    <col min="3345" max="3345" width="9.85546875" style="348" customWidth="1"/>
    <col min="3346" max="3346" width="11.42578125" style="348" customWidth="1"/>
    <col min="3347" max="3347" width="13.5703125" style="348" customWidth="1"/>
    <col min="3348" max="3348" width="0.42578125" style="348" customWidth="1"/>
    <col min="3349" max="3349" width="13.5703125" style="348" customWidth="1"/>
    <col min="3350" max="3350" width="11.42578125" style="348" bestFit="1" customWidth="1"/>
    <col min="3351" max="3351" width="9.85546875" style="348" customWidth="1"/>
    <col min="3352" max="3352" width="11.42578125" style="348" customWidth="1"/>
    <col min="3353" max="3354" width="13.5703125" style="348" customWidth="1"/>
    <col min="3355" max="3355" width="10.5703125" style="348" customWidth="1"/>
    <col min="3356" max="3356" width="11.5703125" style="348" customWidth="1"/>
    <col min="3357" max="3578" width="1" style="348"/>
    <col min="3579" max="3579" width="0" style="348" hidden="1" customWidth="1"/>
    <col min="3580" max="3580" width="14.140625" style="348" bestFit="1" customWidth="1"/>
    <col min="3581" max="3581" width="32.140625" style="348" customWidth="1"/>
    <col min="3582" max="3582" width="0.42578125" style="348" customWidth="1"/>
    <col min="3583" max="3583" width="13.5703125" style="348" customWidth="1"/>
    <col min="3584" max="3585" width="11.42578125" style="348" bestFit="1" customWidth="1"/>
    <col min="3586" max="3586" width="9.85546875" style="348" customWidth="1"/>
    <col min="3587" max="3587" width="11.42578125" style="348" customWidth="1"/>
    <col min="3588" max="3588" width="13.5703125" style="348" customWidth="1"/>
    <col min="3589" max="3589" width="0.42578125" style="348" customWidth="1"/>
    <col min="3590" max="3590" width="13.5703125" style="348" customWidth="1"/>
    <col min="3591" max="3592" width="11.42578125" style="348" bestFit="1" customWidth="1"/>
    <col min="3593" max="3593" width="9.85546875" style="348" customWidth="1"/>
    <col min="3594" max="3594" width="11.42578125" style="348" bestFit="1" customWidth="1"/>
    <col min="3595" max="3595" width="11.42578125" style="348" customWidth="1"/>
    <col min="3596" max="3597" width="13.5703125" style="348" customWidth="1"/>
    <col min="3598" max="3598" width="0.42578125" style="348" customWidth="1"/>
    <col min="3599" max="3599" width="13.5703125" style="348" customWidth="1"/>
    <col min="3600" max="3600" width="11.42578125" style="348" bestFit="1" customWidth="1"/>
    <col min="3601" max="3601" width="9.85546875" style="348" customWidth="1"/>
    <col min="3602" max="3602" width="11.42578125" style="348" customWidth="1"/>
    <col min="3603" max="3603" width="13.5703125" style="348" customWidth="1"/>
    <col min="3604" max="3604" width="0.42578125" style="348" customWidth="1"/>
    <col min="3605" max="3605" width="13.5703125" style="348" customWidth="1"/>
    <col min="3606" max="3606" width="11.42578125" style="348" bestFit="1" customWidth="1"/>
    <col min="3607" max="3607" width="9.85546875" style="348" customWidth="1"/>
    <col min="3608" max="3608" width="11.42578125" style="348" customWidth="1"/>
    <col min="3609" max="3610" width="13.5703125" style="348" customWidth="1"/>
    <col min="3611" max="3611" width="10.5703125" style="348" customWidth="1"/>
    <col min="3612" max="3612" width="11.5703125" style="348" customWidth="1"/>
    <col min="3613" max="3834" width="1" style="348"/>
    <col min="3835" max="3835" width="0" style="348" hidden="1" customWidth="1"/>
    <col min="3836" max="3836" width="14.140625" style="348" bestFit="1" customWidth="1"/>
    <col min="3837" max="3837" width="32.140625" style="348" customWidth="1"/>
    <col min="3838" max="3838" width="0.42578125" style="348" customWidth="1"/>
    <col min="3839" max="3839" width="13.5703125" style="348" customWidth="1"/>
    <col min="3840" max="3841" width="11.42578125" style="348" bestFit="1" customWidth="1"/>
    <col min="3842" max="3842" width="9.85546875" style="348" customWidth="1"/>
    <col min="3843" max="3843" width="11.42578125" style="348" customWidth="1"/>
    <col min="3844" max="3844" width="13.5703125" style="348" customWidth="1"/>
    <col min="3845" max="3845" width="0.42578125" style="348" customWidth="1"/>
    <col min="3846" max="3846" width="13.5703125" style="348" customWidth="1"/>
    <col min="3847" max="3848" width="11.42578125" style="348" bestFit="1" customWidth="1"/>
    <col min="3849" max="3849" width="9.85546875" style="348" customWidth="1"/>
    <col min="3850" max="3850" width="11.42578125" style="348" bestFit="1" customWidth="1"/>
    <col min="3851" max="3851" width="11.42578125" style="348" customWidth="1"/>
    <col min="3852" max="3853" width="13.5703125" style="348" customWidth="1"/>
    <col min="3854" max="3854" width="0.42578125" style="348" customWidth="1"/>
    <col min="3855" max="3855" width="13.5703125" style="348" customWidth="1"/>
    <col min="3856" max="3856" width="11.42578125" style="348" bestFit="1" customWidth="1"/>
    <col min="3857" max="3857" width="9.85546875" style="348" customWidth="1"/>
    <col min="3858" max="3858" width="11.42578125" style="348" customWidth="1"/>
    <col min="3859" max="3859" width="13.5703125" style="348" customWidth="1"/>
    <col min="3860" max="3860" width="0.42578125" style="348" customWidth="1"/>
    <col min="3861" max="3861" width="13.5703125" style="348" customWidth="1"/>
    <col min="3862" max="3862" width="11.42578125" style="348" bestFit="1" customWidth="1"/>
    <col min="3863" max="3863" width="9.85546875" style="348" customWidth="1"/>
    <col min="3864" max="3864" width="11.42578125" style="348" customWidth="1"/>
    <col min="3865" max="3866" width="13.5703125" style="348" customWidth="1"/>
    <col min="3867" max="3867" width="10.5703125" style="348" customWidth="1"/>
    <col min="3868" max="3868" width="11.5703125" style="348" customWidth="1"/>
    <col min="3869" max="4090" width="1" style="348"/>
    <col min="4091" max="4091" width="0" style="348" hidden="1" customWidth="1"/>
    <col min="4092" max="4092" width="14.140625" style="348" bestFit="1" customWidth="1"/>
    <col min="4093" max="4093" width="32.140625" style="348" customWidth="1"/>
    <col min="4094" max="4094" width="0.42578125" style="348" customWidth="1"/>
    <col min="4095" max="4095" width="13.5703125" style="348" customWidth="1"/>
    <col min="4096" max="4097" width="11.42578125" style="348" bestFit="1" customWidth="1"/>
    <col min="4098" max="4098" width="9.85546875" style="348" customWidth="1"/>
    <col min="4099" max="4099" width="11.42578125" style="348" customWidth="1"/>
    <col min="4100" max="4100" width="13.5703125" style="348" customWidth="1"/>
    <col min="4101" max="4101" width="0.42578125" style="348" customWidth="1"/>
    <col min="4102" max="4102" width="13.5703125" style="348" customWidth="1"/>
    <col min="4103" max="4104" width="11.42578125" style="348" bestFit="1" customWidth="1"/>
    <col min="4105" max="4105" width="9.85546875" style="348" customWidth="1"/>
    <col min="4106" max="4106" width="11.42578125" style="348" bestFit="1" customWidth="1"/>
    <col min="4107" max="4107" width="11.42578125" style="348" customWidth="1"/>
    <col min="4108" max="4109" width="13.5703125" style="348" customWidth="1"/>
    <col min="4110" max="4110" width="0.42578125" style="348" customWidth="1"/>
    <col min="4111" max="4111" width="13.5703125" style="348" customWidth="1"/>
    <col min="4112" max="4112" width="11.42578125" style="348" bestFit="1" customWidth="1"/>
    <col min="4113" max="4113" width="9.85546875" style="348" customWidth="1"/>
    <col min="4114" max="4114" width="11.42578125" style="348" customWidth="1"/>
    <col min="4115" max="4115" width="13.5703125" style="348" customWidth="1"/>
    <col min="4116" max="4116" width="0.42578125" style="348" customWidth="1"/>
    <col min="4117" max="4117" width="13.5703125" style="348" customWidth="1"/>
    <col min="4118" max="4118" width="11.42578125" style="348" bestFit="1" customWidth="1"/>
    <col min="4119" max="4119" width="9.85546875" style="348" customWidth="1"/>
    <col min="4120" max="4120" width="11.42578125" style="348" customWidth="1"/>
    <col min="4121" max="4122" width="13.5703125" style="348" customWidth="1"/>
    <col min="4123" max="4123" width="10.5703125" style="348" customWidth="1"/>
    <col min="4124" max="4124" width="11.5703125" style="348" customWidth="1"/>
    <col min="4125" max="4346" width="1" style="348"/>
    <col min="4347" max="4347" width="0" style="348" hidden="1" customWidth="1"/>
    <col min="4348" max="4348" width="14.140625" style="348" bestFit="1" customWidth="1"/>
    <col min="4349" max="4349" width="32.140625" style="348" customWidth="1"/>
    <col min="4350" max="4350" width="0.42578125" style="348" customWidth="1"/>
    <col min="4351" max="4351" width="13.5703125" style="348" customWidth="1"/>
    <col min="4352" max="4353" width="11.42578125" style="348" bestFit="1" customWidth="1"/>
    <col min="4354" max="4354" width="9.85546875" style="348" customWidth="1"/>
    <col min="4355" max="4355" width="11.42578125" style="348" customWidth="1"/>
    <col min="4356" max="4356" width="13.5703125" style="348" customWidth="1"/>
    <col min="4357" max="4357" width="0.42578125" style="348" customWidth="1"/>
    <col min="4358" max="4358" width="13.5703125" style="348" customWidth="1"/>
    <col min="4359" max="4360" width="11.42578125" style="348" bestFit="1" customWidth="1"/>
    <col min="4361" max="4361" width="9.85546875" style="348" customWidth="1"/>
    <col min="4362" max="4362" width="11.42578125" style="348" bestFit="1" customWidth="1"/>
    <col min="4363" max="4363" width="11.42578125" style="348" customWidth="1"/>
    <col min="4364" max="4365" width="13.5703125" style="348" customWidth="1"/>
    <col min="4366" max="4366" width="0.42578125" style="348" customWidth="1"/>
    <col min="4367" max="4367" width="13.5703125" style="348" customWidth="1"/>
    <col min="4368" max="4368" width="11.42578125" style="348" bestFit="1" customWidth="1"/>
    <col min="4369" max="4369" width="9.85546875" style="348" customWidth="1"/>
    <col min="4370" max="4370" width="11.42578125" style="348" customWidth="1"/>
    <col min="4371" max="4371" width="13.5703125" style="348" customWidth="1"/>
    <col min="4372" max="4372" width="0.42578125" style="348" customWidth="1"/>
    <col min="4373" max="4373" width="13.5703125" style="348" customWidth="1"/>
    <col min="4374" max="4374" width="11.42578125" style="348" bestFit="1" customWidth="1"/>
    <col min="4375" max="4375" width="9.85546875" style="348" customWidth="1"/>
    <col min="4376" max="4376" width="11.42578125" style="348" customWidth="1"/>
    <col min="4377" max="4378" width="13.5703125" style="348" customWidth="1"/>
    <col min="4379" max="4379" width="10.5703125" style="348" customWidth="1"/>
    <col min="4380" max="4380" width="11.5703125" style="348" customWidth="1"/>
    <col min="4381" max="4602" width="1" style="348"/>
    <col min="4603" max="4603" width="0" style="348" hidden="1" customWidth="1"/>
    <col min="4604" max="4604" width="14.140625" style="348" bestFit="1" customWidth="1"/>
    <col min="4605" max="4605" width="32.140625" style="348" customWidth="1"/>
    <col min="4606" max="4606" width="0.42578125" style="348" customWidth="1"/>
    <col min="4607" max="4607" width="13.5703125" style="348" customWidth="1"/>
    <col min="4608" max="4609" width="11.42578125" style="348" bestFit="1" customWidth="1"/>
    <col min="4610" max="4610" width="9.85546875" style="348" customWidth="1"/>
    <col min="4611" max="4611" width="11.42578125" style="348" customWidth="1"/>
    <col min="4612" max="4612" width="13.5703125" style="348" customWidth="1"/>
    <col min="4613" max="4613" width="0.42578125" style="348" customWidth="1"/>
    <col min="4614" max="4614" width="13.5703125" style="348" customWidth="1"/>
    <col min="4615" max="4616" width="11.42578125" style="348" bestFit="1" customWidth="1"/>
    <col min="4617" max="4617" width="9.85546875" style="348" customWidth="1"/>
    <col min="4618" max="4618" width="11.42578125" style="348" bestFit="1" customWidth="1"/>
    <col min="4619" max="4619" width="11.42578125" style="348" customWidth="1"/>
    <col min="4620" max="4621" width="13.5703125" style="348" customWidth="1"/>
    <col min="4622" max="4622" width="0.42578125" style="348" customWidth="1"/>
    <col min="4623" max="4623" width="13.5703125" style="348" customWidth="1"/>
    <col min="4624" max="4624" width="11.42578125" style="348" bestFit="1" customWidth="1"/>
    <col min="4625" max="4625" width="9.85546875" style="348" customWidth="1"/>
    <col min="4626" max="4626" width="11.42578125" style="348" customWidth="1"/>
    <col min="4627" max="4627" width="13.5703125" style="348" customWidth="1"/>
    <col min="4628" max="4628" width="0.42578125" style="348" customWidth="1"/>
    <col min="4629" max="4629" width="13.5703125" style="348" customWidth="1"/>
    <col min="4630" max="4630" width="11.42578125" style="348" bestFit="1" customWidth="1"/>
    <col min="4631" max="4631" width="9.85546875" style="348" customWidth="1"/>
    <col min="4632" max="4632" width="11.42578125" style="348" customWidth="1"/>
    <col min="4633" max="4634" width="13.5703125" style="348" customWidth="1"/>
    <col min="4635" max="4635" width="10.5703125" style="348" customWidth="1"/>
    <col min="4636" max="4636" width="11.5703125" style="348" customWidth="1"/>
    <col min="4637" max="4858" width="1" style="348"/>
    <col min="4859" max="4859" width="0" style="348" hidden="1" customWidth="1"/>
    <col min="4860" max="4860" width="14.140625" style="348" bestFit="1" customWidth="1"/>
    <col min="4861" max="4861" width="32.140625" style="348" customWidth="1"/>
    <col min="4862" max="4862" width="0.42578125" style="348" customWidth="1"/>
    <col min="4863" max="4863" width="13.5703125" style="348" customWidth="1"/>
    <col min="4864" max="4865" width="11.42578125" style="348" bestFit="1" customWidth="1"/>
    <col min="4866" max="4866" width="9.85546875" style="348" customWidth="1"/>
    <col min="4867" max="4867" width="11.42578125" style="348" customWidth="1"/>
    <col min="4868" max="4868" width="13.5703125" style="348" customWidth="1"/>
    <col min="4869" max="4869" width="0.42578125" style="348" customWidth="1"/>
    <col min="4870" max="4870" width="13.5703125" style="348" customWidth="1"/>
    <col min="4871" max="4872" width="11.42578125" style="348" bestFit="1" customWidth="1"/>
    <col min="4873" max="4873" width="9.85546875" style="348" customWidth="1"/>
    <col min="4874" max="4874" width="11.42578125" style="348" bestFit="1" customWidth="1"/>
    <col min="4875" max="4875" width="11.42578125" style="348" customWidth="1"/>
    <col min="4876" max="4877" width="13.5703125" style="348" customWidth="1"/>
    <col min="4878" max="4878" width="0.42578125" style="348" customWidth="1"/>
    <col min="4879" max="4879" width="13.5703125" style="348" customWidth="1"/>
    <col min="4880" max="4880" width="11.42578125" style="348" bestFit="1" customWidth="1"/>
    <col min="4881" max="4881" width="9.85546875" style="348" customWidth="1"/>
    <col min="4882" max="4882" width="11.42578125" style="348" customWidth="1"/>
    <col min="4883" max="4883" width="13.5703125" style="348" customWidth="1"/>
    <col min="4884" max="4884" width="0.42578125" style="348" customWidth="1"/>
    <col min="4885" max="4885" width="13.5703125" style="348" customWidth="1"/>
    <col min="4886" max="4886" width="11.42578125" style="348" bestFit="1" customWidth="1"/>
    <col min="4887" max="4887" width="9.85546875" style="348" customWidth="1"/>
    <col min="4888" max="4888" width="11.42578125" style="348" customWidth="1"/>
    <col min="4889" max="4890" width="13.5703125" style="348" customWidth="1"/>
    <col min="4891" max="4891" width="10.5703125" style="348" customWidth="1"/>
    <col min="4892" max="4892" width="11.5703125" style="348" customWidth="1"/>
    <col min="4893" max="5114" width="1" style="348"/>
    <col min="5115" max="5115" width="0" style="348" hidden="1" customWidth="1"/>
    <col min="5116" max="5116" width="14.140625" style="348" bestFit="1" customWidth="1"/>
    <col min="5117" max="5117" width="32.140625" style="348" customWidth="1"/>
    <col min="5118" max="5118" width="0.42578125" style="348" customWidth="1"/>
    <col min="5119" max="5119" width="13.5703125" style="348" customWidth="1"/>
    <col min="5120" max="5121" width="11.42578125" style="348" bestFit="1" customWidth="1"/>
    <col min="5122" max="5122" width="9.85546875" style="348" customWidth="1"/>
    <col min="5123" max="5123" width="11.42578125" style="348" customWidth="1"/>
    <col min="5124" max="5124" width="13.5703125" style="348" customWidth="1"/>
    <col min="5125" max="5125" width="0.42578125" style="348" customWidth="1"/>
    <col min="5126" max="5126" width="13.5703125" style="348" customWidth="1"/>
    <col min="5127" max="5128" width="11.42578125" style="348" bestFit="1" customWidth="1"/>
    <col min="5129" max="5129" width="9.85546875" style="348" customWidth="1"/>
    <col min="5130" max="5130" width="11.42578125" style="348" bestFit="1" customWidth="1"/>
    <col min="5131" max="5131" width="11.42578125" style="348" customWidth="1"/>
    <col min="5132" max="5133" width="13.5703125" style="348" customWidth="1"/>
    <col min="5134" max="5134" width="0.42578125" style="348" customWidth="1"/>
    <col min="5135" max="5135" width="13.5703125" style="348" customWidth="1"/>
    <col min="5136" max="5136" width="11.42578125" style="348" bestFit="1" customWidth="1"/>
    <col min="5137" max="5137" width="9.85546875" style="348" customWidth="1"/>
    <col min="5138" max="5138" width="11.42578125" style="348" customWidth="1"/>
    <col min="5139" max="5139" width="13.5703125" style="348" customWidth="1"/>
    <col min="5140" max="5140" width="0.42578125" style="348" customWidth="1"/>
    <col min="5141" max="5141" width="13.5703125" style="348" customWidth="1"/>
    <col min="5142" max="5142" width="11.42578125" style="348" bestFit="1" customWidth="1"/>
    <col min="5143" max="5143" width="9.85546875" style="348" customWidth="1"/>
    <col min="5144" max="5144" width="11.42578125" style="348" customWidth="1"/>
    <col min="5145" max="5146" width="13.5703125" style="348" customWidth="1"/>
    <col min="5147" max="5147" width="10.5703125" style="348" customWidth="1"/>
    <col min="5148" max="5148" width="11.5703125" style="348" customWidth="1"/>
    <col min="5149" max="5370" width="1" style="348"/>
    <col min="5371" max="5371" width="0" style="348" hidden="1" customWidth="1"/>
    <col min="5372" max="5372" width="14.140625" style="348" bestFit="1" customWidth="1"/>
    <col min="5373" max="5373" width="32.140625" style="348" customWidth="1"/>
    <col min="5374" max="5374" width="0.42578125" style="348" customWidth="1"/>
    <col min="5375" max="5375" width="13.5703125" style="348" customWidth="1"/>
    <col min="5376" max="5377" width="11.42578125" style="348" bestFit="1" customWidth="1"/>
    <col min="5378" max="5378" width="9.85546875" style="348" customWidth="1"/>
    <col min="5379" max="5379" width="11.42578125" style="348" customWidth="1"/>
    <col min="5380" max="5380" width="13.5703125" style="348" customWidth="1"/>
    <col min="5381" max="5381" width="0.42578125" style="348" customWidth="1"/>
    <col min="5382" max="5382" width="13.5703125" style="348" customWidth="1"/>
    <col min="5383" max="5384" width="11.42578125" style="348" bestFit="1" customWidth="1"/>
    <col min="5385" max="5385" width="9.85546875" style="348" customWidth="1"/>
    <col min="5386" max="5386" width="11.42578125" style="348" bestFit="1" customWidth="1"/>
    <col min="5387" max="5387" width="11.42578125" style="348" customWidth="1"/>
    <col min="5388" max="5389" width="13.5703125" style="348" customWidth="1"/>
    <col min="5390" max="5390" width="0.42578125" style="348" customWidth="1"/>
    <col min="5391" max="5391" width="13.5703125" style="348" customWidth="1"/>
    <col min="5392" max="5392" width="11.42578125" style="348" bestFit="1" customWidth="1"/>
    <col min="5393" max="5393" width="9.85546875" style="348" customWidth="1"/>
    <col min="5394" max="5394" width="11.42578125" style="348" customWidth="1"/>
    <col min="5395" max="5395" width="13.5703125" style="348" customWidth="1"/>
    <col min="5396" max="5396" width="0.42578125" style="348" customWidth="1"/>
    <col min="5397" max="5397" width="13.5703125" style="348" customWidth="1"/>
    <col min="5398" max="5398" width="11.42578125" style="348" bestFit="1" customWidth="1"/>
    <col min="5399" max="5399" width="9.85546875" style="348" customWidth="1"/>
    <col min="5400" max="5400" width="11.42578125" style="348" customWidth="1"/>
    <col min="5401" max="5402" width="13.5703125" style="348" customWidth="1"/>
    <col min="5403" max="5403" width="10.5703125" style="348" customWidth="1"/>
    <col min="5404" max="5404" width="11.5703125" style="348" customWidth="1"/>
    <col min="5405" max="5626" width="1" style="348"/>
    <col min="5627" max="5627" width="0" style="348" hidden="1" customWidth="1"/>
    <col min="5628" max="5628" width="14.140625" style="348" bestFit="1" customWidth="1"/>
    <col min="5629" max="5629" width="32.140625" style="348" customWidth="1"/>
    <col min="5630" max="5630" width="0.42578125" style="348" customWidth="1"/>
    <col min="5631" max="5631" width="13.5703125" style="348" customWidth="1"/>
    <col min="5632" max="5633" width="11.42578125" style="348" bestFit="1" customWidth="1"/>
    <col min="5634" max="5634" width="9.85546875" style="348" customWidth="1"/>
    <col min="5635" max="5635" width="11.42578125" style="348" customWidth="1"/>
    <col min="5636" max="5636" width="13.5703125" style="348" customWidth="1"/>
    <col min="5637" max="5637" width="0.42578125" style="348" customWidth="1"/>
    <col min="5638" max="5638" width="13.5703125" style="348" customWidth="1"/>
    <col min="5639" max="5640" width="11.42578125" style="348" bestFit="1" customWidth="1"/>
    <col min="5641" max="5641" width="9.85546875" style="348" customWidth="1"/>
    <col min="5642" max="5642" width="11.42578125" style="348" bestFit="1" customWidth="1"/>
    <col min="5643" max="5643" width="11.42578125" style="348" customWidth="1"/>
    <col min="5644" max="5645" width="13.5703125" style="348" customWidth="1"/>
    <col min="5646" max="5646" width="0.42578125" style="348" customWidth="1"/>
    <col min="5647" max="5647" width="13.5703125" style="348" customWidth="1"/>
    <col min="5648" max="5648" width="11.42578125" style="348" bestFit="1" customWidth="1"/>
    <col min="5649" max="5649" width="9.85546875" style="348" customWidth="1"/>
    <col min="5650" max="5650" width="11.42578125" style="348" customWidth="1"/>
    <col min="5651" max="5651" width="13.5703125" style="348" customWidth="1"/>
    <col min="5652" max="5652" width="0.42578125" style="348" customWidth="1"/>
    <col min="5653" max="5653" width="13.5703125" style="348" customWidth="1"/>
    <col min="5654" max="5654" width="11.42578125" style="348" bestFit="1" customWidth="1"/>
    <col min="5655" max="5655" width="9.85546875" style="348" customWidth="1"/>
    <col min="5656" max="5656" width="11.42578125" style="348" customWidth="1"/>
    <col min="5657" max="5658" width="13.5703125" style="348" customWidth="1"/>
    <col min="5659" max="5659" width="10.5703125" style="348" customWidth="1"/>
    <col min="5660" max="5660" width="11.5703125" style="348" customWidth="1"/>
    <col min="5661" max="5882" width="1" style="348"/>
    <col min="5883" max="5883" width="0" style="348" hidden="1" customWidth="1"/>
    <col min="5884" max="5884" width="14.140625" style="348" bestFit="1" customWidth="1"/>
    <col min="5885" max="5885" width="32.140625" style="348" customWidth="1"/>
    <col min="5886" max="5886" width="0.42578125" style="348" customWidth="1"/>
    <col min="5887" max="5887" width="13.5703125" style="348" customWidth="1"/>
    <col min="5888" max="5889" width="11.42578125" style="348" bestFit="1" customWidth="1"/>
    <col min="5890" max="5890" width="9.85546875" style="348" customWidth="1"/>
    <col min="5891" max="5891" width="11.42578125" style="348" customWidth="1"/>
    <col min="5892" max="5892" width="13.5703125" style="348" customWidth="1"/>
    <col min="5893" max="5893" width="0.42578125" style="348" customWidth="1"/>
    <col min="5894" max="5894" width="13.5703125" style="348" customWidth="1"/>
    <col min="5895" max="5896" width="11.42578125" style="348" bestFit="1" customWidth="1"/>
    <col min="5897" max="5897" width="9.85546875" style="348" customWidth="1"/>
    <col min="5898" max="5898" width="11.42578125" style="348" bestFit="1" customWidth="1"/>
    <col min="5899" max="5899" width="11.42578125" style="348" customWidth="1"/>
    <col min="5900" max="5901" width="13.5703125" style="348" customWidth="1"/>
    <col min="5902" max="5902" width="0.42578125" style="348" customWidth="1"/>
    <col min="5903" max="5903" width="13.5703125" style="348" customWidth="1"/>
    <col min="5904" max="5904" width="11.42578125" style="348" bestFit="1" customWidth="1"/>
    <col min="5905" max="5905" width="9.85546875" style="348" customWidth="1"/>
    <col min="5906" max="5906" width="11.42578125" style="348" customWidth="1"/>
    <col min="5907" max="5907" width="13.5703125" style="348" customWidth="1"/>
    <col min="5908" max="5908" width="0.42578125" style="348" customWidth="1"/>
    <col min="5909" max="5909" width="13.5703125" style="348" customWidth="1"/>
    <col min="5910" max="5910" width="11.42578125" style="348" bestFit="1" customWidth="1"/>
    <col min="5911" max="5911" width="9.85546875" style="348" customWidth="1"/>
    <col min="5912" max="5912" width="11.42578125" style="348" customWidth="1"/>
    <col min="5913" max="5914" width="13.5703125" style="348" customWidth="1"/>
    <col min="5915" max="5915" width="10.5703125" style="348" customWidth="1"/>
    <col min="5916" max="5916" width="11.5703125" style="348" customWidth="1"/>
    <col min="5917" max="6138" width="1" style="348"/>
    <col min="6139" max="6139" width="0" style="348" hidden="1" customWidth="1"/>
    <col min="6140" max="6140" width="14.140625" style="348" bestFit="1" customWidth="1"/>
    <col min="6141" max="6141" width="32.140625" style="348" customWidth="1"/>
    <col min="6142" max="6142" width="0.42578125" style="348" customWidth="1"/>
    <col min="6143" max="6143" width="13.5703125" style="348" customWidth="1"/>
    <col min="6144" max="6145" width="11.42578125" style="348" bestFit="1" customWidth="1"/>
    <col min="6146" max="6146" width="9.85546875" style="348" customWidth="1"/>
    <col min="6147" max="6147" width="11.42578125" style="348" customWidth="1"/>
    <col min="6148" max="6148" width="13.5703125" style="348" customWidth="1"/>
    <col min="6149" max="6149" width="0.42578125" style="348" customWidth="1"/>
    <col min="6150" max="6150" width="13.5703125" style="348" customWidth="1"/>
    <col min="6151" max="6152" width="11.42578125" style="348" bestFit="1" customWidth="1"/>
    <col min="6153" max="6153" width="9.85546875" style="348" customWidth="1"/>
    <col min="6154" max="6154" width="11.42578125" style="348" bestFit="1" customWidth="1"/>
    <col min="6155" max="6155" width="11.42578125" style="348" customWidth="1"/>
    <col min="6156" max="6157" width="13.5703125" style="348" customWidth="1"/>
    <col min="6158" max="6158" width="0.42578125" style="348" customWidth="1"/>
    <col min="6159" max="6159" width="13.5703125" style="348" customWidth="1"/>
    <col min="6160" max="6160" width="11.42578125" style="348" bestFit="1" customWidth="1"/>
    <col min="6161" max="6161" width="9.85546875" style="348" customWidth="1"/>
    <col min="6162" max="6162" width="11.42578125" style="348" customWidth="1"/>
    <col min="6163" max="6163" width="13.5703125" style="348" customWidth="1"/>
    <col min="6164" max="6164" width="0.42578125" style="348" customWidth="1"/>
    <col min="6165" max="6165" width="13.5703125" style="348" customWidth="1"/>
    <col min="6166" max="6166" width="11.42578125" style="348" bestFit="1" customWidth="1"/>
    <col min="6167" max="6167" width="9.85546875" style="348" customWidth="1"/>
    <col min="6168" max="6168" width="11.42578125" style="348" customWidth="1"/>
    <col min="6169" max="6170" width="13.5703125" style="348" customWidth="1"/>
    <col min="6171" max="6171" width="10.5703125" style="348" customWidth="1"/>
    <col min="6172" max="6172" width="11.5703125" style="348" customWidth="1"/>
    <col min="6173" max="6394" width="1" style="348"/>
    <col min="6395" max="6395" width="0" style="348" hidden="1" customWidth="1"/>
    <col min="6396" max="6396" width="14.140625" style="348" bestFit="1" customWidth="1"/>
    <col min="6397" max="6397" width="32.140625" style="348" customWidth="1"/>
    <col min="6398" max="6398" width="0.42578125" style="348" customWidth="1"/>
    <col min="6399" max="6399" width="13.5703125" style="348" customWidth="1"/>
    <col min="6400" max="6401" width="11.42578125" style="348" bestFit="1" customWidth="1"/>
    <col min="6402" max="6402" width="9.85546875" style="348" customWidth="1"/>
    <col min="6403" max="6403" width="11.42578125" style="348" customWidth="1"/>
    <col min="6404" max="6404" width="13.5703125" style="348" customWidth="1"/>
    <col min="6405" max="6405" width="0.42578125" style="348" customWidth="1"/>
    <col min="6406" max="6406" width="13.5703125" style="348" customWidth="1"/>
    <col min="6407" max="6408" width="11.42578125" style="348" bestFit="1" customWidth="1"/>
    <col min="6409" max="6409" width="9.85546875" style="348" customWidth="1"/>
    <col min="6410" max="6410" width="11.42578125" style="348" bestFit="1" customWidth="1"/>
    <col min="6411" max="6411" width="11.42578125" style="348" customWidth="1"/>
    <col min="6412" max="6413" width="13.5703125" style="348" customWidth="1"/>
    <col min="6414" max="6414" width="0.42578125" style="348" customWidth="1"/>
    <col min="6415" max="6415" width="13.5703125" style="348" customWidth="1"/>
    <col min="6416" max="6416" width="11.42578125" style="348" bestFit="1" customWidth="1"/>
    <col min="6417" max="6417" width="9.85546875" style="348" customWidth="1"/>
    <col min="6418" max="6418" width="11.42578125" style="348" customWidth="1"/>
    <col min="6419" max="6419" width="13.5703125" style="348" customWidth="1"/>
    <col min="6420" max="6420" width="0.42578125" style="348" customWidth="1"/>
    <col min="6421" max="6421" width="13.5703125" style="348" customWidth="1"/>
    <col min="6422" max="6422" width="11.42578125" style="348" bestFit="1" customWidth="1"/>
    <col min="6423" max="6423" width="9.85546875" style="348" customWidth="1"/>
    <col min="6424" max="6424" width="11.42578125" style="348" customWidth="1"/>
    <col min="6425" max="6426" width="13.5703125" style="348" customWidth="1"/>
    <col min="6427" max="6427" width="10.5703125" style="348" customWidth="1"/>
    <col min="6428" max="6428" width="11.5703125" style="348" customWidth="1"/>
    <col min="6429" max="6650" width="1" style="348"/>
    <col min="6651" max="6651" width="0" style="348" hidden="1" customWidth="1"/>
    <col min="6652" max="6652" width="14.140625" style="348" bestFit="1" customWidth="1"/>
    <col min="6653" max="6653" width="32.140625" style="348" customWidth="1"/>
    <col min="6654" max="6654" width="0.42578125" style="348" customWidth="1"/>
    <col min="6655" max="6655" width="13.5703125" style="348" customWidth="1"/>
    <col min="6656" max="6657" width="11.42578125" style="348" bestFit="1" customWidth="1"/>
    <col min="6658" max="6658" width="9.85546875" style="348" customWidth="1"/>
    <col min="6659" max="6659" width="11.42578125" style="348" customWidth="1"/>
    <col min="6660" max="6660" width="13.5703125" style="348" customWidth="1"/>
    <col min="6661" max="6661" width="0.42578125" style="348" customWidth="1"/>
    <col min="6662" max="6662" width="13.5703125" style="348" customWidth="1"/>
    <col min="6663" max="6664" width="11.42578125" style="348" bestFit="1" customWidth="1"/>
    <col min="6665" max="6665" width="9.85546875" style="348" customWidth="1"/>
    <col min="6666" max="6666" width="11.42578125" style="348" bestFit="1" customWidth="1"/>
    <col min="6667" max="6667" width="11.42578125" style="348" customWidth="1"/>
    <col min="6668" max="6669" width="13.5703125" style="348" customWidth="1"/>
    <col min="6670" max="6670" width="0.42578125" style="348" customWidth="1"/>
    <col min="6671" max="6671" width="13.5703125" style="348" customWidth="1"/>
    <col min="6672" max="6672" width="11.42578125" style="348" bestFit="1" customWidth="1"/>
    <col min="6673" max="6673" width="9.85546875" style="348" customWidth="1"/>
    <col min="6674" max="6674" width="11.42578125" style="348" customWidth="1"/>
    <col min="6675" max="6675" width="13.5703125" style="348" customWidth="1"/>
    <col min="6676" max="6676" width="0.42578125" style="348" customWidth="1"/>
    <col min="6677" max="6677" width="13.5703125" style="348" customWidth="1"/>
    <col min="6678" max="6678" width="11.42578125" style="348" bestFit="1" customWidth="1"/>
    <col min="6679" max="6679" width="9.85546875" style="348" customWidth="1"/>
    <col min="6680" max="6680" width="11.42578125" style="348" customWidth="1"/>
    <col min="6681" max="6682" width="13.5703125" style="348" customWidth="1"/>
    <col min="6683" max="6683" width="10.5703125" style="348" customWidth="1"/>
    <col min="6684" max="6684" width="11.5703125" style="348" customWidth="1"/>
    <col min="6685" max="6906" width="1" style="348"/>
    <col min="6907" max="6907" width="0" style="348" hidden="1" customWidth="1"/>
    <col min="6908" max="6908" width="14.140625" style="348" bestFit="1" customWidth="1"/>
    <col min="6909" max="6909" width="32.140625" style="348" customWidth="1"/>
    <col min="6910" max="6910" width="0.42578125" style="348" customWidth="1"/>
    <col min="6911" max="6911" width="13.5703125" style="348" customWidth="1"/>
    <col min="6912" max="6913" width="11.42578125" style="348" bestFit="1" customWidth="1"/>
    <col min="6914" max="6914" width="9.85546875" style="348" customWidth="1"/>
    <col min="6915" max="6915" width="11.42578125" style="348" customWidth="1"/>
    <col min="6916" max="6916" width="13.5703125" style="348" customWidth="1"/>
    <col min="6917" max="6917" width="0.42578125" style="348" customWidth="1"/>
    <col min="6918" max="6918" width="13.5703125" style="348" customWidth="1"/>
    <col min="6919" max="6920" width="11.42578125" style="348" bestFit="1" customWidth="1"/>
    <col min="6921" max="6921" width="9.85546875" style="348" customWidth="1"/>
    <col min="6922" max="6922" width="11.42578125" style="348" bestFit="1" customWidth="1"/>
    <col min="6923" max="6923" width="11.42578125" style="348" customWidth="1"/>
    <col min="6924" max="6925" width="13.5703125" style="348" customWidth="1"/>
    <col min="6926" max="6926" width="0.42578125" style="348" customWidth="1"/>
    <col min="6927" max="6927" width="13.5703125" style="348" customWidth="1"/>
    <col min="6928" max="6928" width="11.42578125" style="348" bestFit="1" customWidth="1"/>
    <col min="6929" max="6929" width="9.85546875" style="348" customWidth="1"/>
    <col min="6930" max="6930" width="11.42578125" style="348" customWidth="1"/>
    <col min="6931" max="6931" width="13.5703125" style="348" customWidth="1"/>
    <col min="6932" max="6932" width="0.42578125" style="348" customWidth="1"/>
    <col min="6933" max="6933" width="13.5703125" style="348" customWidth="1"/>
    <col min="6934" max="6934" width="11.42578125" style="348" bestFit="1" customWidth="1"/>
    <col min="6935" max="6935" width="9.85546875" style="348" customWidth="1"/>
    <col min="6936" max="6936" width="11.42578125" style="348" customWidth="1"/>
    <col min="6937" max="6938" width="13.5703125" style="348" customWidth="1"/>
    <col min="6939" max="6939" width="10.5703125" style="348" customWidth="1"/>
    <col min="6940" max="6940" width="11.5703125" style="348" customWidth="1"/>
    <col min="6941" max="7162" width="1" style="348"/>
    <col min="7163" max="7163" width="0" style="348" hidden="1" customWidth="1"/>
    <col min="7164" max="7164" width="14.140625" style="348" bestFit="1" customWidth="1"/>
    <col min="7165" max="7165" width="32.140625" style="348" customWidth="1"/>
    <col min="7166" max="7166" width="0.42578125" style="348" customWidth="1"/>
    <col min="7167" max="7167" width="13.5703125" style="348" customWidth="1"/>
    <col min="7168" max="7169" width="11.42578125" style="348" bestFit="1" customWidth="1"/>
    <col min="7170" max="7170" width="9.85546875" style="348" customWidth="1"/>
    <col min="7171" max="7171" width="11.42578125" style="348" customWidth="1"/>
    <col min="7172" max="7172" width="13.5703125" style="348" customWidth="1"/>
    <col min="7173" max="7173" width="0.42578125" style="348" customWidth="1"/>
    <col min="7174" max="7174" width="13.5703125" style="348" customWidth="1"/>
    <col min="7175" max="7176" width="11.42578125" style="348" bestFit="1" customWidth="1"/>
    <col min="7177" max="7177" width="9.85546875" style="348" customWidth="1"/>
    <col min="7178" max="7178" width="11.42578125" style="348" bestFit="1" customWidth="1"/>
    <col min="7179" max="7179" width="11.42578125" style="348" customWidth="1"/>
    <col min="7180" max="7181" width="13.5703125" style="348" customWidth="1"/>
    <col min="7182" max="7182" width="0.42578125" style="348" customWidth="1"/>
    <col min="7183" max="7183" width="13.5703125" style="348" customWidth="1"/>
    <col min="7184" max="7184" width="11.42578125" style="348" bestFit="1" customWidth="1"/>
    <col min="7185" max="7185" width="9.85546875" style="348" customWidth="1"/>
    <col min="7186" max="7186" width="11.42578125" style="348" customWidth="1"/>
    <col min="7187" max="7187" width="13.5703125" style="348" customWidth="1"/>
    <col min="7188" max="7188" width="0.42578125" style="348" customWidth="1"/>
    <col min="7189" max="7189" width="13.5703125" style="348" customWidth="1"/>
    <col min="7190" max="7190" width="11.42578125" style="348" bestFit="1" customWidth="1"/>
    <col min="7191" max="7191" width="9.85546875" style="348" customWidth="1"/>
    <col min="7192" max="7192" width="11.42578125" style="348" customWidth="1"/>
    <col min="7193" max="7194" width="13.5703125" style="348" customWidth="1"/>
    <col min="7195" max="7195" width="10.5703125" style="348" customWidth="1"/>
    <col min="7196" max="7196" width="11.5703125" style="348" customWidth="1"/>
    <col min="7197" max="7418" width="1" style="348"/>
    <col min="7419" max="7419" width="0" style="348" hidden="1" customWidth="1"/>
    <col min="7420" max="7420" width="14.140625" style="348" bestFit="1" customWidth="1"/>
    <col min="7421" max="7421" width="32.140625" style="348" customWidth="1"/>
    <col min="7422" max="7422" width="0.42578125" style="348" customWidth="1"/>
    <col min="7423" max="7423" width="13.5703125" style="348" customWidth="1"/>
    <col min="7424" max="7425" width="11.42578125" style="348" bestFit="1" customWidth="1"/>
    <col min="7426" max="7426" width="9.85546875" style="348" customWidth="1"/>
    <col min="7427" max="7427" width="11.42578125" style="348" customWidth="1"/>
    <col min="7428" max="7428" width="13.5703125" style="348" customWidth="1"/>
    <col min="7429" max="7429" width="0.42578125" style="348" customWidth="1"/>
    <col min="7430" max="7430" width="13.5703125" style="348" customWidth="1"/>
    <col min="7431" max="7432" width="11.42578125" style="348" bestFit="1" customWidth="1"/>
    <col min="7433" max="7433" width="9.85546875" style="348" customWidth="1"/>
    <col min="7434" max="7434" width="11.42578125" style="348" bestFit="1" customWidth="1"/>
    <col min="7435" max="7435" width="11.42578125" style="348" customWidth="1"/>
    <col min="7436" max="7437" width="13.5703125" style="348" customWidth="1"/>
    <col min="7438" max="7438" width="0.42578125" style="348" customWidth="1"/>
    <col min="7439" max="7439" width="13.5703125" style="348" customWidth="1"/>
    <col min="7440" max="7440" width="11.42578125" style="348" bestFit="1" customWidth="1"/>
    <col min="7441" max="7441" width="9.85546875" style="348" customWidth="1"/>
    <col min="7442" max="7442" width="11.42578125" style="348" customWidth="1"/>
    <col min="7443" max="7443" width="13.5703125" style="348" customWidth="1"/>
    <col min="7444" max="7444" width="0.42578125" style="348" customWidth="1"/>
    <col min="7445" max="7445" width="13.5703125" style="348" customWidth="1"/>
    <col min="7446" max="7446" width="11.42578125" style="348" bestFit="1" customWidth="1"/>
    <col min="7447" max="7447" width="9.85546875" style="348" customWidth="1"/>
    <col min="7448" max="7448" width="11.42578125" style="348" customWidth="1"/>
    <col min="7449" max="7450" width="13.5703125" style="348" customWidth="1"/>
    <col min="7451" max="7451" width="10.5703125" style="348" customWidth="1"/>
    <col min="7452" max="7452" width="11.5703125" style="348" customWidth="1"/>
    <col min="7453" max="7674" width="1" style="348"/>
    <col min="7675" max="7675" width="0" style="348" hidden="1" customWidth="1"/>
    <col min="7676" max="7676" width="14.140625" style="348" bestFit="1" customWidth="1"/>
    <col min="7677" max="7677" width="32.140625" style="348" customWidth="1"/>
    <col min="7678" max="7678" width="0.42578125" style="348" customWidth="1"/>
    <col min="7679" max="7679" width="13.5703125" style="348" customWidth="1"/>
    <col min="7680" max="7681" width="11.42578125" style="348" bestFit="1" customWidth="1"/>
    <col min="7682" max="7682" width="9.85546875" style="348" customWidth="1"/>
    <col min="7683" max="7683" width="11.42578125" style="348" customWidth="1"/>
    <col min="7684" max="7684" width="13.5703125" style="348" customWidth="1"/>
    <col min="7685" max="7685" width="0.42578125" style="348" customWidth="1"/>
    <col min="7686" max="7686" width="13.5703125" style="348" customWidth="1"/>
    <col min="7687" max="7688" width="11.42578125" style="348" bestFit="1" customWidth="1"/>
    <col min="7689" max="7689" width="9.85546875" style="348" customWidth="1"/>
    <col min="7690" max="7690" width="11.42578125" style="348" bestFit="1" customWidth="1"/>
    <col min="7691" max="7691" width="11.42578125" style="348" customWidth="1"/>
    <col min="7692" max="7693" width="13.5703125" style="348" customWidth="1"/>
    <col min="7694" max="7694" width="0.42578125" style="348" customWidth="1"/>
    <col min="7695" max="7695" width="13.5703125" style="348" customWidth="1"/>
    <col min="7696" max="7696" width="11.42578125" style="348" bestFit="1" customWidth="1"/>
    <col min="7697" max="7697" width="9.85546875" style="348" customWidth="1"/>
    <col min="7698" max="7698" width="11.42578125" style="348" customWidth="1"/>
    <col min="7699" max="7699" width="13.5703125" style="348" customWidth="1"/>
    <col min="7700" max="7700" width="0.42578125" style="348" customWidth="1"/>
    <col min="7701" max="7701" width="13.5703125" style="348" customWidth="1"/>
    <col min="7702" max="7702" width="11.42578125" style="348" bestFit="1" customWidth="1"/>
    <col min="7703" max="7703" width="9.85546875" style="348" customWidth="1"/>
    <col min="7704" max="7704" width="11.42578125" style="348" customWidth="1"/>
    <col min="7705" max="7706" width="13.5703125" style="348" customWidth="1"/>
    <col min="7707" max="7707" width="10.5703125" style="348" customWidth="1"/>
    <col min="7708" max="7708" width="11.5703125" style="348" customWidth="1"/>
    <col min="7709" max="7930" width="1" style="348"/>
    <col min="7931" max="7931" width="0" style="348" hidden="1" customWidth="1"/>
    <col min="7932" max="7932" width="14.140625" style="348" bestFit="1" customWidth="1"/>
    <col min="7933" max="7933" width="32.140625" style="348" customWidth="1"/>
    <col min="7934" max="7934" width="0.42578125" style="348" customWidth="1"/>
    <col min="7935" max="7935" width="13.5703125" style="348" customWidth="1"/>
    <col min="7936" max="7937" width="11.42578125" style="348" bestFit="1" customWidth="1"/>
    <col min="7938" max="7938" width="9.85546875" style="348" customWidth="1"/>
    <col min="7939" max="7939" width="11.42578125" style="348" customWidth="1"/>
    <col min="7940" max="7940" width="13.5703125" style="348" customWidth="1"/>
    <col min="7941" max="7941" width="0.42578125" style="348" customWidth="1"/>
    <col min="7942" max="7942" width="13.5703125" style="348" customWidth="1"/>
    <col min="7943" max="7944" width="11.42578125" style="348" bestFit="1" customWidth="1"/>
    <col min="7945" max="7945" width="9.85546875" style="348" customWidth="1"/>
    <col min="7946" max="7946" width="11.42578125" style="348" bestFit="1" customWidth="1"/>
    <col min="7947" max="7947" width="11.42578125" style="348" customWidth="1"/>
    <col min="7948" max="7949" width="13.5703125" style="348" customWidth="1"/>
    <col min="7950" max="7950" width="0.42578125" style="348" customWidth="1"/>
    <col min="7951" max="7951" width="13.5703125" style="348" customWidth="1"/>
    <col min="7952" max="7952" width="11.42578125" style="348" bestFit="1" customWidth="1"/>
    <col min="7953" max="7953" width="9.85546875" style="348" customWidth="1"/>
    <col min="7954" max="7954" width="11.42578125" style="348" customWidth="1"/>
    <col min="7955" max="7955" width="13.5703125" style="348" customWidth="1"/>
    <col min="7956" max="7956" width="0.42578125" style="348" customWidth="1"/>
    <col min="7957" max="7957" width="13.5703125" style="348" customWidth="1"/>
    <col min="7958" max="7958" width="11.42578125" style="348" bestFit="1" customWidth="1"/>
    <col min="7959" max="7959" width="9.85546875" style="348" customWidth="1"/>
    <col min="7960" max="7960" width="11.42578125" style="348" customWidth="1"/>
    <col min="7961" max="7962" width="13.5703125" style="348" customWidth="1"/>
    <col min="7963" max="7963" width="10.5703125" style="348" customWidth="1"/>
    <col min="7964" max="7964" width="11.5703125" style="348" customWidth="1"/>
    <col min="7965" max="8186" width="1" style="348"/>
    <col min="8187" max="8187" width="0" style="348" hidden="1" customWidth="1"/>
    <col min="8188" max="8188" width="14.140625" style="348" bestFit="1" customWidth="1"/>
    <col min="8189" max="8189" width="32.140625" style="348" customWidth="1"/>
    <col min="8190" max="8190" width="0.42578125" style="348" customWidth="1"/>
    <col min="8191" max="8191" width="13.5703125" style="348" customWidth="1"/>
    <col min="8192" max="8193" width="11.42578125" style="348" bestFit="1" customWidth="1"/>
    <col min="8194" max="8194" width="9.85546875" style="348" customWidth="1"/>
    <col min="8195" max="8195" width="11.42578125" style="348" customWidth="1"/>
    <col min="8196" max="8196" width="13.5703125" style="348" customWidth="1"/>
    <col min="8197" max="8197" width="0.42578125" style="348" customWidth="1"/>
    <col min="8198" max="8198" width="13.5703125" style="348" customWidth="1"/>
    <col min="8199" max="8200" width="11.42578125" style="348" bestFit="1" customWidth="1"/>
    <col min="8201" max="8201" width="9.85546875" style="348" customWidth="1"/>
    <col min="8202" max="8202" width="11.42578125" style="348" bestFit="1" customWidth="1"/>
    <col min="8203" max="8203" width="11.42578125" style="348" customWidth="1"/>
    <col min="8204" max="8205" width="13.5703125" style="348" customWidth="1"/>
    <col min="8206" max="8206" width="0.42578125" style="348" customWidth="1"/>
    <col min="8207" max="8207" width="13.5703125" style="348" customWidth="1"/>
    <col min="8208" max="8208" width="11.42578125" style="348" bestFit="1" customWidth="1"/>
    <col min="8209" max="8209" width="9.85546875" style="348" customWidth="1"/>
    <col min="8210" max="8210" width="11.42578125" style="348" customWidth="1"/>
    <col min="8211" max="8211" width="13.5703125" style="348" customWidth="1"/>
    <col min="8212" max="8212" width="0.42578125" style="348" customWidth="1"/>
    <col min="8213" max="8213" width="13.5703125" style="348" customWidth="1"/>
    <col min="8214" max="8214" width="11.42578125" style="348" bestFit="1" customWidth="1"/>
    <col min="8215" max="8215" width="9.85546875" style="348" customWidth="1"/>
    <col min="8216" max="8216" width="11.42578125" style="348" customWidth="1"/>
    <col min="8217" max="8218" width="13.5703125" style="348" customWidth="1"/>
    <col min="8219" max="8219" width="10.5703125" style="348" customWidth="1"/>
    <col min="8220" max="8220" width="11.5703125" style="348" customWidth="1"/>
    <col min="8221" max="8442" width="1" style="348"/>
    <col min="8443" max="8443" width="0" style="348" hidden="1" customWidth="1"/>
    <col min="8444" max="8444" width="14.140625" style="348" bestFit="1" customWidth="1"/>
    <col min="8445" max="8445" width="32.140625" style="348" customWidth="1"/>
    <col min="8446" max="8446" width="0.42578125" style="348" customWidth="1"/>
    <col min="8447" max="8447" width="13.5703125" style="348" customWidth="1"/>
    <col min="8448" max="8449" width="11.42578125" style="348" bestFit="1" customWidth="1"/>
    <col min="8450" max="8450" width="9.85546875" style="348" customWidth="1"/>
    <col min="8451" max="8451" width="11.42578125" style="348" customWidth="1"/>
    <col min="8452" max="8452" width="13.5703125" style="348" customWidth="1"/>
    <col min="8453" max="8453" width="0.42578125" style="348" customWidth="1"/>
    <col min="8454" max="8454" width="13.5703125" style="348" customWidth="1"/>
    <col min="8455" max="8456" width="11.42578125" style="348" bestFit="1" customWidth="1"/>
    <col min="8457" max="8457" width="9.85546875" style="348" customWidth="1"/>
    <col min="8458" max="8458" width="11.42578125" style="348" bestFit="1" customWidth="1"/>
    <col min="8459" max="8459" width="11.42578125" style="348" customWidth="1"/>
    <col min="8460" max="8461" width="13.5703125" style="348" customWidth="1"/>
    <col min="8462" max="8462" width="0.42578125" style="348" customWidth="1"/>
    <col min="8463" max="8463" width="13.5703125" style="348" customWidth="1"/>
    <col min="8464" max="8464" width="11.42578125" style="348" bestFit="1" customWidth="1"/>
    <col min="8465" max="8465" width="9.85546875" style="348" customWidth="1"/>
    <col min="8466" max="8466" width="11.42578125" style="348" customWidth="1"/>
    <col min="8467" max="8467" width="13.5703125" style="348" customWidth="1"/>
    <col min="8468" max="8468" width="0.42578125" style="348" customWidth="1"/>
    <col min="8469" max="8469" width="13.5703125" style="348" customWidth="1"/>
    <col min="8470" max="8470" width="11.42578125" style="348" bestFit="1" customWidth="1"/>
    <col min="8471" max="8471" width="9.85546875" style="348" customWidth="1"/>
    <col min="8472" max="8472" width="11.42578125" style="348" customWidth="1"/>
    <col min="8473" max="8474" width="13.5703125" style="348" customWidth="1"/>
    <col min="8475" max="8475" width="10.5703125" style="348" customWidth="1"/>
    <col min="8476" max="8476" width="11.5703125" style="348" customWidth="1"/>
    <col min="8477" max="8698" width="1" style="348"/>
    <col min="8699" max="8699" width="0" style="348" hidden="1" customWidth="1"/>
    <col min="8700" max="8700" width="14.140625" style="348" bestFit="1" customWidth="1"/>
    <col min="8701" max="8701" width="32.140625" style="348" customWidth="1"/>
    <col min="8702" max="8702" width="0.42578125" style="348" customWidth="1"/>
    <col min="8703" max="8703" width="13.5703125" style="348" customWidth="1"/>
    <col min="8704" max="8705" width="11.42578125" style="348" bestFit="1" customWidth="1"/>
    <col min="8706" max="8706" width="9.85546875" style="348" customWidth="1"/>
    <col min="8707" max="8707" width="11.42578125" style="348" customWidth="1"/>
    <col min="8708" max="8708" width="13.5703125" style="348" customWidth="1"/>
    <col min="8709" max="8709" width="0.42578125" style="348" customWidth="1"/>
    <col min="8710" max="8710" width="13.5703125" style="348" customWidth="1"/>
    <col min="8711" max="8712" width="11.42578125" style="348" bestFit="1" customWidth="1"/>
    <col min="8713" max="8713" width="9.85546875" style="348" customWidth="1"/>
    <col min="8714" max="8714" width="11.42578125" style="348" bestFit="1" customWidth="1"/>
    <col min="8715" max="8715" width="11.42578125" style="348" customWidth="1"/>
    <col min="8716" max="8717" width="13.5703125" style="348" customWidth="1"/>
    <col min="8718" max="8718" width="0.42578125" style="348" customWidth="1"/>
    <col min="8719" max="8719" width="13.5703125" style="348" customWidth="1"/>
    <col min="8720" max="8720" width="11.42578125" style="348" bestFit="1" customWidth="1"/>
    <col min="8721" max="8721" width="9.85546875" style="348" customWidth="1"/>
    <col min="8722" max="8722" width="11.42578125" style="348" customWidth="1"/>
    <col min="8723" max="8723" width="13.5703125" style="348" customWidth="1"/>
    <col min="8724" max="8724" width="0.42578125" style="348" customWidth="1"/>
    <col min="8725" max="8725" width="13.5703125" style="348" customWidth="1"/>
    <col min="8726" max="8726" width="11.42578125" style="348" bestFit="1" customWidth="1"/>
    <col min="8727" max="8727" width="9.85546875" style="348" customWidth="1"/>
    <col min="8728" max="8728" width="11.42578125" style="348" customWidth="1"/>
    <col min="8729" max="8730" width="13.5703125" style="348" customWidth="1"/>
    <col min="8731" max="8731" width="10.5703125" style="348" customWidth="1"/>
    <col min="8732" max="8732" width="11.5703125" style="348" customWidth="1"/>
    <col min="8733" max="8954" width="1" style="348"/>
    <col min="8955" max="8955" width="0" style="348" hidden="1" customWidth="1"/>
    <col min="8956" max="8956" width="14.140625" style="348" bestFit="1" customWidth="1"/>
    <col min="8957" max="8957" width="32.140625" style="348" customWidth="1"/>
    <col min="8958" max="8958" width="0.42578125" style="348" customWidth="1"/>
    <col min="8959" max="8959" width="13.5703125" style="348" customWidth="1"/>
    <col min="8960" max="8961" width="11.42578125" style="348" bestFit="1" customWidth="1"/>
    <col min="8962" max="8962" width="9.85546875" style="348" customWidth="1"/>
    <col min="8963" max="8963" width="11.42578125" style="348" customWidth="1"/>
    <col min="8964" max="8964" width="13.5703125" style="348" customWidth="1"/>
    <col min="8965" max="8965" width="0.42578125" style="348" customWidth="1"/>
    <col min="8966" max="8966" width="13.5703125" style="348" customWidth="1"/>
    <col min="8967" max="8968" width="11.42578125" style="348" bestFit="1" customWidth="1"/>
    <col min="8969" max="8969" width="9.85546875" style="348" customWidth="1"/>
    <col min="8970" max="8970" width="11.42578125" style="348" bestFit="1" customWidth="1"/>
    <col min="8971" max="8971" width="11.42578125" style="348" customWidth="1"/>
    <col min="8972" max="8973" width="13.5703125" style="348" customWidth="1"/>
    <col min="8974" max="8974" width="0.42578125" style="348" customWidth="1"/>
    <col min="8975" max="8975" width="13.5703125" style="348" customWidth="1"/>
    <col min="8976" max="8976" width="11.42578125" style="348" bestFit="1" customWidth="1"/>
    <col min="8977" max="8977" width="9.85546875" style="348" customWidth="1"/>
    <col min="8978" max="8978" width="11.42578125" style="348" customWidth="1"/>
    <col min="8979" max="8979" width="13.5703125" style="348" customWidth="1"/>
    <col min="8980" max="8980" width="0.42578125" style="348" customWidth="1"/>
    <col min="8981" max="8981" width="13.5703125" style="348" customWidth="1"/>
    <col min="8982" max="8982" width="11.42578125" style="348" bestFit="1" customWidth="1"/>
    <col min="8983" max="8983" width="9.85546875" style="348" customWidth="1"/>
    <col min="8984" max="8984" width="11.42578125" style="348" customWidth="1"/>
    <col min="8985" max="8986" width="13.5703125" style="348" customWidth="1"/>
    <col min="8987" max="8987" width="10.5703125" style="348" customWidth="1"/>
    <col min="8988" max="8988" width="11.5703125" style="348" customWidth="1"/>
    <col min="8989" max="9210" width="1" style="348"/>
    <col min="9211" max="9211" width="0" style="348" hidden="1" customWidth="1"/>
    <col min="9212" max="9212" width="14.140625" style="348" bestFit="1" customWidth="1"/>
    <col min="9213" max="9213" width="32.140625" style="348" customWidth="1"/>
    <col min="9214" max="9214" width="0.42578125" style="348" customWidth="1"/>
    <col min="9215" max="9215" width="13.5703125" style="348" customWidth="1"/>
    <col min="9216" max="9217" width="11.42578125" style="348" bestFit="1" customWidth="1"/>
    <col min="9218" max="9218" width="9.85546875" style="348" customWidth="1"/>
    <col min="9219" max="9219" width="11.42578125" style="348" customWidth="1"/>
    <col min="9220" max="9220" width="13.5703125" style="348" customWidth="1"/>
    <col min="9221" max="9221" width="0.42578125" style="348" customWidth="1"/>
    <col min="9222" max="9222" width="13.5703125" style="348" customWidth="1"/>
    <col min="9223" max="9224" width="11.42578125" style="348" bestFit="1" customWidth="1"/>
    <col min="9225" max="9225" width="9.85546875" style="348" customWidth="1"/>
    <col min="9226" max="9226" width="11.42578125" style="348" bestFit="1" customWidth="1"/>
    <col min="9227" max="9227" width="11.42578125" style="348" customWidth="1"/>
    <col min="9228" max="9229" width="13.5703125" style="348" customWidth="1"/>
    <col min="9230" max="9230" width="0.42578125" style="348" customWidth="1"/>
    <col min="9231" max="9231" width="13.5703125" style="348" customWidth="1"/>
    <col min="9232" max="9232" width="11.42578125" style="348" bestFit="1" customWidth="1"/>
    <col min="9233" max="9233" width="9.85546875" style="348" customWidth="1"/>
    <col min="9234" max="9234" width="11.42578125" style="348" customWidth="1"/>
    <col min="9235" max="9235" width="13.5703125" style="348" customWidth="1"/>
    <col min="9236" max="9236" width="0.42578125" style="348" customWidth="1"/>
    <col min="9237" max="9237" width="13.5703125" style="348" customWidth="1"/>
    <col min="9238" max="9238" width="11.42578125" style="348" bestFit="1" customWidth="1"/>
    <col min="9239" max="9239" width="9.85546875" style="348" customWidth="1"/>
    <col min="9240" max="9240" width="11.42578125" style="348" customWidth="1"/>
    <col min="9241" max="9242" width="13.5703125" style="348" customWidth="1"/>
    <col min="9243" max="9243" width="10.5703125" style="348" customWidth="1"/>
    <col min="9244" max="9244" width="11.5703125" style="348" customWidth="1"/>
    <col min="9245" max="9466" width="1" style="348"/>
    <col min="9467" max="9467" width="0" style="348" hidden="1" customWidth="1"/>
    <col min="9468" max="9468" width="14.140625" style="348" bestFit="1" customWidth="1"/>
    <col min="9469" max="9469" width="32.140625" style="348" customWidth="1"/>
    <col min="9470" max="9470" width="0.42578125" style="348" customWidth="1"/>
    <col min="9471" max="9471" width="13.5703125" style="348" customWidth="1"/>
    <col min="9472" max="9473" width="11.42578125" style="348" bestFit="1" customWidth="1"/>
    <col min="9474" max="9474" width="9.85546875" style="348" customWidth="1"/>
    <col min="9475" max="9475" width="11.42578125" style="348" customWidth="1"/>
    <col min="9476" max="9476" width="13.5703125" style="348" customWidth="1"/>
    <col min="9477" max="9477" width="0.42578125" style="348" customWidth="1"/>
    <col min="9478" max="9478" width="13.5703125" style="348" customWidth="1"/>
    <col min="9479" max="9480" width="11.42578125" style="348" bestFit="1" customWidth="1"/>
    <col min="9481" max="9481" width="9.85546875" style="348" customWidth="1"/>
    <col min="9482" max="9482" width="11.42578125" style="348" bestFit="1" customWidth="1"/>
    <col min="9483" max="9483" width="11.42578125" style="348" customWidth="1"/>
    <col min="9484" max="9485" width="13.5703125" style="348" customWidth="1"/>
    <col min="9486" max="9486" width="0.42578125" style="348" customWidth="1"/>
    <col min="9487" max="9487" width="13.5703125" style="348" customWidth="1"/>
    <col min="9488" max="9488" width="11.42578125" style="348" bestFit="1" customWidth="1"/>
    <col min="9489" max="9489" width="9.85546875" style="348" customWidth="1"/>
    <col min="9490" max="9490" width="11.42578125" style="348" customWidth="1"/>
    <col min="9491" max="9491" width="13.5703125" style="348" customWidth="1"/>
    <col min="9492" max="9492" width="0.42578125" style="348" customWidth="1"/>
    <col min="9493" max="9493" width="13.5703125" style="348" customWidth="1"/>
    <col min="9494" max="9494" width="11.42578125" style="348" bestFit="1" customWidth="1"/>
    <col min="9495" max="9495" width="9.85546875" style="348" customWidth="1"/>
    <col min="9496" max="9496" width="11.42578125" style="348" customWidth="1"/>
    <col min="9497" max="9498" width="13.5703125" style="348" customWidth="1"/>
    <col min="9499" max="9499" width="10.5703125" style="348" customWidth="1"/>
    <col min="9500" max="9500" width="11.5703125" style="348" customWidth="1"/>
    <col min="9501" max="9722" width="1" style="348"/>
    <col min="9723" max="9723" width="0" style="348" hidden="1" customWidth="1"/>
    <col min="9724" max="9724" width="14.140625" style="348" bestFit="1" customWidth="1"/>
    <col min="9725" max="9725" width="32.140625" style="348" customWidth="1"/>
    <col min="9726" max="9726" width="0.42578125" style="348" customWidth="1"/>
    <col min="9727" max="9727" width="13.5703125" style="348" customWidth="1"/>
    <col min="9728" max="9729" width="11.42578125" style="348" bestFit="1" customWidth="1"/>
    <col min="9730" max="9730" width="9.85546875" style="348" customWidth="1"/>
    <col min="9731" max="9731" width="11.42578125" style="348" customWidth="1"/>
    <col min="9732" max="9732" width="13.5703125" style="348" customWidth="1"/>
    <col min="9733" max="9733" width="0.42578125" style="348" customWidth="1"/>
    <col min="9734" max="9734" width="13.5703125" style="348" customWidth="1"/>
    <col min="9735" max="9736" width="11.42578125" style="348" bestFit="1" customWidth="1"/>
    <col min="9737" max="9737" width="9.85546875" style="348" customWidth="1"/>
    <col min="9738" max="9738" width="11.42578125" style="348" bestFit="1" customWidth="1"/>
    <col min="9739" max="9739" width="11.42578125" style="348" customWidth="1"/>
    <col min="9740" max="9741" width="13.5703125" style="348" customWidth="1"/>
    <col min="9742" max="9742" width="0.42578125" style="348" customWidth="1"/>
    <col min="9743" max="9743" width="13.5703125" style="348" customWidth="1"/>
    <col min="9744" max="9744" width="11.42578125" style="348" bestFit="1" customWidth="1"/>
    <col min="9745" max="9745" width="9.85546875" style="348" customWidth="1"/>
    <col min="9746" max="9746" width="11.42578125" style="348" customWidth="1"/>
    <col min="9747" max="9747" width="13.5703125" style="348" customWidth="1"/>
    <col min="9748" max="9748" width="0.42578125" style="348" customWidth="1"/>
    <col min="9749" max="9749" width="13.5703125" style="348" customWidth="1"/>
    <col min="9750" max="9750" width="11.42578125" style="348" bestFit="1" customWidth="1"/>
    <col min="9751" max="9751" width="9.85546875" style="348" customWidth="1"/>
    <col min="9752" max="9752" width="11.42578125" style="348" customWidth="1"/>
    <col min="9753" max="9754" width="13.5703125" style="348" customWidth="1"/>
    <col min="9755" max="9755" width="10.5703125" style="348" customWidth="1"/>
    <col min="9756" max="9756" width="11.5703125" style="348" customWidth="1"/>
    <col min="9757" max="9978" width="1" style="348"/>
    <col min="9979" max="9979" width="0" style="348" hidden="1" customWidth="1"/>
    <col min="9980" max="9980" width="14.140625" style="348" bestFit="1" customWidth="1"/>
    <col min="9981" max="9981" width="32.140625" style="348" customWidth="1"/>
    <col min="9982" max="9982" width="0.42578125" style="348" customWidth="1"/>
    <col min="9983" max="9983" width="13.5703125" style="348" customWidth="1"/>
    <col min="9984" max="9985" width="11.42578125" style="348" bestFit="1" customWidth="1"/>
    <col min="9986" max="9986" width="9.85546875" style="348" customWidth="1"/>
    <col min="9987" max="9987" width="11.42578125" style="348" customWidth="1"/>
    <col min="9988" max="9988" width="13.5703125" style="348" customWidth="1"/>
    <col min="9989" max="9989" width="0.42578125" style="348" customWidth="1"/>
    <col min="9990" max="9990" width="13.5703125" style="348" customWidth="1"/>
    <col min="9991" max="9992" width="11.42578125" style="348" bestFit="1" customWidth="1"/>
    <col min="9993" max="9993" width="9.85546875" style="348" customWidth="1"/>
    <col min="9994" max="9994" width="11.42578125" style="348" bestFit="1" customWidth="1"/>
    <col min="9995" max="9995" width="11.42578125" style="348" customWidth="1"/>
    <col min="9996" max="9997" width="13.5703125" style="348" customWidth="1"/>
    <col min="9998" max="9998" width="0.42578125" style="348" customWidth="1"/>
    <col min="9999" max="9999" width="13.5703125" style="348" customWidth="1"/>
    <col min="10000" max="10000" width="11.42578125" style="348" bestFit="1" customWidth="1"/>
    <col min="10001" max="10001" width="9.85546875" style="348" customWidth="1"/>
    <col min="10002" max="10002" width="11.42578125" style="348" customWidth="1"/>
    <col min="10003" max="10003" width="13.5703125" style="348" customWidth="1"/>
    <col min="10004" max="10004" width="0.42578125" style="348" customWidth="1"/>
    <col min="10005" max="10005" width="13.5703125" style="348" customWidth="1"/>
    <col min="10006" max="10006" width="11.42578125" style="348" bestFit="1" customWidth="1"/>
    <col min="10007" max="10007" width="9.85546875" style="348" customWidth="1"/>
    <col min="10008" max="10008" width="11.42578125" style="348" customWidth="1"/>
    <col min="10009" max="10010" width="13.5703125" style="348" customWidth="1"/>
    <col min="10011" max="10011" width="10.5703125" style="348" customWidth="1"/>
    <col min="10012" max="10012" width="11.5703125" style="348" customWidth="1"/>
    <col min="10013" max="10234" width="1" style="348"/>
    <col min="10235" max="10235" width="0" style="348" hidden="1" customWidth="1"/>
    <col min="10236" max="10236" width="14.140625" style="348" bestFit="1" customWidth="1"/>
    <col min="10237" max="10237" width="32.140625" style="348" customWidth="1"/>
    <col min="10238" max="10238" width="0.42578125" style="348" customWidth="1"/>
    <col min="10239" max="10239" width="13.5703125" style="348" customWidth="1"/>
    <col min="10240" max="10241" width="11.42578125" style="348" bestFit="1" customWidth="1"/>
    <col min="10242" max="10242" width="9.85546875" style="348" customWidth="1"/>
    <col min="10243" max="10243" width="11.42578125" style="348" customWidth="1"/>
    <col min="10244" max="10244" width="13.5703125" style="348" customWidth="1"/>
    <col min="10245" max="10245" width="0.42578125" style="348" customWidth="1"/>
    <col min="10246" max="10246" width="13.5703125" style="348" customWidth="1"/>
    <col min="10247" max="10248" width="11.42578125" style="348" bestFit="1" customWidth="1"/>
    <col min="10249" max="10249" width="9.85546875" style="348" customWidth="1"/>
    <col min="10250" max="10250" width="11.42578125" style="348" bestFit="1" customWidth="1"/>
    <col min="10251" max="10251" width="11.42578125" style="348" customWidth="1"/>
    <col min="10252" max="10253" width="13.5703125" style="348" customWidth="1"/>
    <col min="10254" max="10254" width="0.42578125" style="348" customWidth="1"/>
    <col min="10255" max="10255" width="13.5703125" style="348" customWidth="1"/>
    <col min="10256" max="10256" width="11.42578125" style="348" bestFit="1" customWidth="1"/>
    <col min="10257" max="10257" width="9.85546875" style="348" customWidth="1"/>
    <col min="10258" max="10258" width="11.42578125" style="348" customWidth="1"/>
    <col min="10259" max="10259" width="13.5703125" style="348" customWidth="1"/>
    <col min="10260" max="10260" width="0.42578125" style="348" customWidth="1"/>
    <col min="10261" max="10261" width="13.5703125" style="348" customWidth="1"/>
    <col min="10262" max="10262" width="11.42578125" style="348" bestFit="1" customWidth="1"/>
    <col min="10263" max="10263" width="9.85546875" style="348" customWidth="1"/>
    <col min="10264" max="10264" width="11.42578125" style="348" customWidth="1"/>
    <col min="10265" max="10266" width="13.5703125" style="348" customWidth="1"/>
    <col min="10267" max="10267" width="10.5703125" style="348" customWidth="1"/>
    <col min="10268" max="10268" width="11.5703125" style="348" customWidth="1"/>
    <col min="10269" max="10490" width="1" style="348"/>
    <col min="10491" max="10491" width="0" style="348" hidden="1" customWidth="1"/>
    <col min="10492" max="10492" width="14.140625" style="348" bestFit="1" customWidth="1"/>
    <col min="10493" max="10493" width="32.140625" style="348" customWidth="1"/>
    <col min="10494" max="10494" width="0.42578125" style="348" customWidth="1"/>
    <col min="10495" max="10495" width="13.5703125" style="348" customWidth="1"/>
    <col min="10496" max="10497" width="11.42578125" style="348" bestFit="1" customWidth="1"/>
    <col min="10498" max="10498" width="9.85546875" style="348" customWidth="1"/>
    <col min="10499" max="10499" width="11.42578125" style="348" customWidth="1"/>
    <col min="10500" max="10500" width="13.5703125" style="348" customWidth="1"/>
    <col min="10501" max="10501" width="0.42578125" style="348" customWidth="1"/>
    <col min="10502" max="10502" width="13.5703125" style="348" customWidth="1"/>
    <col min="10503" max="10504" width="11.42578125" style="348" bestFit="1" customWidth="1"/>
    <col min="10505" max="10505" width="9.85546875" style="348" customWidth="1"/>
    <col min="10506" max="10506" width="11.42578125" style="348" bestFit="1" customWidth="1"/>
    <col min="10507" max="10507" width="11.42578125" style="348" customWidth="1"/>
    <col min="10508" max="10509" width="13.5703125" style="348" customWidth="1"/>
    <col min="10510" max="10510" width="0.42578125" style="348" customWidth="1"/>
    <col min="10511" max="10511" width="13.5703125" style="348" customWidth="1"/>
    <col min="10512" max="10512" width="11.42578125" style="348" bestFit="1" customWidth="1"/>
    <col min="10513" max="10513" width="9.85546875" style="348" customWidth="1"/>
    <col min="10514" max="10514" width="11.42578125" style="348" customWidth="1"/>
    <col min="10515" max="10515" width="13.5703125" style="348" customWidth="1"/>
    <col min="10516" max="10516" width="0.42578125" style="348" customWidth="1"/>
    <col min="10517" max="10517" width="13.5703125" style="348" customWidth="1"/>
    <col min="10518" max="10518" width="11.42578125" style="348" bestFit="1" customWidth="1"/>
    <col min="10519" max="10519" width="9.85546875" style="348" customWidth="1"/>
    <col min="10520" max="10520" width="11.42578125" style="348" customWidth="1"/>
    <col min="10521" max="10522" width="13.5703125" style="348" customWidth="1"/>
    <col min="10523" max="10523" width="10.5703125" style="348" customWidth="1"/>
    <col min="10524" max="10524" width="11.5703125" style="348" customWidth="1"/>
    <col min="10525" max="10746" width="1" style="348"/>
    <col min="10747" max="10747" width="0" style="348" hidden="1" customWidth="1"/>
    <col min="10748" max="10748" width="14.140625" style="348" bestFit="1" customWidth="1"/>
    <col min="10749" max="10749" width="32.140625" style="348" customWidth="1"/>
    <col min="10750" max="10750" width="0.42578125" style="348" customWidth="1"/>
    <col min="10751" max="10751" width="13.5703125" style="348" customWidth="1"/>
    <col min="10752" max="10753" width="11.42578125" style="348" bestFit="1" customWidth="1"/>
    <col min="10754" max="10754" width="9.85546875" style="348" customWidth="1"/>
    <col min="10755" max="10755" width="11.42578125" style="348" customWidth="1"/>
    <col min="10756" max="10756" width="13.5703125" style="348" customWidth="1"/>
    <col min="10757" max="10757" width="0.42578125" style="348" customWidth="1"/>
    <col min="10758" max="10758" width="13.5703125" style="348" customWidth="1"/>
    <col min="10759" max="10760" width="11.42578125" style="348" bestFit="1" customWidth="1"/>
    <col min="10761" max="10761" width="9.85546875" style="348" customWidth="1"/>
    <col min="10762" max="10762" width="11.42578125" style="348" bestFit="1" customWidth="1"/>
    <col min="10763" max="10763" width="11.42578125" style="348" customWidth="1"/>
    <col min="10764" max="10765" width="13.5703125" style="348" customWidth="1"/>
    <col min="10766" max="10766" width="0.42578125" style="348" customWidth="1"/>
    <col min="10767" max="10767" width="13.5703125" style="348" customWidth="1"/>
    <col min="10768" max="10768" width="11.42578125" style="348" bestFit="1" customWidth="1"/>
    <col min="10769" max="10769" width="9.85546875" style="348" customWidth="1"/>
    <col min="10770" max="10770" width="11.42578125" style="348" customWidth="1"/>
    <col min="10771" max="10771" width="13.5703125" style="348" customWidth="1"/>
    <col min="10772" max="10772" width="0.42578125" style="348" customWidth="1"/>
    <col min="10773" max="10773" width="13.5703125" style="348" customWidth="1"/>
    <col min="10774" max="10774" width="11.42578125" style="348" bestFit="1" customWidth="1"/>
    <col min="10775" max="10775" width="9.85546875" style="348" customWidth="1"/>
    <col min="10776" max="10776" width="11.42578125" style="348" customWidth="1"/>
    <col min="10777" max="10778" width="13.5703125" style="348" customWidth="1"/>
    <col min="10779" max="10779" width="10.5703125" style="348" customWidth="1"/>
    <col min="10780" max="10780" width="11.5703125" style="348" customWidth="1"/>
    <col min="10781" max="11002" width="1" style="348"/>
    <col min="11003" max="11003" width="0" style="348" hidden="1" customWidth="1"/>
    <col min="11004" max="11004" width="14.140625" style="348" bestFit="1" customWidth="1"/>
    <col min="11005" max="11005" width="32.140625" style="348" customWidth="1"/>
    <col min="11006" max="11006" width="0.42578125" style="348" customWidth="1"/>
    <col min="11007" max="11007" width="13.5703125" style="348" customWidth="1"/>
    <col min="11008" max="11009" width="11.42578125" style="348" bestFit="1" customWidth="1"/>
    <col min="11010" max="11010" width="9.85546875" style="348" customWidth="1"/>
    <col min="11011" max="11011" width="11.42578125" style="348" customWidth="1"/>
    <col min="11012" max="11012" width="13.5703125" style="348" customWidth="1"/>
    <col min="11013" max="11013" width="0.42578125" style="348" customWidth="1"/>
    <col min="11014" max="11014" width="13.5703125" style="348" customWidth="1"/>
    <col min="11015" max="11016" width="11.42578125" style="348" bestFit="1" customWidth="1"/>
    <col min="11017" max="11017" width="9.85546875" style="348" customWidth="1"/>
    <col min="11018" max="11018" width="11.42578125" style="348" bestFit="1" customWidth="1"/>
    <col min="11019" max="11019" width="11.42578125" style="348" customWidth="1"/>
    <col min="11020" max="11021" width="13.5703125" style="348" customWidth="1"/>
    <col min="11022" max="11022" width="0.42578125" style="348" customWidth="1"/>
    <col min="11023" max="11023" width="13.5703125" style="348" customWidth="1"/>
    <col min="11024" max="11024" width="11.42578125" style="348" bestFit="1" customWidth="1"/>
    <col min="11025" max="11025" width="9.85546875" style="348" customWidth="1"/>
    <col min="11026" max="11026" width="11.42578125" style="348" customWidth="1"/>
    <col min="11027" max="11027" width="13.5703125" style="348" customWidth="1"/>
    <col min="11028" max="11028" width="0.42578125" style="348" customWidth="1"/>
    <col min="11029" max="11029" width="13.5703125" style="348" customWidth="1"/>
    <col min="11030" max="11030" width="11.42578125" style="348" bestFit="1" customWidth="1"/>
    <col min="11031" max="11031" width="9.85546875" style="348" customWidth="1"/>
    <col min="11032" max="11032" width="11.42578125" style="348" customWidth="1"/>
    <col min="11033" max="11034" width="13.5703125" style="348" customWidth="1"/>
    <col min="11035" max="11035" width="10.5703125" style="348" customWidth="1"/>
    <col min="11036" max="11036" width="11.5703125" style="348" customWidth="1"/>
    <col min="11037" max="11258" width="1" style="348"/>
    <col min="11259" max="11259" width="0" style="348" hidden="1" customWidth="1"/>
    <col min="11260" max="11260" width="14.140625" style="348" bestFit="1" customWidth="1"/>
    <col min="11261" max="11261" width="32.140625" style="348" customWidth="1"/>
    <col min="11262" max="11262" width="0.42578125" style="348" customWidth="1"/>
    <col min="11263" max="11263" width="13.5703125" style="348" customWidth="1"/>
    <col min="11264" max="11265" width="11.42578125" style="348" bestFit="1" customWidth="1"/>
    <col min="11266" max="11266" width="9.85546875" style="348" customWidth="1"/>
    <col min="11267" max="11267" width="11.42578125" style="348" customWidth="1"/>
    <col min="11268" max="11268" width="13.5703125" style="348" customWidth="1"/>
    <col min="11269" max="11269" width="0.42578125" style="348" customWidth="1"/>
    <col min="11270" max="11270" width="13.5703125" style="348" customWidth="1"/>
    <col min="11271" max="11272" width="11.42578125" style="348" bestFit="1" customWidth="1"/>
    <col min="11273" max="11273" width="9.85546875" style="348" customWidth="1"/>
    <col min="11274" max="11274" width="11.42578125" style="348" bestFit="1" customWidth="1"/>
    <col min="11275" max="11275" width="11.42578125" style="348" customWidth="1"/>
    <col min="11276" max="11277" width="13.5703125" style="348" customWidth="1"/>
    <col min="11278" max="11278" width="0.42578125" style="348" customWidth="1"/>
    <col min="11279" max="11279" width="13.5703125" style="348" customWidth="1"/>
    <col min="11280" max="11280" width="11.42578125" style="348" bestFit="1" customWidth="1"/>
    <col min="11281" max="11281" width="9.85546875" style="348" customWidth="1"/>
    <col min="11282" max="11282" width="11.42578125" style="348" customWidth="1"/>
    <col min="11283" max="11283" width="13.5703125" style="348" customWidth="1"/>
    <col min="11284" max="11284" width="0.42578125" style="348" customWidth="1"/>
    <col min="11285" max="11285" width="13.5703125" style="348" customWidth="1"/>
    <col min="11286" max="11286" width="11.42578125" style="348" bestFit="1" customWidth="1"/>
    <col min="11287" max="11287" width="9.85546875" style="348" customWidth="1"/>
    <col min="11288" max="11288" width="11.42578125" style="348" customWidth="1"/>
    <col min="11289" max="11290" width="13.5703125" style="348" customWidth="1"/>
    <col min="11291" max="11291" width="10.5703125" style="348" customWidth="1"/>
    <col min="11292" max="11292" width="11.5703125" style="348" customWidth="1"/>
    <col min="11293" max="11514" width="1" style="348"/>
    <col min="11515" max="11515" width="0" style="348" hidden="1" customWidth="1"/>
    <col min="11516" max="11516" width="14.140625" style="348" bestFit="1" customWidth="1"/>
    <col min="11517" max="11517" width="32.140625" style="348" customWidth="1"/>
    <col min="11518" max="11518" width="0.42578125" style="348" customWidth="1"/>
    <col min="11519" max="11519" width="13.5703125" style="348" customWidth="1"/>
    <col min="11520" max="11521" width="11.42578125" style="348" bestFit="1" customWidth="1"/>
    <col min="11522" max="11522" width="9.85546875" style="348" customWidth="1"/>
    <col min="11523" max="11523" width="11.42578125" style="348" customWidth="1"/>
    <col min="11524" max="11524" width="13.5703125" style="348" customWidth="1"/>
    <col min="11525" max="11525" width="0.42578125" style="348" customWidth="1"/>
    <col min="11526" max="11526" width="13.5703125" style="348" customWidth="1"/>
    <col min="11527" max="11528" width="11.42578125" style="348" bestFit="1" customWidth="1"/>
    <col min="11529" max="11529" width="9.85546875" style="348" customWidth="1"/>
    <col min="11530" max="11530" width="11.42578125" style="348" bestFit="1" customWidth="1"/>
    <col min="11531" max="11531" width="11.42578125" style="348" customWidth="1"/>
    <col min="11532" max="11533" width="13.5703125" style="348" customWidth="1"/>
    <col min="11534" max="11534" width="0.42578125" style="348" customWidth="1"/>
    <col min="11535" max="11535" width="13.5703125" style="348" customWidth="1"/>
    <col min="11536" max="11536" width="11.42578125" style="348" bestFit="1" customWidth="1"/>
    <col min="11537" max="11537" width="9.85546875" style="348" customWidth="1"/>
    <col min="11538" max="11538" width="11.42578125" style="348" customWidth="1"/>
    <col min="11539" max="11539" width="13.5703125" style="348" customWidth="1"/>
    <col min="11540" max="11540" width="0.42578125" style="348" customWidth="1"/>
    <col min="11541" max="11541" width="13.5703125" style="348" customWidth="1"/>
    <col min="11542" max="11542" width="11.42578125" style="348" bestFit="1" customWidth="1"/>
    <col min="11543" max="11543" width="9.85546875" style="348" customWidth="1"/>
    <col min="11544" max="11544" width="11.42578125" style="348" customWidth="1"/>
    <col min="11545" max="11546" width="13.5703125" style="348" customWidth="1"/>
    <col min="11547" max="11547" width="10.5703125" style="348" customWidth="1"/>
    <col min="11548" max="11548" width="11.5703125" style="348" customWidth="1"/>
    <col min="11549" max="11770" width="1" style="348"/>
    <col min="11771" max="11771" width="0" style="348" hidden="1" customWidth="1"/>
    <col min="11772" max="11772" width="14.140625" style="348" bestFit="1" customWidth="1"/>
    <col min="11773" max="11773" width="32.140625" style="348" customWidth="1"/>
    <col min="11774" max="11774" width="0.42578125" style="348" customWidth="1"/>
    <col min="11775" max="11775" width="13.5703125" style="348" customWidth="1"/>
    <col min="11776" max="11777" width="11.42578125" style="348" bestFit="1" customWidth="1"/>
    <col min="11778" max="11778" width="9.85546875" style="348" customWidth="1"/>
    <col min="11779" max="11779" width="11.42578125" style="348" customWidth="1"/>
    <col min="11780" max="11780" width="13.5703125" style="348" customWidth="1"/>
    <col min="11781" max="11781" width="0.42578125" style="348" customWidth="1"/>
    <col min="11782" max="11782" width="13.5703125" style="348" customWidth="1"/>
    <col min="11783" max="11784" width="11.42578125" style="348" bestFit="1" customWidth="1"/>
    <col min="11785" max="11785" width="9.85546875" style="348" customWidth="1"/>
    <col min="11786" max="11786" width="11.42578125" style="348" bestFit="1" customWidth="1"/>
    <col min="11787" max="11787" width="11.42578125" style="348" customWidth="1"/>
    <col min="11788" max="11789" width="13.5703125" style="348" customWidth="1"/>
    <col min="11790" max="11790" width="0.42578125" style="348" customWidth="1"/>
    <col min="11791" max="11791" width="13.5703125" style="348" customWidth="1"/>
    <col min="11792" max="11792" width="11.42578125" style="348" bestFit="1" customWidth="1"/>
    <col min="11793" max="11793" width="9.85546875" style="348" customWidth="1"/>
    <col min="11794" max="11794" width="11.42578125" style="348" customWidth="1"/>
    <col min="11795" max="11795" width="13.5703125" style="348" customWidth="1"/>
    <col min="11796" max="11796" width="0.42578125" style="348" customWidth="1"/>
    <col min="11797" max="11797" width="13.5703125" style="348" customWidth="1"/>
    <col min="11798" max="11798" width="11.42578125" style="348" bestFit="1" customWidth="1"/>
    <col min="11799" max="11799" width="9.85546875" style="348" customWidth="1"/>
    <col min="11800" max="11800" width="11.42578125" style="348" customWidth="1"/>
    <col min="11801" max="11802" width="13.5703125" style="348" customWidth="1"/>
    <col min="11803" max="11803" width="10.5703125" style="348" customWidth="1"/>
    <col min="11804" max="11804" width="11.5703125" style="348" customWidth="1"/>
    <col min="11805" max="12026" width="1" style="348"/>
    <col min="12027" max="12027" width="0" style="348" hidden="1" customWidth="1"/>
    <col min="12028" max="12028" width="14.140625" style="348" bestFit="1" customWidth="1"/>
    <col min="12029" max="12029" width="32.140625" style="348" customWidth="1"/>
    <col min="12030" max="12030" width="0.42578125" style="348" customWidth="1"/>
    <col min="12031" max="12031" width="13.5703125" style="348" customWidth="1"/>
    <col min="12032" max="12033" width="11.42578125" style="348" bestFit="1" customWidth="1"/>
    <col min="12034" max="12034" width="9.85546875" style="348" customWidth="1"/>
    <col min="12035" max="12035" width="11.42578125" style="348" customWidth="1"/>
    <col min="12036" max="12036" width="13.5703125" style="348" customWidth="1"/>
    <col min="12037" max="12037" width="0.42578125" style="348" customWidth="1"/>
    <col min="12038" max="12038" width="13.5703125" style="348" customWidth="1"/>
    <col min="12039" max="12040" width="11.42578125" style="348" bestFit="1" customWidth="1"/>
    <col min="12041" max="12041" width="9.85546875" style="348" customWidth="1"/>
    <col min="12042" max="12042" width="11.42578125" style="348" bestFit="1" customWidth="1"/>
    <col min="12043" max="12043" width="11.42578125" style="348" customWidth="1"/>
    <col min="12044" max="12045" width="13.5703125" style="348" customWidth="1"/>
    <col min="12046" max="12046" width="0.42578125" style="348" customWidth="1"/>
    <col min="12047" max="12047" width="13.5703125" style="348" customWidth="1"/>
    <col min="12048" max="12048" width="11.42578125" style="348" bestFit="1" customWidth="1"/>
    <col min="12049" max="12049" width="9.85546875" style="348" customWidth="1"/>
    <col min="12050" max="12050" width="11.42578125" style="348" customWidth="1"/>
    <col min="12051" max="12051" width="13.5703125" style="348" customWidth="1"/>
    <col min="12052" max="12052" width="0.42578125" style="348" customWidth="1"/>
    <col min="12053" max="12053" width="13.5703125" style="348" customWidth="1"/>
    <col min="12054" max="12054" width="11.42578125" style="348" bestFit="1" customWidth="1"/>
    <col min="12055" max="12055" width="9.85546875" style="348" customWidth="1"/>
    <col min="12056" max="12056" width="11.42578125" style="348" customWidth="1"/>
    <col min="12057" max="12058" width="13.5703125" style="348" customWidth="1"/>
    <col min="12059" max="12059" width="10.5703125" style="348" customWidth="1"/>
    <col min="12060" max="12060" width="11.5703125" style="348" customWidth="1"/>
    <col min="12061" max="12282" width="1" style="348"/>
    <col min="12283" max="12283" width="0" style="348" hidden="1" customWidth="1"/>
    <col min="12284" max="12284" width="14.140625" style="348" bestFit="1" customWidth="1"/>
    <col min="12285" max="12285" width="32.140625" style="348" customWidth="1"/>
    <col min="12286" max="12286" width="0.42578125" style="348" customWidth="1"/>
    <col min="12287" max="12287" width="13.5703125" style="348" customWidth="1"/>
    <col min="12288" max="12289" width="11.42578125" style="348" bestFit="1" customWidth="1"/>
    <col min="12290" max="12290" width="9.85546875" style="348" customWidth="1"/>
    <col min="12291" max="12291" width="11.42578125" style="348" customWidth="1"/>
    <col min="12292" max="12292" width="13.5703125" style="348" customWidth="1"/>
    <col min="12293" max="12293" width="0.42578125" style="348" customWidth="1"/>
    <col min="12294" max="12294" width="13.5703125" style="348" customWidth="1"/>
    <col min="12295" max="12296" width="11.42578125" style="348" bestFit="1" customWidth="1"/>
    <col min="12297" max="12297" width="9.85546875" style="348" customWidth="1"/>
    <col min="12298" max="12298" width="11.42578125" style="348" bestFit="1" customWidth="1"/>
    <col min="12299" max="12299" width="11.42578125" style="348" customWidth="1"/>
    <col min="12300" max="12301" width="13.5703125" style="348" customWidth="1"/>
    <col min="12302" max="12302" width="0.42578125" style="348" customWidth="1"/>
    <col min="12303" max="12303" width="13.5703125" style="348" customWidth="1"/>
    <col min="12304" max="12304" width="11.42578125" style="348" bestFit="1" customWidth="1"/>
    <col min="12305" max="12305" width="9.85546875" style="348" customWidth="1"/>
    <col min="12306" max="12306" width="11.42578125" style="348" customWidth="1"/>
    <col min="12307" max="12307" width="13.5703125" style="348" customWidth="1"/>
    <col min="12308" max="12308" width="0.42578125" style="348" customWidth="1"/>
    <col min="12309" max="12309" width="13.5703125" style="348" customWidth="1"/>
    <col min="12310" max="12310" width="11.42578125" style="348" bestFit="1" customWidth="1"/>
    <col min="12311" max="12311" width="9.85546875" style="348" customWidth="1"/>
    <col min="12312" max="12312" width="11.42578125" style="348" customWidth="1"/>
    <col min="12313" max="12314" width="13.5703125" style="348" customWidth="1"/>
    <col min="12315" max="12315" width="10.5703125" style="348" customWidth="1"/>
    <col min="12316" max="12316" width="11.5703125" style="348" customWidth="1"/>
    <col min="12317" max="12538" width="1" style="348"/>
    <col min="12539" max="12539" width="0" style="348" hidden="1" customWidth="1"/>
    <col min="12540" max="12540" width="14.140625" style="348" bestFit="1" customWidth="1"/>
    <col min="12541" max="12541" width="32.140625" style="348" customWidth="1"/>
    <col min="12542" max="12542" width="0.42578125" style="348" customWidth="1"/>
    <col min="12543" max="12543" width="13.5703125" style="348" customWidth="1"/>
    <col min="12544" max="12545" width="11.42578125" style="348" bestFit="1" customWidth="1"/>
    <col min="12546" max="12546" width="9.85546875" style="348" customWidth="1"/>
    <col min="12547" max="12547" width="11.42578125" style="348" customWidth="1"/>
    <col min="12548" max="12548" width="13.5703125" style="348" customWidth="1"/>
    <col min="12549" max="12549" width="0.42578125" style="348" customWidth="1"/>
    <col min="12550" max="12550" width="13.5703125" style="348" customWidth="1"/>
    <col min="12551" max="12552" width="11.42578125" style="348" bestFit="1" customWidth="1"/>
    <col min="12553" max="12553" width="9.85546875" style="348" customWidth="1"/>
    <col min="12554" max="12554" width="11.42578125" style="348" bestFit="1" customWidth="1"/>
    <col min="12555" max="12555" width="11.42578125" style="348" customWidth="1"/>
    <col min="12556" max="12557" width="13.5703125" style="348" customWidth="1"/>
    <col min="12558" max="12558" width="0.42578125" style="348" customWidth="1"/>
    <col min="12559" max="12559" width="13.5703125" style="348" customWidth="1"/>
    <col min="12560" max="12560" width="11.42578125" style="348" bestFit="1" customWidth="1"/>
    <col min="12561" max="12561" width="9.85546875" style="348" customWidth="1"/>
    <col min="12562" max="12562" width="11.42578125" style="348" customWidth="1"/>
    <col min="12563" max="12563" width="13.5703125" style="348" customWidth="1"/>
    <col min="12564" max="12564" width="0.42578125" style="348" customWidth="1"/>
    <col min="12565" max="12565" width="13.5703125" style="348" customWidth="1"/>
    <col min="12566" max="12566" width="11.42578125" style="348" bestFit="1" customWidth="1"/>
    <col min="12567" max="12567" width="9.85546875" style="348" customWidth="1"/>
    <col min="12568" max="12568" width="11.42578125" style="348" customWidth="1"/>
    <col min="12569" max="12570" width="13.5703125" style="348" customWidth="1"/>
    <col min="12571" max="12571" width="10.5703125" style="348" customWidth="1"/>
    <col min="12572" max="12572" width="11.5703125" style="348" customWidth="1"/>
    <col min="12573" max="12794" width="1" style="348"/>
    <col min="12795" max="12795" width="0" style="348" hidden="1" customWidth="1"/>
    <col min="12796" max="12796" width="14.140625" style="348" bestFit="1" customWidth="1"/>
    <col min="12797" max="12797" width="32.140625" style="348" customWidth="1"/>
    <col min="12798" max="12798" width="0.42578125" style="348" customWidth="1"/>
    <col min="12799" max="12799" width="13.5703125" style="348" customWidth="1"/>
    <col min="12800" max="12801" width="11.42578125" style="348" bestFit="1" customWidth="1"/>
    <col min="12802" max="12802" width="9.85546875" style="348" customWidth="1"/>
    <col min="12803" max="12803" width="11.42578125" style="348" customWidth="1"/>
    <col min="12804" max="12804" width="13.5703125" style="348" customWidth="1"/>
    <col min="12805" max="12805" width="0.42578125" style="348" customWidth="1"/>
    <col min="12806" max="12806" width="13.5703125" style="348" customWidth="1"/>
    <col min="12807" max="12808" width="11.42578125" style="348" bestFit="1" customWidth="1"/>
    <col min="12809" max="12809" width="9.85546875" style="348" customWidth="1"/>
    <col min="12810" max="12810" width="11.42578125" style="348" bestFit="1" customWidth="1"/>
    <col min="12811" max="12811" width="11.42578125" style="348" customWidth="1"/>
    <col min="12812" max="12813" width="13.5703125" style="348" customWidth="1"/>
    <col min="12814" max="12814" width="0.42578125" style="348" customWidth="1"/>
    <col min="12815" max="12815" width="13.5703125" style="348" customWidth="1"/>
    <col min="12816" max="12816" width="11.42578125" style="348" bestFit="1" customWidth="1"/>
    <col min="12817" max="12817" width="9.85546875" style="348" customWidth="1"/>
    <col min="12818" max="12818" width="11.42578125" style="348" customWidth="1"/>
    <col min="12819" max="12819" width="13.5703125" style="348" customWidth="1"/>
    <col min="12820" max="12820" width="0.42578125" style="348" customWidth="1"/>
    <col min="12821" max="12821" width="13.5703125" style="348" customWidth="1"/>
    <col min="12822" max="12822" width="11.42578125" style="348" bestFit="1" customWidth="1"/>
    <col min="12823" max="12823" width="9.85546875" style="348" customWidth="1"/>
    <col min="12824" max="12824" width="11.42578125" style="348" customWidth="1"/>
    <col min="12825" max="12826" width="13.5703125" style="348" customWidth="1"/>
    <col min="12827" max="12827" width="10.5703125" style="348" customWidth="1"/>
    <col min="12828" max="12828" width="11.5703125" style="348" customWidth="1"/>
    <col min="12829" max="13050" width="1" style="348"/>
    <col min="13051" max="13051" width="0" style="348" hidden="1" customWidth="1"/>
    <col min="13052" max="13052" width="14.140625" style="348" bestFit="1" customWidth="1"/>
    <col min="13053" max="13053" width="32.140625" style="348" customWidth="1"/>
    <col min="13054" max="13054" width="0.42578125" style="348" customWidth="1"/>
    <col min="13055" max="13055" width="13.5703125" style="348" customWidth="1"/>
    <col min="13056" max="13057" width="11.42578125" style="348" bestFit="1" customWidth="1"/>
    <col min="13058" max="13058" width="9.85546875" style="348" customWidth="1"/>
    <col min="13059" max="13059" width="11.42578125" style="348" customWidth="1"/>
    <col min="13060" max="13060" width="13.5703125" style="348" customWidth="1"/>
    <col min="13061" max="13061" width="0.42578125" style="348" customWidth="1"/>
    <col min="13062" max="13062" width="13.5703125" style="348" customWidth="1"/>
    <col min="13063" max="13064" width="11.42578125" style="348" bestFit="1" customWidth="1"/>
    <col min="13065" max="13065" width="9.85546875" style="348" customWidth="1"/>
    <col min="13066" max="13066" width="11.42578125" style="348" bestFit="1" customWidth="1"/>
    <col min="13067" max="13067" width="11.42578125" style="348" customWidth="1"/>
    <col min="13068" max="13069" width="13.5703125" style="348" customWidth="1"/>
    <col min="13070" max="13070" width="0.42578125" style="348" customWidth="1"/>
    <col min="13071" max="13071" width="13.5703125" style="348" customWidth="1"/>
    <col min="13072" max="13072" width="11.42578125" style="348" bestFit="1" customWidth="1"/>
    <col min="13073" max="13073" width="9.85546875" style="348" customWidth="1"/>
    <col min="13074" max="13074" width="11.42578125" style="348" customWidth="1"/>
    <col min="13075" max="13075" width="13.5703125" style="348" customWidth="1"/>
    <col min="13076" max="13076" width="0.42578125" style="348" customWidth="1"/>
    <col min="13077" max="13077" width="13.5703125" style="348" customWidth="1"/>
    <col min="13078" max="13078" width="11.42578125" style="348" bestFit="1" customWidth="1"/>
    <col min="13079" max="13079" width="9.85546875" style="348" customWidth="1"/>
    <col min="13080" max="13080" width="11.42578125" style="348" customWidth="1"/>
    <col min="13081" max="13082" width="13.5703125" style="348" customWidth="1"/>
    <col min="13083" max="13083" width="10.5703125" style="348" customWidth="1"/>
    <col min="13084" max="13084" width="11.5703125" style="348" customWidth="1"/>
    <col min="13085" max="13306" width="1" style="348"/>
    <col min="13307" max="13307" width="0" style="348" hidden="1" customWidth="1"/>
    <col min="13308" max="13308" width="14.140625" style="348" bestFit="1" customWidth="1"/>
    <col min="13309" max="13309" width="32.140625" style="348" customWidth="1"/>
    <col min="13310" max="13310" width="0.42578125" style="348" customWidth="1"/>
    <col min="13311" max="13311" width="13.5703125" style="348" customWidth="1"/>
    <col min="13312" max="13313" width="11.42578125" style="348" bestFit="1" customWidth="1"/>
    <col min="13314" max="13314" width="9.85546875" style="348" customWidth="1"/>
    <col min="13315" max="13315" width="11.42578125" style="348" customWidth="1"/>
    <col min="13316" max="13316" width="13.5703125" style="348" customWidth="1"/>
    <col min="13317" max="13317" width="0.42578125" style="348" customWidth="1"/>
    <col min="13318" max="13318" width="13.5703125" style="348" customWidth="1"/>
    <col min="13319" max="13320" width="11.42578125" style="348" bestFit="1" customWidth="1"/>
    <col min="13321" max="13321" width="9.85546875" style="348" customWidth="1"/>
    <col min="13322" max="13322" width="11.42578125" style="348" bestFit="1" customWidth="1"/>
    <col min="13323" max="13323" width="11.42578125" style="348" customWidth="1"/>
    <col min="13324" max="13325" width="13.5703125" style="348" customWidth="1"/>
    <col min="13326" max="13326" width="0.42578125" style="348" customWidth="1"/>
    <col min="13327" max="13327" width="13.5703125" style="348" customWidth="1"/>
    <col min="13328" max="13328" width="11.42578125" style="348" bestFit="1" customWidth="1"/>
    <col min="13329" max="13329" width="9.85546875" style="348" customWidth="1"/>
    <col min="13330" max="13330" width="11.42578125" style="348" customWidth="1"/>
    <col min="13331" max="13331" width="13.5703125" style="348" customWidth="1"/>
    <col min="13332" max="13332" width="0.42578125" style="348" customWidth="1"/>
    <col min="13333" max="13333" width="13.5703125" style="348" customWidth="1"/>
    <col min="13334" max="13334" width="11.42578125" style="348" bestFit="1" customWidth="1"/>
    <col min="13335" max="13335" width="9.85546875" style="348" customWidth="1"/>
    <col min="13336" max="13336" width="11.42578125" style="348" customWidth="1"/>
    <col min="13337" max="13338" width="13.5703125" style="348" customWidth="1"/>
    <col min="13339" max="13339" width="10.5703125" style="348" customWidth="1"/>
    <col min="13340" max="13340" width="11.5703125" style="348" customWidth="1"/>
    <col min="13341" max="13562" width="1" style="348"/>
    <col min="13563" max="13563" width="0" style="348" hidden="1" customWidth="1"/>
    <col min="13564" max="13564" width="14.140625" style="348" bestFit="1" customWidth="1"/>
    <col min="13565" max="13565" width="32.140625" style="348" customWidth="1"/>
    <col min="13566" max="13566" width="0.42578125" style="348" customWidth="1"/>
    <col min="13567" max="13567" width="13.5703125" style="348" customWidth="1"/>
    <col min="13568" max="13569" width="11.42578125" style="348" bestFit="1" customWidth="1"/>
    <col min="13570" max="13570" width="9.85546875" style="348" customWidth="1"/>
    <col min="13571" max="13571" width="11.42578125" style="348" customWidth="1"/>
    <col min="13572" max="13572" width="13.5703125" style="348" customWidth="1"/>
    <col min="13573" max="13573" width="0.42578125" style="348" customWidth="1"/>
    <col min="13574" max="13574" width="13.5703125" style="348" customWidth="1"/>
    <col min="13575" max="13576" width="11.42578125" style="348" bestFit="1" customWidth="1"/>
    <col min="13577" max="13577" width="9.85546875" style="348" customWidth="1"/>
    <col min="13578" max="13578" width="11.42578125" style="348" bestFit="1" customWidth="1"/>
    <col min="13579" max="13579" width="11.42578125" style="348" customWidth="1"/>
    <col min="13580" max="13581" width="13.5703125" style="348" customWidth="1"/>
    <col min="13582" max="13582" width="0.42578125" style="348" customWidth="1"/>
    <col min="13583" max="13583" width="13.5703125" style="348" customWidth="1"/>
    <col min="13584" max="13584" width="11.42578125" style="348" bestFit="1" customWidth="1"/>
    <col min="13585" max="13585" width="9.85546875" style="348" customWidth="1"/>
    <col min="13586" max="13586" width="11.42578125" style="348" customWidth="1"/>
    <col min="13587" max="13587" width="13.5703125" style="348" customWidth="1"/>
    <col min="13588" max="13588" width="0.42578125" style="348" customWidth="1"/>
    <col min="13589" max="13589" width="13.5703125" style="348" customWidth="1"/>
    <col min="13590" max="13590" width="11.42578125" style="348" bestFit="1" customWidth="1"/>
    <col min="13591" max="13591" width="9.85546875" style="348" customWidth="1"/>
    <col min="13592" max="13592" width="11.42578125" style="348" customWidth="1"/>
    <col min="13593" max="13594" width="13.5703125" style="348" customWidth="1"/>
    <col min="13595" max="13595" width="10.5703125" style="348" customWidth="1"/>
    <col min="13596" max="13596" width="11.5703125" style="348" customWidth="1"/>
    <col min="13597" max="13818" width="1" style="348"/>
    <col min="13819" max="13819" width="0" style="348" hidden="1" customWidth="1"/>
    <col min="13820" max="13820" width="14.140625" style="348" bestFit="1" customWidth="1"/>
    <col min="13821" max="13821" width="32.140625" style="348" customWidth="1"/>
    <col min="13822" max="13822" width="0.42578125" style="348" customWidth="1"/>
    <col min="13823" max="13823" width="13.5703125" style="348" customWidth="1"/>
    <col min="13824" max="13825" width="11.42578125" style="348" bestFit="1" customWidth="1"/>
    <col min="13826" max="13826" width="9.85546875" style="348" customWidth="1"/>
    <col min="13827" max="13827" width="11.42578125" style="348" customWidth="1"/>
    <col min="13828" max="13828" width="13.5703125" style="348" customWidth="1"/>
    <col min="13829" max="13829" width="0.42578125" style="348" customWidth="1"/>
    <col min="13830" max="13830" width="13.5703125" style="348" customWidth="1"/>
    <col min="13831" max="13832" width="11.42578125" style="348" bestFit="1" customWidth="1"/>
    <col min="13833" max="13833" width="9.85546875" style="348" customWidth="1"/>
    <col min="13834" max="13834" width="11.42578125" style="348" bestFit="1" customWidth="1"/>
    <col min="13835" max="13835" width="11.42578125" style="348" customWidth="1"/>
    <col min="13836" max="13837" width="13.5703125" style="348" customWidth="1"/>
    <col min="13838" max="13838" width="0.42578125" style="348" customWidth="1"/>
    <col min="13839" max="13839" width="13.5703125" style="348" customWidth="1"/>
    <col min="13840" max="13840" width="11.42578125" style="348" bestFit="1" customWidth="1"/>
    <col min="13841" max="13841" width="9.85546875" style="348" customWidth="1"/>
    <col min="13842" max="13842" width="11.42578125" style="348" customWidth="1"/>
    <col min="13843" max="13843" width="13.5703125" style="348" customWidth="1"/>
    <col min="13844" max="13844" width="0.42578125" style="348" customWidth="1"/>
    <col min="13845" max="13845" width="13.5703125" style="348" customWidth="1"/>
    <col min="13846" max="13846" width="11.42578125" style="348" bestFit="1" customWidth="1"/>
    <col min="13847" max="13847" width="9.85546875" style="348" customWidth="1"/>
    <col min="13848" max="13848" width="11.42578125" style="348" customWidth="1"/>
    <col min="13849" max="13850" width="13.5703125" style="348" customWidth="1"/>
    <col min="13851" max="13851" width="10.5703125" style="348" customWidth="1"/>
    <col min="13852" max="13852" width="11.5703125" style="348" customWidth="1"/>
    <col min="13853" max="14074" width="1" style="348"/>
    <col min="14075" max="14075" width="0" style="348" hidden="1" customWidth="1"/>
    <col min="14076" max="14076" width="14.140625" style="348" bestFit="1" customWidth="1"/>
    <col min="14077" max="14077" width="32.140625" style="348" customWidth="1"/>
    <col min="14078" max="14078" width="0.42578125" style="348" customWidth="1"/>
    <col min="14079" max="14079" width="13.5703125" style="348" customWidth="1"/>
    <col min="14080" max="14081" width="11.42578125" style="348" bestFit="1" customWidth="1"/>
    <col min="14082" max="14082" width="9.85546875" style="348" customWidth="1"/>
    <col min="14083" max="14083" width="11.42578125" style="348" customWidth="1"/>
    <col min="14084" max="14084" width="13.5703125" style="348" customWidth="1"/>
    <col min="14085" max="14085" width="0.42578125" style="348" customWidth="1"/>
    <col min="14086" max="14086" width="13.5703125" style="348" customWidth="1"/>
    <col min="14087" max="14088" width="11.42578125" style="348" bestFit="1" customWidth="1"/>
    <col min="14089" max="14089" width="9.85546875" style="348" customWidth="1"/>
    <col min="14090" max="14090" width="11.42578125" style="348" bestFit="1" customWidth="1"/>
    <col min="14091" max="14091" width="11.42578125" style="348" customWidth="1"/>
    <col min="14092" max="14093" width="13.5703125" style="348" customWidth="1"/>
    <col min="14094" max="14094" width="0.42578125" style="348" customWidth="1"/>
    <col min="14095" max="14095" width="13.5703125" style="348" customWidth="1"/>
    <col min="14096" max="14096" width="11.42578125" style="348" bestFit="1" customWidth="1"/>
    <col min="14097" max="14097" width="9.85546875" style="348" customWidth="1"/>
    <col min="14098" max="14098" width="11.42578125" style="348" customWidth="1"/>
    <col min="14099" max="14099" width="13.5703125" style="348" customWidth="1"/>
    <col min="14100" max="14100" width="0.42578125" style="348" customWidth="1"/>
    <col min="14101" max="14101" width="13.5703125" style="348" customWidth="1"/>
    <col min="14102" max="14102" width="11.42578125" style="348" bestFit="1" customWidth="1"/>
    <col min="14103" max="14103" width="9.85546875" style="348" customWidth="1"/>
    <col min="14104" max="14104" width="11.42578125" style="348" customWidth="1"/>
    <col min="14105" max="14106" width="13.5703125" style="348" customWidth="1"/>
    <col min="14107" max="14107" width="10.5703125" style="348" customWidth="1"/>
    <col min="14108" max="14108" width="11.5703125" style="348" customWidth="1"/>
    <col min="14109" max="14330" width="1" style="348"/>
    <col min="14331" max="14331" width="0" style="348" hidden="1" customWidth="1"/>
    <col min="14332" max="14332" width="14.140625" style="348" bestFit="1" customWidth="1"/>
    <col min="14333" max="14333" width="32.140625" style="348" customWidth="1"/>
    <col min="14334" max="14334" width="0.42578125" style="348" customWidth="1"/>
    <col min="14335" max="14335" width="13.5703125" style="348" customWidth="1"/>
    <col min="14336" max="14337" width="11.42578125" style="348" bestFit="1" customWidth="1"/>
    <col min="14338" max="14338" width="9.85546875" style="348" customWidth="1"/>
    <col min="14339" max="14339" width="11.42578125" style="348" customWidth="1"/>
    <col min="14340" max="14340" width="13.5703125" style="348" customWidth="1"/>
    <col min="14341" max="14341" width="0.42578125" style="348" customWidth="1"/>
    <col min="14342" max="14342" width="13.5703125" style="348" customWidth="1"/>
    <col min="14343" max="14344" width="11.42578125" style="348" bestFit="1" customWidth="1"/>
    <col min="14345" max="14345" width="9.85546875" style="348" customWidth="1"/>
    <col min="14346" max="14346" width="11.42578125" style="348" bestFit="1" customWidth="1"/>
    <col min="14347" max="14347" width="11.42578125" style="348" customWidth="1"/>
    <col min="14348" max="14349" width="13.5703125" style="348" customWidth="1"/>
    <col min="14350" max="14350" width="0.42578125" style="348" customWidth="1"/>
    <col min="14351" max="14351" width="13.5703125" style="348" customWidth="1"/>
    <col min="14352" max="14352" width="11.42578125" style="348" bestFit="1" customWidth="1"/>
    <col min="14353" max="14353" width="9.85546875" style="348" customWidth="1"/>
    <col min="14354" max="14354" width="11.42578125" style="348" customWidth="1"/>
    <col min="14355" max="14355" width="13.5703125" style="348" customWidth="1"/>
    <col min="14356" max="14356" width="0.42578125" style="348" customWidth="1"/>
    <col min="14357" max="14357" width="13.5703125" style="348" customWidth="1"/>
    <col min="14358" max="14358" width="11.42578125" style="348" bestFit="1" customWidth="1"/>
    <col min="14359" max="14359" width="9.85546875" style="348" customWidth="1"/>
    <col min="14360" max="14360" width="11.42578125" style="348" customWidth="1"/>
    <col min="14361" max="14362" width="13.5703125" style="348" customWidth="1"/>
    <col min="14363" max="14363" width="10.5703125" style="348" customWidth="1"/>
    <col min="14364" max="14364" width="11.5703125" style="348" customWidth="1"/>
    <col min="14365" max="14586" width="1" style="348"/>
    <col min="14587" max="14587" width="0" style="348" hidden="1" customWidth="1"/>
    <col min="14588" max="14588" width="14.140625" style="348" bestFit="1" customWidth="1"/>
    <col min="14589" max="14589" width="32.140625" style="348" customWidth="1"/>
    <col min="14590" max="14590" width="0.42578125" style="348" customWidth="1"/>
    <col min="14591" max="14591" width="13.5703125" style="348" customWidth="1"/>
    <col min="14592" max="14593" width="11.42578125" style="348" bestFit="1" customWidth="1"/>
    <col min="14594" max="14594" width="9.85546875" style="348" customWidth="1"/>
    <col min="14595" max="14595" width="11.42578125" style="348" customWidth="1"/>
    <col min="14596" max="14596" width="13.5703125" style="348" customWidth="1"/>
    <col min="14597" max="14597" width="0.42578125" style="348" customWidth="1"/>
    <col min="14598" max="14598" width="13.5703125" style="348" customWidth="1"/>
    <col min="14599" max="14600" width="11.42578125" style="348" bestFit="1" customWidth="1"/>
    <col min="14601" max="14601" width="9.85546875" style="348" customWidth="1"/>
    <col min="14602" max="14602" width="11.42578125" style="348" bestFit="1" customWidth="1"/>
    <col min="14603" max="14603" width="11.42578125" style="348" customWidth="1"/>
    <col min="14604" max="14605" width="13.5703125" style="348" customWidth="1"/>
    <col min="14606" max="14606" width="0.42578125" style="348" customWidth="1"/>
    <col min="14607" max="14607" width="13.5703125" style="348" customWidth="1"/>
    <col min="14608" max="14608" width="11.42578125" style="348" bestFit="1" customWidth="1"/>
    <col min="14609" max="14609" width="9.85546875" style="348" customWidth="1"/>
    <col min="14610" max="14610" width="11.42578125" style="348" customWidth="1"/>
    <col min="14611" max="14611" width="13.5703125" style="348" customWidth="1"/>
    <col min="14612" max="14612" width="0.42578125" style="348" customWidth="1"/>
    <col min="14613" max="14613" width="13.5703125" style="348" customWidth="1"/>
    <col min="14614" max="14614" width="11.42578125" style="348" bestFit="1" customWidth="1"/>
    <col min="14615" max="14615" width="9.85546875" style="348" customWidth="1"/>
    <col min="14616" max="14616" width="11.42578125" style="348" customWidth="1"/>
    <col min="14617" max="14618" width="13.5703125" style="348" customWidth="1"/>
    <col min="14619" max="14619" width="10.5703125" style="348" customWidth="1"/>
    <col min="14620" max="14620" width="11.5703125" style="348" customWidth="1"/>
    <col min="14621" max="14842" width="1" style="348"/>
    <col min="14843" max="14843" width="0" style="348" hidden="1" customWidth="1"/>
    <col min="14844" max="14844" width="14.140625" style="348" bestFit="1" customWidth="1"/>
    <col min="14845" max="14845" width="32.140625" style="348" customWidth="1"/>
    <col min="14846" max="14846" width="0.42578125" style="348" customWidth="1"/>
    <col min="14847" max="14847" width="13.5703125" style="348" customWidth="1"/>
    <col min="14848" max="14849" width="11.42578125" style="348" bestFit="1" customWidth="1"/>
    <col min="14850" max="14850" width="9.85546875" style="348" customWidth="1"/>
    <col min="14851" max="14851" width="11.42578125" style="348" customWidth="1"/>
    <col min="14852" max="14852" width="13.5703125" style="348" customWidth="1"/>
    <col min="14853" max="14853" width="0.42578125" style="348" customWidth="1"/>
    <col min="14854" max="14854" width="13.5703125" style="348" customWidth="1"/>
    <col min="14855" max="14856" width="11.42578125" style="348" bestFit="1" customWidth="1"/>
    <col min="14857" max="14857" width="9.85546875" style="348" customWidth="1"/>
    <col min="14858" max="14858" width="11.42578125" style="348" bestFit="1" customWidth="1"/>
    <col min="14859" max="14859" width="11.42578125" style="348" customWidth="1"/>
    <col min="14860" max="14861" width="13.5703125" style="348" customWidth="1"/>
    <col min="14862" max="14862" width="0.42578125" style="348" customWidth="1"/>
    <col min="14863" max="14863" width="13.5703125" style="348" customWidth="1"/>
    <col min="14864" max="14864" width="11.42578125" style="348" bestFit="1" customWidth="1"/>
    <col min="14865" max="14865" width="9.85546875" style="348" customWidth="1"/>
    <col min="14866" max="14866" width="11.42578125" style="348" customWidth="1"/>
    <col min="14867" max="14867" width="13.5703125" style="348" customWidth="1"/>
    <col min="14868" max="14868" width="0.42578125" style="348" customWidth="1"/>
    <col min="14869" max="14869" width="13.5703125" style="348" customWidth="1"/>
    <col min="14870" max="14870" width="11.42578125" style="348" bestFit="1" customWidth="1"/>
    <col min="14871" max="14871" width="9.85546875" style="348" customWidth="1"/>
    <col min="14872" max="14872" width="11.42578125" style="348" customWidth="1"/>
    <col min="14873" max="14874" width="13.5703125" style="348" customWidth="1"/>
    <col min="14875" max="14875" width="10.5703125" style="348" customWidth="1"/>
    <col min="14876" max="14876" width="11.5703125" style="348" customWidth="1"/>
    <col min="14877" max="15098" width="1" style="348"/>
    <col min="15099" max="15099" width="0" style="348" hidden="1" customWidth="1"/>
    <col min="15100" max="15100" width="14.140625" style="348" bestFit="1" customWidth="1"/>
    <col min="15101" max="15101" width="32.140625" style="348" customWidth="1"/>
    <col min="15102" max="15102" width="0.42578125" style="348" customWidth="1"/>
    <col min="15103" max="15103" width="13.5703125" style="348" customWidth="1"/>
    <col min="15104" max="15105" width="11.42578125" style="348" bestFit="1" customWidth="1"/>
    <col min="15106" max="15106" width="9.85546875" style="348" customWidth="1"/>
    <col min="15107" max="15107" width="11.42578125" style="348" customWidth="1"/>
    <col min="15108" max="15108" width="13.5703125" style="348" customWidth="1"/>
    <col min="15109" max="15109" width="0.42578125" style="348" customWidth="1"/>
    <col min="15110" max="15110" width="13.5703125" style="348" customWidth="1"/>
    <col min="15111" max="15112" width="11.42578125" style="348" bestFit="1" customWidth="1"/>
    <col min="15113" max="15113" width="9.85546875" style="348" customWidth="1"/>
    <col min="15114" max="15114" width="11.42578125" style="348" bestFit="1" customWidth="1"/>
    <col min="15115" max="15115" width="11.42578125" style="348" customWidth="1"/>
    <col min="15116" max="15117" width="13.5703125" style="348" customWidth="1"/>
    <col min="15118" max="15118" width="0.42578125" style="348" customWidth="1"/>
    <col min="15119" max="15119" width="13.5703125" style="348" customWidth="1"/>
    <col min="15120" max="15120" width="11.42578125" style="348" bestFit="1" customWidth="1"/>
    <col min="15121" max="15121" width="9.85546875" style="348" customWidth="1"/>
    <col min="15122" max="15122" width="11.42578125" style="348" customWidth="1"/>
    <col min="15123" max="15123" width="13.5703125" style="348" customWidth="1"/>
    <col min="15124" max="15124" width="0.42578125" style="348" customWidth="1"/>
    <col min="15125" max="15125" width="13.5703125" style="348" customWidth="1"/>
    <col min="15126" max="15126" width="11.42578125" style="348" bestFit="1" customWidth="1"/>
    <col min="15127" max="15127" width="9.85546875" style="348" customWidth="1"/>
    <col min="15128" max="15128" width="11.42578125" style="348" customWidth="1"/>
    <col min="15129" max="15130" width="13.5703125" style="348" customWidth="1"/>
    <col min="15131" max="15131" width="10.5703125" style="348" customWidth="1"/>
    <col min="15132" max="15132" width="11.5703125" style="348" customWidth="1"/>
    <col min="15133" max="15354" width="1" style="348"/>
    <col min="15355" max="15355" width="0" style="348" hidden="1" customWidth="1"/>
    <col min="15356" max="15356" width="14.140625" style="348" bestFit="1" customWidth="1"/>
    <col min="15357" max="15357" width="32.140625" style="348" customWidth="1"/>
    <col min="15358" max="15358" width="0.42578125" style="348" customWidth="1"/>
    <col min="15359" max="15359" width="13.5703125" style="348" customWidth="1"/>
    <col min="15360" max="15361" width="11.42578125" style="348" bestFit="1" customWidth="1"/>
    <col min="15362" max="15362" width="9.85546875" style="348" customWidth="1"/>
    <col min="15363" max="15363" width="11.42578125" style="348" customWidth="1"/>
    <col min="15364" max="15364" width="13.5703125" style="348" customWidth="1"/>
    <col min="15365" max="15365" width="0.42578125" style="348" customWidth="1"/>
    <col min="15366" max="15366" width="13.5703125" style="348" customWidth="1"/>
    <col min="15367" max="15368" width="11.42578125" style="348" bestFit="1" customWidth="1"/>
    <col min="15369" max="15369" width="9.85546875" style="348" customWidth="1"/>
    <col min="15370" max="15370" width="11.42578125" style="348" bestFit="1" customWidth="1"/>
    <col min="15371" max="15371" width="11.42578125" style="348" customWidth="1"/>
    <col min="15372" max="15373" width="13.5703125" style="348" customWidth="1"/>
    <col min="15374" max="15374" width="0.42578125" style="348" customWidth="1"/>
    <col min="15375" max="15375" width="13.5703125" style="348" customWidth="1"/>
    <col min="15376" max="15376" width="11.42578125" style="348" bestFit="1" customWidth="1"/>
    <col min="15377" max="15377" width="9.85546875" style="348" customWidth="1"/>
    <col min="15378" max="15378" width="11.42578125" style="348" customWidth="1"/>
    <col min="15379" max="15379" width="13.5703125" style="348" customWidth="1"/>
    <col min="15380" max="15380" width="0.42578125" style="348" customWidth="1"/>
    <col min="15381" max="15381" width="13.5703125" style="348" customWidth="1"/>
    <col min="15382" max="15382" width="11.42578125" style="348" bestFit="1" customWidth="1"/>
    <col min="15383" max="15383" width="9.85546875" style="348" customWidth="1"/>
    <col min="15384" max="15384" width="11.42578125" style="348" customWidth="1"/>
    <col min="15385" max="15386" width="13.5703125" style="348" customWidth="1"/>
    <col min="15387" max="15387" width="10.5703125" style="348" customWidth="1"/>
    <col min="15388" max="15388" width="11.5703125" style="348" customWidth="1"/>
    <col min="15389" max="15610" width="1" style="348"/>
    <col min="15611" max="15611" width="0" style="348" hidden="1" customWidth="1"/>
    <col min="15612" max="15612" width="14.140625" style="348" bestFit="1" customWidth="1"/>
    <col min="15613" max="15613" width="32.140625" style="348" customWidth="1"/>
    <col min="15614" max="15614" width="0.42578125" style="348" customWidth="1"/>
    <col min="15615" max="15615" width="13.5703125" style="348" customWidth="1"/>
    <col min="15616" max="15617" width="11.42578125" style="348" bestFit="1" customWidth="1"/>
    <col min="15618" max="15618" width="9.85546875" style="348" customWidth="1"/>
    <col min="15619" max="15619" width="11.42578125" style="348" customWidth="1"/>
    <col min="15620" max="15620" width="13.5703125" style="348" customWidth="1"/>
    <col min="15621" max="15621" width="0.42578125" style="348" customWidth="1"/>
    <col min="15622" max="15622" width="13.5703125" style="348" customWidth="1"/>
    <col min="15623" max="15624" width="11.42578125" style="348" bestFit="1" customWidth="1"/>
    <col min="15625" max="15625" width="9.85546875" style="348" customWidth="1"/>
    <col min="15626" max="15626" width="11.42578125" style="348" bestFit="1" customWidth="1"/>
    <col min="15627" max="15627" width="11.42578125" style="348" customWidth="1"/>
    <col min="15628" max="15629" width="13.5703125" style="348" customWidth="1"/>
    <col min="15630" max="15630" width="0.42578125" style="348" customWidth="1"/>
    <col min="15631" max="15631" width="13.5703125" style="348" customWidth="1"/>
    <col min="15632" max="15632" width="11.42578125" style="348" bestFit="1" customWidth="1"/>
    <col min="15633" max="15633" width="9.85546875" style="348" customWidth="1"/>
    <col min="15634" max="15634" width="11.42578125" style="348" customWidth="1"/>
    <col min="15635" max="15635" width="13.5703125" style="348" customWidth="1"/>
    <col min="15636" max="15636" width="0.42578125" style="348" customWidth="1"/>
    <col min="15637" max="15637" width="13.5703125" style="348" customWidth="1"/>
    <col min="15638" max="15638" width="11.42578125" style="348" bestFit="1" customWidth="1"/>
    <col min="15639" max="15639" width="9.85546875" style="348" customWidth="1"/>
    <col min="15640" max="15640" width="11.42578125" style="348" customWidth="1"/>
    <col min="15641" max="15642" width="13.5703125" style="348" customWidth="1"/>
    <col min="15643" max="15643" width="10.5703125" style="348" customWidth="1"/>
    <col min="15644" max="15644" width="11.5703125" style="348" customWidth="1"/>
    <col min="15645" max="15866" width="1" style="348"/>
    <col min="15867" max="15867" width="0" style="348" hidden="1" customWidth="1"/>
    <col min="15868" max="15868" width="14.140625" style="348" bestFit="1" customWidth="1"/>
    <col min="15869" max="15869" width="32.140625" style="348" customWidth="1"/>
    <col min="15870" max="15870" width="0.42578125" style="348" customWidth="1"/>
    <col min="15871" max="15871" width="13.5703125" style="348" customWidth="1"/>
    <col min="15872" max="15873" width="11.42578125" style="348" bestFit="1" customWidth="1"/>
    <col min="15874" max="15874" width="9.85546875" style="348" customWidth="1"/>
    <col min="15875" max="15875" width="11.42578125" style="348" customWidth="1"/>
    <col min="15876" max="15876" width="13.5703125" style="348" customWidth="1"/>
    <col min="15877" max="15877" width="0.42578125" style="348" customWidth="1"/>
    <col min="15878" max="15878" width="13.5703125" style="348" customWidth="1"/>
    <col min="15879" max="15880" width="11.42578125" style="348" bestFit="1" customWidth="1"/>
    <col min="15881" max="15881" width="9.85546875" style="348" customWidth="1"/>
    <col min="15882" max="15882" width="11.42578125" style="348" bestFit="1" customWidth="1"/>
    <col min="15883" max="15883" width="11.42578125" style="348" customWidth="1"/>
    <col min="15884" max="15885" width="13.5703125" style="348" customWidth="1"/>
    <col min="15886" max="15886" width="0.42578125" style="348" customWidth="1"/>
    <col min="15887" max="15887" width="13.5703125" style="348" customWidth="1"/>
    <col min="15888" max="15888" width="11.42578125" style="348" bestFit="1" customWidth="1"/>
    <col min="15889" max="15889" width="9.85546875" style="348" customWidth="1"/>
    <col min="15890" max="15890" width="11.42578125" style="348" customWidth="1"/>
    <col min="15891" max="15891" width="13.5703125" style="348" customWidth="1"/>
    <col min="15892" max="15892" width="0.42578125" style="348" customWidth="1"/>
    <col min="15893" max="15893" width="13.5703125" style="348" customWidth="1"/>
    <col min="15894" max="15894" width="11.42578125" style="348" bestFit="1" customWidth="1"/>
    <col min="15895" max="15895" width="9.85546875" style="348" customWidth="1"/>
    <col min="15896" max="15896" width="11.42578125" style="348" customWidth="1"/>
    <col min="15897" max="15898" width="13.5703125" style="348" customWidth="1"/>
    <col min="15899" max="15899" width="10.5703125" style="348" customWidth="1"/>
    <col min="15900" max="15900" width="11.5703125" style="348" customWidth="1"/>
    <col min="15901" max="16122" width="1" style="348"/>
    <col min="16123" max="16123" width="0" style="348" hidden="1" customWidth="1"/>
    <col min="16124" max="16124" width="14.140625" style="348" bestFit="1" customWidth="1"/>
    <col min="16125" max="16125" width="32.140625" style="348" customWidth="1"/>
    <col min="16126" max="16126" width="0.42578125" style="348" customWidth="1"/>
    <col min="16127" max="16127" width="13.5703125" style="348" customWidth="1"/>
    <col min="16128" max="16129" width="11.42578125" style="348" bestFit="1" customWidth="1"/>
    <col min="16130" max="16130" width="9.85546875" style="348" customWidth="1"/>
    <col min="16131" max="16131" width="11.42578125" style="348" customWidth="1"/>
    <col min="16132" max="16132" width="13.5703125" style="348" customWidth="1"/>
    <col min="16133" max="16133" width="0.42578125" style="348" customWidth="1"/>
    <col min="16134" max="16134" width="13.5703125" style="348" customWidth="1"/>
    <col min="16135" max="16136" width="11.42578125" style="348" bestFit="1" customWidth="1"/>
    <col min="16137" max="16137" width="9.85546875" style="348" customWidth="1"/>
    <col min="16138" max="16138" width="11.42578125" style="348" bestFit="1" customWidth="1"/>
    <col min="16139" max="16139" width="11.42578125" style="348" customWidth="1"/>
    <col min="16140" max="16141" width="13.5703125" style="348" customWidth="1"/>
    <col min="16142" max="16142" width="0.42578125" style="348" customWidth="1"/>
    <col min="16143" max="16143" width="13.5703125" style="348" customWidth="1"/>
    <col min="16144" max="16144" width="11.42578125" style="348" bestFit="1" customWidth="1"/>
    <col min="16145" max="16145" width="9.85546875" style="348" customWidth="1"/>
    <col min="16146" max="16146" width="11.42578125" style="348" customWidth="1"/>
    <col min="16147" max="16147" width="13.5703125" style="348" customWidth="1"/>
    <col min="16148" max="16148" width="0.42578125" style="348" customWidth="1"/>
    <col min="16149" max="16149" width="13.5703125" style="348" customWidth="1"/>
    <col min="16150" max="16150" width="11.42578125" style="348" bestFit="1" customWidth="1"/>
    <col min="16151" max="16151" width="9.85546875" style="348" customWidth="1"/>
    <col min="16152" max="16152" width="11.42578125" style="348" customWidth="1"/>
    <col min="16153" max="16154" width="13.5703125" style="348" customWidth="1"/>
    <col min="16155" max="16155" width="10.5703125" style="348" customWidth="1"/>
    <col min="16156" max="16156" width="11.5703125" style="348" customWidth="1"/>
    <col min="16157" max="16384" width="1" style="348"/>
  </cols>
  <sheetData>
    <row r="1" spans="1:28" s="240" customFormat="1" ht="28.5" customHeight="1" x14ac:dyDescent="0.35">
      <c r="A1" s="195"/>
      <c r="B1" s="196"/>
      <c r="C1" s="350"/>
      <c r="D1" s="1071">
        <v>2016</v>
      </c>
      <c r="E1" s="1071"/>
      <c r="F1" s="1071"/>
      <c r="G1" s="1071"/>
      <c r="H1" s="350"/>
      <c r="I1" s="1071">
        <v>2017</v>
      </c>
      <c r="J1" s="1071"/>
      <c r="K1" s="1071"/>
      <c r="L1" s="1071"/>
      <c r="M1" s="1071"/>
      <c r="N1" s="350"/>
      <c r="O1" s="1071">
        <v>2018</v>
      </c>
      <c r="P1" s="1071"/>
      <c r="Q1" s="1071"/>
      <c r="R1" s="1071"/>
      <c r="S1" s="1071"/>
      <c r="T1" s="350"/>
      <c r="U1" s="1071">
        <v>2019</v>
      </c>
      <c r="V1" s="1071"/>
      <c r="W1" s="1071"/>
      <c r="X1" s="1071"/>
      <c r="Y1" s="1071"/>
      <c r="Z1" s="1071"/>
      <c r="AA1" s="176"/>
      <c r="AB1" s="176"/>
    </row>
    <row r="2" spans="1:28" s="163" customFormat="1" ht="46.5" customHeight="1" x14ac:dyDescent="0.2">
      <c r="A2" s="162" t="s">
        <v>272</v>
      </c>
      <c r="B2" s="162" t="s">
        <v>1</v>
      </c>
      <c r="C2" s="344"/>
      <c r="D2" s="351" t="s">
        <v>2437</v>
      </c>
      <c r="E2" s="162" t="s">
        <v>392</v>
      </c>
      <c r="F2" s="200" t="s">
        <v>393</v>
      </c>
      <c r="G2" s="162" t="s">
        <v>341</v>
      </c>
      <c r="H2" s="344"/>
      <c r="I2" s="351" t="s">
        <v>2922</v>
      </c>
      <c r="J2" s="162" t="s">
        <v>392</v>
      </c>
      <c r="K2" s="200" t="s">
        <v>393</v>
      </c>
      <c r="L2" s="200" t="s">
        <v>3058</v>
      </c>
      <c r="M2" s="162" t="s">
        <v>341</v>
      </c>
      <c r="N2" s="344"/>
      <c r="O2" s="351" t="s">
        <v>3062</v>
      </c>
      <c r="P2" s="162" t="s">
        <v>392</v>
      </c>
      <c r="Q2" s="200" t="s">
        <v>393</v>
      </c>
      <c r="R2" s="200" t="s">
        <v>3058</v>
      </c>
      <c r="S2" s="162" t="s">
        <v>341</v>
      </c>
      <c r="T2" s="344"/>
      <c r="U2" s="351" t="s">
        <v>3263</v>
      </c>
      <c r="V2" s="162" t="s">
        <v>392</v>
      </c>
      <c r="W2" s="200" t="s">
        <v>393</v>
      </c>
      <c r="X2" s="200" t="s">
        <v>3058</v>
      </c>
      <c r="Y2" s="200" t="s">
        <v>3479</v>
      </c>
      <c r="Z2" s="162" t="s">
        <v>341</v>
      </c>
      <c r="AA2" s="162" t="s">
        <v>340</v>
      </c>
      <c r="AB2" s="162" t="s">
        <v>6</v>
      </c>
    </row>
    <row r="3" spans="1:28" s="207" customFormat="1" ht="20.25" customHeight="1" x14ac:dyDescent="0.2">
      <c r="A3" s="204"/>
      <c r="B3" s="204" t="s">
        <v>7</v>
      </c>
      <c r="C3" s="344"/>
      <c r="D3" s="352">
        <f>D4+D30</f>
        <v>58316049</v>
      </c>
      <c r="E3" s="352">
        <f>E4+E30</f>
        <v>6851155.5927255489</v>
      </c>
      <c r="F3" s="352">
        <f>F4+F30</f>
        <v>1481862.6806779923</v>
      </c>
      <c r="G3" s="352">
        <f>G4+G30</f>
        <v>66649067.273403548</v>
      </c>
      <c r="H3" s="344"/>
      <c r="I3" s="352">
        <f>I4+I30</f>
        <v>62930650</v>
      </c>
      <c r="J3" s="352">
        <f>J4+J30</f>
        <v>7596033</v>
      </c>
      <c r="K3" s="352">
        <f>K4+K30</f>
        <v>1789850</v>
      </c>
      <c r="L3" s="352">
        <f>L4+L30</f>
        <v>296307</v>
      </c>
      <c r="M3" s="352">
        <f>M4+M30</f>
        <v>72612840</v>
      </c>
      <c r="N3" s="344"/>
      <c r="O3" s="352">
        <f>O4+O30</f>
        <v>70714854</v>
      </c>
      <c r="P3" s="352">
        <f>P4+P30</f>
        <v>7872995.8334861668</v>
      </c>
      <c r="Q3" s="352">
        <f>Q4+Q30</f>
        <v>1827630</v>
      </c>
      <c r="R3" s="352">
        <f>R4+R30</f>
        <v>400000</v>
      </c>
      <c r="S3" s="352">
        <f>S4+S30</f>
        <v>80815479.833486155</v>
      </c>
      <c r="T3" s="344"/>
      <c r="U3" s="352">
        <f t="shared" ref="U3:Z3" si="0">U4+U30+U109</f>
        <v>74185473.001573339</v>
      </c>
      <c r="V3" s="352">
        <f t="shared" si="0"/>
        <v>7993625</v>
      </c>
      <c r="W3" s="352">
        <f t="shared" si="0"/>
        <v>2164744</v>
      </c>
      <c r="X3" s="352">
        <f t="shared" si="0"/>
        <v>546095</v>
      </c>
      <c r="Y3" s="352">
        <f t="shared" si="0"/>
        <v>82044</v>
      </c>
      <c r="Z3" s="352">
        <f t="shared" si="0"/>
        <v>84971981.001573324</v>
      </c>
      <c r="AA3" s="205"/>
      <c r="AB3" s="205"/>
    </row>
    <row r="4" spans="1:28" s="207" customFormat="1" ht="18" customHeight="1" x14ac:dyDescent="0.2">
      <c r="A4" s="1076" t="s">
        <v>2943</v>
      </c>
      <c r="B4" s="1077"/>
      <c r="C4" s="344"/>
      <c r="D4" s="353">
        <f>SUM(D5:D28)</f>
        <v>50202856</v>
      </c>
      <c r="E4" s="353">
        <f>SUM(E5:E28)</f>
        <v>5979058.8025763594</v>
      </c>
      <c r="F4" s="353">
        <f>SUM(F5:F28)</f>
        <v>1481862.6806779923</v>
      </c>
      <c r="G4" s="353">
        <f>SUM(G5:G28)</f>
        <v>57663777.483254358</v>
      </c>
      <c r="H4" s="344"/>
      <c r="I4" s="353">
        <f>SUM(I5:I28)</f>
        <v>53151000</v>
      </c>
      <c r="J4" s="353">
        <f>SUM(J5:J28)</f>
        <v>6910223</v>
      </c>
      <c r="K4" s="353">
        <f>SUM(K5:K28)</f>
        <v>1789850</v>
      </c>
      <c r="L4" s="353">
        <f>SUM(L5:L28)</f>
        <v>0</v>
      </c>
      <c r="M4" s="353">
        <f>SUM(M5:M28)</f>
        <v>61851073</v>
      </c>
      <c r="N4" s="344"/>
      <c r="O4" s="353">
        <f>SUM(O5:O28)</f>
        <v>57000001</v>
      </c>
      <c r="P4" s="353">
        <f>SUM(P5:P28)</f>
        <v>7065032.0600954797</v>
      </c>
      <c r="Q4" s="353">
        <f>SUM(Q5:Q28)</f>
        <v>1827630</v>
      </c>
      <c r="R4" s="353">
        <f>SUM(R5:R28)</f>
        <v>0</v>
      </c>
      <c r="S4" s="353">
        <f>SUM(S5:S28)</f>
        <v>65892663.060095474</v>
      </c>
      <c r="T4" s="344"/>
      <c r="U4" s="353">
        <f t="shared" ref="U4:Z4" si="1">SUM(U5:U28)</f>
        <v>59392018.001573339</v>
      </c>
      <c r="V4" s="353">
        <f t="shared" si="1"/>
        <v>7005621</v>
      </c>
      <c r="W4" s="353">
        <f t="shared" si="1"/>
        <v>2164744</v>
      </c>
      <c r="X4" s="353">
        <f t="shared" si="1"/>
        <v>0</v>
      </c>
      <c r="Y4" s="353">
        <f t="shared" si="1"/>
        <v>18485</v>
      </c>
      <c r="Z4" s="353">
        <f t="shared" si="1"/>
        <v>68580868.001573324</v>
      </c>
      <c r="AA4" s="239"/>
      <c r="AB4" s="239"/>
    </row>
    <row r="5" spans="1:28" ht="31.5" customHeight="1" x14ac:dyDescent="0.2">
      <c r="A5" s="195">
        <v>512295353</v>
      </c>
      <c r="B5" s="791" t="s">
        <v>712</v>
      </c>
      <c r="D5" s="170">
        <v>10517943</v>
      </c>
      <c r="E5" s="356"/>
      <c r="F5" s="357"/>
      <c r="G5" s="358">
        <f t="shared" ref="G5:G28" si="2">SUM(D5:F5)</f>
        <v>10517943</v>
      </c>
      <c r="I5" s="170">
        <v>10437608</v>
      </c>
      <c r="J5" s="356"/>
      <c r="K5" s="357"/>
      <c r="L5" s="357"/>
      <c r="M5" s="358">
        <f t="shared" ref="M5:M28" si="3">SUM(I5:K5)</f>
        <v>10437608</v>
      </c>
      <c r="O5" s="170">
        <v>10419691</v>
      </c>
      <c r="P5" s="356"/>
      <c r="Q5" s="357"/>
      <c r="R5" s="357"/>
      <c r="S5" s="358">
        <f t="shared" ref="S5:S24" si="4">SUM(O5:Q5)</f>
        <v>10419691</v>
      </c>
      <c r="U5" s="170">
        <v>10302445.432226703</v>
      </c>
      <c r="V5" s="356"/>
      <c r="W5" s="357"/>
      <c r="X5" s="357"/>
      <c r="Y5" s="357"/>
      <c r="Z5" s="358">
        <f>SUM(U5:Y5)</f>
        <v>10302445.432226703</v>
      </c>
      <c r="AA5" s="170" t="s">
        <v>73</v>
      </c>
      <c r="AB5" s="170" t="s">
        <v>136</v>
      </c>
    </row>
    <row r="6" spans="1:28" s="359" customFormat="1" ht="36.75" customHeight="1" x14ac:dyDescent="0.2">
      <c r="A6" s="195">
        <v>580037760</v>
      </c>
      <c r="B6" s="791" t="s">
        <v>713</v>
      </c>
      <c r="C6" s="344"/>
      <c r="D6" s="170">
        <v>4344548</v>
      </c>
      <c r="E6" s="170"/>
      <c r="F6" s="215">
        <v>1373939.4947289212</v>
      </c>
      <c r="G6" s="358">
        <f t="shared" si="2"/>
        <v>5718487.494728921</v>
      </c>
      <c r="H6" s="344"/>
      <c r="I6" s="170">
        <v>4489536</v>
      </c>
      <c r="J6" s="170"/>
      <c r="K6" s="215">
        <v>1545182</v>
      </c>
      <c r="L6" s="215"/>
      <c r="M6" s="358">
        <f t="shared" si="3"/>
        <v>6034718</v>
      </c>
      <c r="N6" s="344"/>
      <c r="O6" s="170">
        <v>4468773</v>
      </c>
      <c r="P6" s="170"/>
      <c r="Q6" s="215">
        <v>1572222</v>
      </c>
      <c r="R6" s="215"/>
      <c r="S6" s="358">
        <f t="shared" si="4"/>
        <v>6040995</v>
      </c>
      <c r="T6" s="344"/>
      <c r="U6" s="170">
        <v>4287912.9618225908</v>
      </c>
      <c r="V6" s="170"/>
      <c r="W6" s="215">
        <v>1890017</v>
      </c>
      <c r="X6" s="215"/>
      <c r="Y6" s="215"/>
      <c r="Z6" s="358">
        <f t="shared" ref="Z6:Z28" si="5">SUM(U6:Y6)</f>
        <v>6177929.9618225908</v>
      </c>
      <c r="AA6" s="170" t="s">
        <v>400</v>
      </c>
      <c r="AB6" s="170" t="s">
        <v>32</v>
      </c>
    </row>
    <row r="7" spans="1:28" ht="25.5" x14ac:dyDescent="0.2">
      <c r="A7" s="231">
        <v>580044873</v>
      </c>
      <c r="B7" s="791" t="s">
        <v>714</v>
      </c>
      <c r="D7" s="170">
        <v>2513757</v>
      </c>
      <c r="E7" s="170"/>
      <c r="F7" s="170"/>
      <c r="G7" s="358">
        <f t="shared" si="2"/>
        <v>2513757</v>
      </c>
      <c r="I7" s="170">
        <v>2386512</v>
      </c>
      <c r="J7" s="170"/>
      <c r="K7" s="170"/>
      <c r="L7" s="170"/>
      <c r="M7" s="358">
        <f t="shared" si="3"/>
        <v>2386512</v>
      </c>
      <c r="O7" s="170">
        <v>2321428</v>
      </c>
      <c r="P7" s="170"/>
      <c r="Q7" s="170"/>
      <c r="R7" s="170"/>
      <c r="S7" s="358">
        <f t="shared" si="4"/>
        <v>2321428</v>
      </c>
      <c r="U7" s="170">
        <v>3000000</v>
      </c>
      <c r="V7" s="170"/>
      <c r="W7" s="170"/>
      <c r="X7" s="170"/>
      <c r="Y7" s="170">
        <v>18485</v>
      </c>
      <c r="Z7" s="358">
        <f t="shared" si="5"/>
        <v>3018485</v>
      </c>
      <c r="AA7" s="170" t="s">
        <v>715</v>
      </c>
      <c r="AB7" s="170" t="s">
        <v>136</v>
      </c>
    </row>
    <row r="8" spans="1:28" ht="45" customHeight="1" x14ac:dyDescent="0.2">
      <c r="A8" s="195">
        <v>510145022</v>
      </c>
      <c r="B8" s="791" t="s">
        <v>2941</v>
      </c>
      <c r="D8" s="170">
        <v>3450526</v>
      </c>
      <c r="E8" s="356"/>
      <c r="F8" s="356"/>
      <c r="G8" s="358">
        <f t="shared" si="2"/>
        <v>3450526</v>
      </c>
      <c r="I8" s="170">
        <v>3464865</v>
      </c>
      <c r="J8" s="356"/>
      <c r="K8" s="356"/>
      <c r="L8" s="356"/>
      <c r="M8" s="358">
        <f t="shared" si="3"/>
        <v>3464865</v>
      </c>
      <c r="O8" s="170">
        <v>3420377</v>
      </c>
      <c r="P8" s="356"/>
      <c r="Q8" s="356"/>
      <c r="R8" s="356"/>
      <c r="S8" s="358">
        <f t="shared" si="4"/>
        <v>3420377</v>
      </c>
      <c r="U8" s="170">
        <v>3242687.872148138</v>
      </c>
      <c r="V8" s="356"/>
      <c r="W8" s="356"/>
      <c r="X8" s="356"/>
      <c r="Y8" s="356"/>
      <c r="Z8" s="358">
        <f t="shared" si="5"/>
        <v>3242687.872148138</v>
      </c>
      <c r="AA8" s="170" t="s">
        <v>43</v>
      </c>
      <c r="AB8" s="170" t="s">
        <v>9</v>
      </c>
    </row>
    <row r="9" spans="1:28" ht="33" customHeight="1" x14ac:dyDescent="0.2">
      <c r="A9" s="195">
        <v>510145022</v>
      </c>
      <c r="B9" s="791" t="s">
        <v>2942</v>
      </c>
      <c r="D9" s="170"/>
      <c r="E9" s="356"/>
      <c r="F9" s="356"/>
      <c r="G9" s="358"/>
      <c r="I9" s="170">
        <v>160000</v>
      </c>
      <c r="J9" s="356"/>
      <c r="K9" s="356"/>
      <c r="L9" s="356"/>
      <c r="M9" s="358">
        <f t="shared" si="3"/>
        <v>160000</v>
      </c>
      <c r="O9" s="170">
        <v>250000</v>
      </c>
      <c r="P9" s="356"/>
      <c r="Q9" s="356"/>
      <c r="R9" s="356"/>
      <c r="S9" s="358">
        <f t="shared" si="4"/>
        <v>250000</v>
      </c>
      <c r="U9" s="170">
        <v>300000</v>
      </c>
      <c r="V9" s="356"/>
      <c r="W9" s="356"/>
      <c r="X9" s="356"/>
      <c r="Y9" s="356"/>
      <c r="Z9" s="358">
        <f t="shared" si="5"/>
        <v>300000</v>
      </c>
      <c r="AA9" s="170" t="s">
        <v>43</v>
      </c>
      <c r="AB9" s="170" t="s">
        <v>9</v>
      </c>
    </row>
    <row r="10" spans="1:28" ht="24" customHeight="1" x14ac:dyDescent="0.2">
      <c r="A10" s="195">
        <v>580503605</v>
      </c>
      <c r="B10" s="792" t="s">
        <v>801</v>
      </c>
      <c r="D10" s="170">
        <v>3000000</v>
      </c>
      <c r="E10" s="790"/>
      <c r="F10" s="356"/>
      <c r="G10" s="358">
        <f t="shared" si="2"/>
        <v>3000000</v>
      </c>
      <c r="I10" s="170">
        <v>3461543</v>
      </c>
      <c r="J10" s="790"/>
      <c r="K10" s="356"/>
      <c r="L10" s="356"/>
      <c r="M10" s="358">
        <f t="shared" si="3"/>
        <v>3461543</v>
      </c>
      <c r="O10" s="170">
        <v>3500000</v>
      </c>
      <c r="P10" s="790"/>
      <c r="Q10" s="356"/>
      <c r="R10" s="356"/>
      <c r="S10" s="358">
        <f t="shared" si="4"/>
        <v>3500000</v>
      </c>
      <c r="U10" s="170">
        <v>3388555.3414284345</v>
      </c>
      <c r="V10" s="790"/>
      <c r="W10" s="356"/>
      <c r="X10" s="356"/>
      <c r="Y10" s="356"/>
      <c r="Z10" s="358">
        <f t="shared" si="5"/>
        <v>3388555.3414284345</v>
      </c>
      <c r="AA10" s="170" t="s">
        <v>670</v>
      </c>
      <c r="AB10" s="170" t="s">
        <v>12</v>
      </c>
    </row>
    <row r="11" spans="1:28" ht="25.5" x14ac:dyDescent="0.2">
      <c r="A11" s="195">
        <v>580122034</v>
      </c>
      <c r="B11" s="791" t="s">
        <v>718</v>
      </c>
      <c r="D11" s="170">
        <v>3915147</v>
      </c>
      <c r="E11" s="849">
        <v>3157587.0653926665</v>
      </c>
      <c r="F11" s="170"/>
      <c r="G11" s="358">
        <f t="shared" si="2"/>
        <v>7072734.0653926665</v>
      </c>
      <c r="I11" s="170">
        <f>3800000+494665</f>
        <v>4294665</v>
      </c>
      <c r="J11" s="849">
        <v>2403452</v>
      </c>
      <c r="K11" s="170"/>
      <c r="L11" s="170"/>
      <c r="M11" s="358">
        <f t="shared" si="3"/>
        <v>6698117</v>
      </c>
      <c r="O11" s="170">
        <v>4414749</v>
      </c>
      <c r="P11" s="894">
        <v>2457872.2212288175</v>
      </c>
      <c r="Q11" s="170"/>
      <c r="R11" s="170"/>
      <c r="S11" s="358">
        <f t="shared" si="4"/>
        <v>6872621.2212288175</v>
      </c>
      <c r="U11" s="170">
        <v>4373484.0745853782</v>
      </c>
      <c r="V11" s="894">
        <v>2337522</v>
      </c>
      <c r="W11" s="170"/>
      <c r="X11" s="170"/>
      <c r="Y11" s="170"/>
      <c r="Z11" s="358">
        <f t="shared" si="5"/>
        <v>6711006.0745853782</v>
      </c>
      <c r="AA11" s="170" t="s">
        <v>53</v>
      </c>
      <c r="AB11" s="170" t="s">
        <v>53</v>
      </c>
    </row>
    <row r="12" spans="1:28" ht="18.75" customHeight="1" x14ac:dyDescent="0.2">
      <c r="A12" s="195">
        <v>580256683</v>
      </c>
      <c r="B12" s="791" t="s">
        <v>719</v>
      </c>
      <c r="D12" s="170">
        <v>3813030</v>
      </c>
      <c r="E12" s="849"/>
      <c r="F12" s="356"/>
      <c r="G12" s="358">
        <f t="shared" si="2"/>
        <v>3813030</v>
      </c>
      <c r="I12" s="170">
        <v>3754785</v>
      </c>
      <c r="J12" s="849"/>
      <c r="K12" s="356"/>
      <c r="L12" s="356"/>
      <c r="M12" s="358">
        <f t="shared" si="3"/>
        <v>3754785</v>
      </c>
      <c r="O12" s="170">
        <v>3708612</v>
      </c>
      <c r="P12" s="849"/>
      <c r="Q12" s="356"/>
      <c r="R12" s="356"/>
      <c r="S12" s="358">
        <f t="shared" si="4"/>
        <v>3708612</v>
      </c>
      <c r="U12" s="170">
        <v>3690680.9918620675</v>
      </c>
      <c r="V12" s="849"/>
      <c r="W12" s="356"/>
      <c r="X12" s="356"/>
      <c r="Y12" s="356"/>
      <c r="Z12" s="358">
        <f t="shared" si="5"/>
        <v>3690680.9918620675</v>
      </c>
      <c r="AA12" s="170" t="s">
        <v>720</v>
      </c>
      <c r="AB12" s="170" t="s">
        <v>12</v>
      </c>
    </row>
    <row r="13" spans="1:28" ht="27.75" customHeight="1" x14ac:dyDescent="0.2">
      <c r="A13" s="195">
        <v>580049708</v>
      </c>
      <c r="B13" s="791" t="s">
        <v>721</v>
      </c>
      <c r="D13" s="170">
        <v>3212102</v>
      </c>
      <c r="E13" s="849">
        <v>2631909.566013461</v>
      </c>
      <c r="F13" s="170"/>
      <c r="G13" s="358">
        <f t="shared" si="2"/>
        <v>5844011.566013461</v>
      </c>
      <c r="I13" s="170">
        <v>3623291</v>
      </c>
      <c r="J13" s="849">
        <v>1969012</v>
      </c>
      <c r="K13" s="170"/>
      <c r="L13" s="170"/>
      <c r="M13" s="358">
        <f t="shared" si="3"/>
        <v>5592303</v>
      </c>
      <c r="O13" s="170">
        <v>3752304</v>
      </c>
      <c r="P13" s="894">
        <v>2073639.3405139593</v>
      </c>
      <c r="Q13" s="170"/>
      <c r="R13" s="170"/>
      <c r="S13" s="358">
        <f t="shared" si="4"/>
        <v>5825943.3405139595</v>
      </c>
      <c r="U13" s="170">
        <v>3862969.4603030561</v>
      </c>
      <c r="V13" s="894">
        <v>1986771</v>
      </c>
      <c r="W13" s="170"/>
      <c r="X13" s="170"/>
      <c r="Y13" s="170"/>
      <c r="Z13" s="358">
        <f t="shared" si="5"/>
        <v>5849740.4603030561</v>
      </c>
      <c r="AA13" s="170" t="s">
        <v>53</v>
      </c>
      <c r="AB13" s="170" t="s">
        <v>53</v>
      </c>
    </row>
    <row r="14" spans="1:28" ht="29.25" customHeight="1" x14ac:dyDescent="0.2">
      <c r="A14" s="195">
        <v>580198471</v>
      </c>
      <c r="B14" s="791" t="s">
        <v>722</v>
      </c>
      <c r="D14" s="170">
        <v>3600000</v>
      </c>
      <c r="E14" s="849"/>
      <c r="F14" s="170"/>
      <c r="G14" s="358">
        <f t="shared" si="2"/>
        <v>3600000</v>
      </c>
      <c r="I14" s="170">
        <v>3556239</v>
      </c>
      <c r="J14" s="849"/>
      <c r="K14" s="170"/>
      <c r="L14" s="170"/>
      <c r="M14" s="358">
        <f t="shared" si="3"/>
        <v>3556239</v>
      </c>
      <c r="O14" s="170">
        <v>3681997</v>
      </c>
      <c r="P14" s="849"/>
      <c r="Q14" s="170"/>
      <c r="R14" s="170"/>
      <c r="S14" s="358">
        <f t="shared" si="4"/>
        <v>3681997</v>
      </c>
      <c r="U14" s="170">
        <v>3579381.6000292031</v>
      </c>
      <c r="V14" s="849"/>
      <c r="W14" s="170"/>
      <c r="X14" s="170"/>
      <c r="Y14" s="170"/>
      <c r="Z14" s="358">
        <f t="shared" si="5"/>
        <v>3579381.6000292031</v>
      </c>
      <c r="AA14" s="170" t="s">
        <v>723</v>
      </c>
      <c r="AB14" s="170" t="s">
        <v>12</v>
      </c>
    </row>
    <row r="15" spans="1:28" ht="51.75" customHeight="1" x14ac:dyDescent="0.2">
      <c r="A15" s="195">
        <v>580303808</v>
      </c>
      <c r="B15" s="791" t="s">
        <v>724</v>
      </c>
      <c r="D15" s="170">
        <v>891565</v>
      </c>
      <c r="E15" s="849"/>
      <c r="F15" s="170"/>
      <c r="G15" s="358">
        <f t="shared" si="2"/>
        <v>891565</v>
      </c>
      <c r="I15" s="170">
        <v>770681</v>
      </c>
      <c r="J15" s="849"/>
      <c r="K15" s="170"/>
      <c r="L15" s="170"/>
      <c r="M15" s="358">
        <f t="shared" si="3"/>
        <v>770681</v>
      </c>
      <c r="O15" s="170">
        <v>652933</v>
      </c>
      <c r="P15" s="849"/>
      <c r="Q15" s="170"/>
      <c r="R15" s="170"/>
      <c r="S15" s="358">
        <f t="shared" si="4"/>
        <v>652933</v>
      </c>
      <c r="U15" s="170">
        <v>534614.52266479714</v>
      </c>
      <c r="V15" s="849"/>
      <c r="W15" s="170"/>
      <c r="X15" s="170"/>
      <c r="Y15" s="170"/>
      <c r="Z15" s="358">
        <f t="shared" si="5"/>
        <v>534614.52266479714</v>
      </c>
      <c r="AA15" s="170" t="s">
        <v>3060</v>
      </c>
      <c r="AB15" s="170" t="s">
        <v>12</v>
      </c>
    </row>
    <row r="16" spans="1:28" ht="33.75" customHeight="1" x14ac:dyDescent="0.2">
      <c r="A16" s="195">
        <v>580293454</v>
      </c>
      <c r="B16" s="791" t="s">
        <v>726</v>
      </c>
      <c r="D16" s="841">
        <v>2200000</v>
      </c>
      <c r="E16" s="849"/>
      <c r="F16" s="170"/>
      <c r="G16" s="358">
        <f t="shared" si="2"/>
        <v>2200000</v>
      </c>
      <c r="I16" s="170">
        <v>2186220</v>
      </c>
      <c r="J16" s="849"/>
      <c r="K16" s="170"/>
      <c r="L16" s="170"/>
      <c r="M16" s="358">
        <f t="shared" si="3"/>
        <v>2186220</v>
      </c>
      <c r="O16" s="841">
        <v>2390080</v>
      </c>
      <c r="P16" s="849"/>
      <c r="Q16" s="170"/>
      <c r="R16" s="170"/>
      <c r="S16" s="358">
        <f t="shared" si="4"/>
        <v>2390080</v>
      </c>
      <c r="U16" s="1062">
        <v>1886291</v>
      </c>
      <c r="V16" s="170"/>
      <c r="W16" s="170"/>
      <c r="X16" s="170"/>
      <c r="Y16" s="170"/>
      <c r="Z16" s="358">
        <f t="shared" si="5"/>
        <v>1886291</v>
      </c>
      <c r="AA16" s="170" t="s">
        <v>461</v>
      </c>
      <c r="AB16" s="170" t="s">
        <v>12</v>
      </c>
    </row>
    <row r="17" spans="1:28" ht="55.5" customHeight="1" x14ac:dyDescent="0.2">
      <c r="A17" s="195">
        <v>580269561</v>
      </c>
      <c r="B17" s="791" t="s">
        <v>727</v>
      </c>
      <c r="D17" s="170">
        <v>346663</v>
      </c>
      <c r="E17" s="849"/>
      <c r="F17" s="170"/>
      <c r="G17" s="358">
        <f t="shared" si="2"/>
        <v>346663</v>
      </c>
      <c r="I17" s="170">
        <v>403911</v>
      </c>
      <c r="J17" s="849"/>
      <c r="K17" s="170">
        <v>123294</v>
      </c>
      <c r="L17" s="170"/>
      <c r="M17" s="358">
        <f t="shared" si="3"/>
        <v>527205</v>
      </c>
      <c r="O17" s="841">
        <v>500000</v>
      </c>
      <c r="P17" s="849"/>
      <c r="Q17" s="170">
        <v>141289</v>
      </c>
      <c r="R17" s="170"/>
      <c r="S17" s="358">
        <f t="shared" si="4"/>
        <v>641289</v>
      </c>
      <c r="U17" s="1062">
        <v>348840</v>
      </c>
      <c r="V17" s="170"/>
      <c r="W17" s="170">
        <v>56516</v>
      </c>
      <c r="X17" s="170"/>
      <c r="Y17" s="170"/>
      <c r="Z17" s="358">
        <f t="shared" si="5"/>
        <v>405356</v>
      </c>
      <c r="AA17" s="170" t="s">
        <v>728</v>
      </c>
      <c r="AB17" s="170" t="s">
        <v>9</v>
      </c>
    </row>
    <row r="18" spans="1:28" ht="25.5" customHeight="1" x14ac:dyDescent="0.2">
      <c r="A18" s="195">
        <v>580175966</v>
      </c>
      <c r="B18" s="791" t="s">
        <v>729</v>
      </c>
      <c r="D18" s="170">
        <v>218000</v>
      </c>
      <c r="E18" s="849">
        <v>189562.17117023229</v>
      </c>
      <c r="F18" s="170"/>
      <c r="G18" s="358">
        <f t="shared" si="2"/>
        <v>407562.17117023229</v>
      </c>
      <c r="I18" s="170">
        <v>352091</v>
      </c>
      <c r="J18" s="849">
        <v>133827</v>
      </c>
      <c r="K18" s="170"/>
      <c r="L18" s="170"/>
      <c r="M18" s="358">
        <f t="shared" si="3"/>
        <v>485918</v>
      </c>
      <c r="O18" s="170">
        <v>540566</v>
      </c>
      <c r="P18" s="894">
        <v>201504.58493146164</v>
      </c>
      <c r="Q18" s="170"/>
      <c r="R18" s="170"/>
      <c r="S18" s="358">
        <f t="shared" si="4"/>
        <v>742070.58493146161</v>
      </c>
      <c r="U18" s="170">
        <v>735652.27746300271</v>
      </c>
      <c r="V18" s="894">
        <v>286219</v>
      </c>
      <c r="W18" s="170"/>
      <c r="X18" s="170"/>
      <c r="Y18" s="170"/>
      <c r="Z18" s="358">
        <f t="shared" si="5"/>
        <v>1021871.2774630027</v>
      </c>
      <c r="AA18" s="170" t="s">
        <v>53</v>
      </c>
      <c r="AB18" s="170" t="s">
        <v>53</v>
      </c>
    </row>
    <row r="19" spans="1:28" ht="22.5" customHeight="1" x14ac:dyDescent="0.2">
      <c r="A19" s="195">
        <v>580208486</v>
      </c>
      <c r="B19" s="791" t="s">
        <v>730</v>
      </c>
      <c r="D19" s="170">
        <v>337641</v>
      </c>
      <c r="E19" s="356"/>
      <c r="F19" s="356"/>
      <c r="G19" s="358">
        <f t="shared" si="2"/>
        <v>337641</v>
      </c>
      <c r="I19" s="170">
        <v>443390</v>
      </c>
      <c r="J19" s="356"/>
      <c r="K19" s="356"/>
      <c r="L19" s="356"/>
      <c r="M19" s="358">
        <f t="shared" si="3"/>
        <v>443390</v>
      </c>
      <c r="O19" s="170">
        <v>671565</v>
      </c>
      <c r="P19" s="356"/>
      <c r="Q19" s="356"/>
      <c r="R19" s="356"/>
      <c r="S19" s="358">
        <f t="shared" si="4"/>
        <v>671565</v>
      </c>
      <c r="U19" s="170">
        <v>771234.49226436485</v>
      </c>
      <c r="V19" s="170"/>
      <c r="W19" s="170"/>
      <c r="X19" s="170"/>
      <c r="Y19" s="170"/>
      <c r="Z19" s="358">
        <f t="shared" si="5"/>
        <v>771234.49226436485</v>
      </c>
      <c r="AA19" s="170" t="s">
        <v>73</v>
      </c>
      <c r="AB19" s="170" t="s">
        <v>136</v>
      </c>
    </row>
    <row r="20" spans="1:28" ht="22.5" customHeight="1" x14ac:dyDescent="0.2">
      <c r="A20" s="195">
        <v>580086270</v>
      </c>
      <c r="B20" s="791" t="s">
        <v>3053</v>
      </c>
      <c r="D20" s="170">
        <v>3915929</v>
      </c>
      <c r="E20" s="356"/>
      <c r="F20" s="356"/>
      <c r="G20" s="358">
        <f t="shared" si="2"/>
        <v>3915929</v>
      </c>
      <c r="I20" s="170">
        <v>3980878</v>
      </c>
      <c r="J20" s="849">
        <v>2403932</v>
      </c>
      <c r="K20" s="356"/>
      <c r="L20" s="356"/>
      <c r="M20" s="358">
        <f t="shared" si="3"/>
        <v>6384810</v>
      </c>
      <c r="O20" s="170">
        <v>4082812</v>
      </c>
      <c r="P20" s="894">
        <v>2278289.331601169</v>
      </c>
      <c r="Q20" s="356"/>
      <c r="R20" s="356"/>
      <c r="S20" s="358">
        <f t="shared" si="4"/>
        <v>6361101.331601169</v>
      </c>
      <c r="U20" s="170">
        <v>4431418.2653612252</v>
      </c>
      <c r="V20" s="234">
        <v>2161768</v>
      </c>
      <c r="W20" s="170"/>
      <c r="X20" s="170"/>
      <c r="Y20" s="170"/>
      <c r="Z20" s="358">
        <f t="shared" si="5"/>
        <v>6593186.2653612252</v>
      </c>
      <c r="AA20" s="170" t="s">
        <v>53</v>
      </c>
      <c r="AB20" s="170" t="s">
        <v>53</v>
      </c>
    </row>
    <row r="21" spans="1:28" ht="47.25" customHeight="1" x14ac:dyDescent="0.2">
      <c r="A21" s="195">
        <v>511757114</v>
      </c>
      <c r="B21" s="793" t="s">
        <v>733</v>
      </c>
      <c r="D21" s="170">
        <v>2669274</v>
      </c>
      <c r="E21" s="356"/>
      <c r="F21" s="356"/>
      <c r="G21" s="358">
        <f t="shared" si="2"/>
        <v>2669274</v>
      </c>
      <c r="I21" s="170">
        <f>3500000+540568</f>
        <v>4040568</v>
      </c>
      <c r="J21" s="356"/>
      <c r="K21" s="356"/>
      <c r="L21" s="356"/>
      <c r="M21" s="358">
        <f t="shared" si="3"/>
        <v>4040568</v>
      </c>
      <c r="O21" s="841">
        <v>5632784</v>
      </c>
      <c r="P21" s="356"/>
      <c r="Q21" s="356"/>
      <c r="R21" s="356"/>
      <c r="S21" s="358">
        <f t="shared" si="4"/>
        <v>5632784</v>
      </c>
      <c r="U21" s="170">
        <v>7500000</v>
      </c>
      <c r="V21" s="170"/>
      <c r="W21" s="170"/>
      <c r="X21" s="170"/>
      <c r="Y21" s="170"/>
      <c r="Z21" s="358">
        <f t="shared" si="5"/>
        <v>7500000</v>
      </c>
      <c r="AA21" s="170" t="s">
        <v>461</v>
      </c>
      <c r="AB21" s="170" t="s">
        <v>12</v>
      </c>
    </row>
    <row r="22" spans="1:28" ht="21" customHeight="1" x14ac:dyDescent="0.2">
      <c r="A22" s="195">
        <v>580474906</v>
      </c>
      <c r="B22" s="791" t="s">
        <v>734</v>
      </c>
      <c r="D22" s="170">
        <v>249925</v>
      </c>
      <c r="E22" s="356"/>
      <c r="F22" s="356"/>
      <c r="G22" s="358">
        <f t="shared" si="2"/>
        <v>249925</v>
      </c>
      <c r="I22" s="170">
        <v>350152</v>
      </c>
      <c r="J22" s="356"/>
      <c r="K22" s="356"/>
      <c r="L22" s="356"/>
      <c r="M22" s="358">
        <f t="shared" si="3"/>
        <v>350152</v>
      </c>
      <c r="O22" s="170">
        <v>490764</v>
      </c>
      <c r="P22" s="356"/>
      <c r="Q22" s="356"/>
      <c r="R22" s="356"/>
      <c r="S22" s="358">
        <f t="shared" si="4"/>
        <v>490764</v>
      </c>
      <c r="U22" s="170">
        <v>600000</v>
      </c>
      <c r="V22" s="170"/>
      <c r="W22" s="170"/>
      <c r="X22" s="170"/>
      <c r="Y22" s="170"/>
      <c r="Z22" s="358">
        <f t="shared" si="5"/>
        <v>600000</v>
      </c>
      <c r="AA22" s="170" t="s">
        <v>53</v>
      </c>
      <c r="AB22" s="170" t="s">
        <v>53</v>
      </c>
    </row>
    <row r="23" spans="1:28" ht="28.5" customHeight="1" x14ac:dyDescent="0.2">
      <c r="A23" s="195">
        <v>500210638</v>
      </c>
      <c r="B23" s="791" t="s">
        <v>735</v>
      </c>
      <c r="D23" s="170">
        <v>341265</v>
      </c>
      <c r="E23" s="356"/>
      <c r="F23" s="170">
        <v>107923.18594907118</v>
      </c>
      <c r="G23" s="358">
        <f t="shared" si="2"/>
        <v>449188.18594907119</v>
      </c>
      <c r="I23" s="170">
        <v>304099</v>
      </c>
      <c r="J23" s="356"/>
      <c r="K23" s="170">
        <v>121374</v>
      </c>
      <c r="L23" s="170"/>
      <c r="M23" s="358">
        <f t="shared" si="3"/>
        <v>425473</v>
      </c>
      <c r="O23" s="170">
        <v>515941</v>
      </c>
      <c r="P23" s="356"/>
      <c r="Q23" s="170">
        <v>114119</v>
      </c>
      <c r="R23" s="170"/>
      <c r="S23" s="358">
        <f t="shared" si="4"/>
        <v>630060</v>
      </c>
      <c r="U23" s="170">
        <v>490100.17715718166</v>
      </c>
      <c r="V23" s="170"/>
      <c r="W23" s="170">
        <v>218211</v>
      </c>
      <c r="X23" s="170"/>
      <c r="Y23" s="170"/>
      <c r="Z23" s="358">
        <f t="shared" si="5"/>
        <v>708311.17715718166</v>
      </c>
      <c r="AA23" s="170" t="s">
        <v>736</v>
      </c>
      <c r="AB23" s="170" t="s">
        <v>737</v>
      </c>
    </row>
    <row r="24" spans="1:28" ht="28.5" customHeight="1" x14ac:dyDescent="0.2">
      <c r="A24" s="195">
        <v>580496719</v>
      </c>
      <c r="B24" s="794" t="s">
        <v>778</v>
      </c>
      <c r="D24" s="170">
        <v>266757</v>
      </c>
      <c r="E24" s="356"/>
      <c r="F24" s="215"/>
      <c r="G24" s="358">
        <f t="shared" si="2"/>
        <v>266757</v>
      </c>
      <c r="I24" s="170">
        <v>350000</v>
      </c>
      <c r="J24" s="356"/>
      <c r="K24" s="215"/>
      <c r="L24" s="215"/>
      <c r="M24" s="358">
        <f t="shared" si="3"/>
        <v>350000</v>
      </c>
      <c r="O24" s="170">
        <v>600000</v>
      </c>
      <c r="P24" s="356"/>
      <c r="Q24" s="215"/>
      <c r="R24" s="215"/>
      <c r="S24" s="358">
        <f t="shared" si="4"/>
        <v>600000</v>
      </c>
      <c r="U24" s="170">
        <v>588422.11958454724</v>
      </c>
      <c r="V24" s="170"/>
      <c r="W24" s="170"/>
      <c r="X24" s="170"/>
      <c r="Y24" s="170"/>
      <c r="Z24" s="358">
        <f t="shared" si="5"/>
        <v>588422.11958454724</v>
      </c>
      <c r="AA24" s="170" t="s">
        <v>73</v>
      </c>
      <c r="AB24" s="170" t="s">
        <v>136</v>
      </c>
    </row>
    <row r="25" spans="1:28" ht="28.5" customHeight="1" x14ac:dyDescent="0.2">
      <c r="A25" s="195">
        <v>580495976</v>
      </c>
      <c r="B25" s="794" t="s">
        <v>2370</v>
      </c>
      <c r="D25" s="170">
        <v>70000</v>
      </c>
      <c r="E25" s="356"/>
      <c r="F25" s="215"/>
      <c r="G25" s="358">
        <f t="shared" si="2"/>
        <v>70000</v>
      </c>
      <c r="I25" s="1084" t="s">
        <v>2940</v>
      </c>
      <c r="J25" s="1085"/>
      <c r="K25" s="1085"/>
      <c r="L25" s="1085"/>
      <c r="M25" s="1086"/>
      <c r="O25" s="1084" t="s">
        <v>2940</v>
      </c>
      <c r="P25" s="1085"/>
      <c r="Q25" s="1085"/>
      <c r="R25" s="1085"/>
      <c r="S25" s="984"/>
      <c r="U25" s="170"/>
      <c r="V25" s="170"/>
      <c r="W25" s="170"/>
      <c r="X25" s="170"/>
      <c r="Y25" s="170"/>
      <c r="Z25" s="358">
        <f t="shared" si="5"/>
        <v>0</v>
      </c>
      <c r="AA25" s="170" t="s">
        <v>294</v>
      </c>
      <c r="AB25" s="170" t="s">
        <v>9</v>
      </c>
    </row>
    <row r="26" spans="1:28" ht="28.5" customHeight="1" x14ac:dyDescent="0.2">
      <c r="A26" s="195" t="s">
        <v>3076</v>
      </c>
      <c r="B26" s="855" t="s">
        <v>3075</v>
      </c>
      <c r="D26" s="170"/>
      <c r="E26" s="356"/>
      <c r="F26" s="215"/>
      <c r="G26" s="358"/>
      <c r="I26" s="937"/>
      <c r="J26" s="938"/>
      <c r="K26" s="938"/>
      <c r="L26" s="938"/>
      <c r="M26" s="939"/>
      <c r="O26" s="841">
        <v>496813</v>
      </c>
      <c r="P26" s="894">
        <v>53726.581820071588</v>
      </c>
      <c r="Q26" s="170"/>
      <c r="R26" s="170"/>
      <c r="S26" s="358">
        <f t="shared" ref="S26:S28" si="6">SUM(O26:Q26)</f>
        <v>550539.58182007156</v>
      </c>
      <c r="U26" s="170">
        <v>742855.76094139239</v>
      </c>
      <c r="V26" s="234">
        <v>196434</v>
      </c>
      <c r="W26" s="170"/>
      <c r="X26" s="170"/>
      <c r="Y26" s="170"/>
      <c r="Z26" s="358">
        <f t="shared" si="5"/>
        <v>939289.76094139239</v>
      </c>
      <c r="AA26" s="170" t="s">
        <v>53</v>
      </c>
      <c r="AB26" s="170" t="s">
        <v>53</v>
      </c>
    </row>
    <row r="27" spans="1:28" ht="28.5" customHeight="1" x14ac:dyDescent="0.2">
      <c r="A27" s="195" t="s">
        <v>2471</v>
      </c>
      <c r="B27" s="855" t="s">
        <v>2472</v>
      </c>
      <c r="D27" s="1084" t="s">
        <v>3361</v>
      </c>
      <c r="E27" s="1085"/>
      <c r="F27" s="1085"/>
      <c r="G27" s="1086"/>
      <c r="I27" s="170"/>
      <c r="J27" s="356"/>
      <c r="K27" s="215"/>
      <c r="L27" s="215"/>
      <c r="M27" s="358">
        <f t="shared" ref="M27" si="7">SUM(I27:K27)</f>
        <v>0</v>
      </c>
      <c r="O27" s="1084" t="s">
        <v>2940</v>
      </c>
      <c r="P27" s="1085"/>
      <c r="Q27" s="1085"/>
      <c r="R27" s="1085"/>
      <c r="S27" s="358">
        <f t="shared" ref="S27" si="8">SUM(O27:Q27)</f>
        <v>0</v>
      </c>
      <c r="U27" s="170">
        <v>200000</v>
      </c>
      <c r="V27" s="894">
        <f>20504+16403</f>
        <v>36907</v>
      </c>
      <c r="W27" s="215"/>
      <c r="X27" s="215"/>
      <c r="Y27" s="215"/>
      <c r="Z27" s="358">
        <f t="shared" si="5"/>
        <v>236907</v>
      </c>
      <c r="AA27" s="164" t="s">
        <v>53</v>
      </c>
      <c r="AB27" s="402" t="s">
        <v>53</v>
      </c>
    </row>
    <row r="28" spans="1:28" ht="22.5" customHeight="1" x14ac:dyDescent="0.2">
      <c r="A28" s="195">
        <v>580383990</v>
      </c>
      <c r="B28" s="791" t="s">
        <v>738</v>
      </c>
      <c r="D28" s="170">
        <v>328784</v>
      </c>
      <c r="E28" s="356"/>
      <c r="F28" s="356"/>
      <c r="G28" s="358">
        <f t="shared" si="2"/>
        <v>328784</v>
      </c>
      <c r="I28" s="170">
        <v>339966</v>
      </c>
      <c r="J28" s="356"/>
      <c r="K28" s="356"/>
      <c r="L28" s="356"/>
      <c r="M28" s="358">
        <f t="shared" si="3"/>
        <v>339966</v>
      </c>
      <c r="O28" s="170">
        <v>487812</v>
      </c>
      <c r="P28" s="356"/>
      <c r="Q28" s="356"/>
      <c r="R28" s="356"/>
      <c r="S28" s="358">
        <f t="shared" si="6"/>
        <v>487812</v>
      </c>
      <c r="U28" s="170">
        <v>534471.65173125907</v>
      </c>
      <c r="V28" s="356"/>
      <c r="W28" s="356"/>
      <c r="X28" s="356"/>
      <c r="Y28" s="356"/>
      <c r="Z28" s="358">
        <f t="shared" si="5"/>
        <v>534471.65173125907</v>
      </c>
      <c r="AA28" s="170" t="s">
        <v>73</v>
      </c>
      <c r="AB28" s="170" t="s">
        <v>136</v>
      </c>
    </row>
    <row r="29" spans="1:28" s="207" customFormat="1" ht="25.5" customHeight="1" x14ac:dyDescent="0.25">
      <c r="A29" s="1076" t="s">
        <v>2944</v>
      </c>
      <c r="B29" s="1077"/>
      <c r="C29" s="344"/>
      <c r="D29" s="363"/>
      <c r="E29" s="363"/>
      <c r="F29" s="363"/>
      <c r="G29" s="363"/>
      <c r="H29" s="344"/>
      <c r="I29" s="363"/>
      <c r="J29" s="363"/>
      <c r="K29" s="363"/>
      <c r="L29" s="363"/>
      <c r="M29" s="363"/>
      <c r="N29" s="344"/>
      <c r="O29" s="363"/>
      <c r="P29" s="363"/>
      <c r="Q29" s="363"/>
      <c r="R29" s="363"/>
      <c r="S29" s="363"/>
      <c r="T29" s="344"/>
      <c r="U29" s="363"/>
      <c r="V29" s="363"/>
      <c r="W29" s="363"/>
      <c r="X29" s="363"/>
      <c r="Y29" s="363"/>
      <c r="Z29" s="363"/>
      <c r="AA29" s="364"/>
      <c r="AB29" s="364"/>
    </row>
    <row r="30" spans="1:28" s="362" customFormat="1" ht="15.75" x14ac:dyDescent="0.25">
      <c r="A30" s="1080" t="s">
        <v>739</v>
      </c>
      <c r="B30" s="1081"/>
      <c r="C30" s="344"/>
      <c r="D30" s="360">
        <f>D31+D101</f>
        <v>8113193</v>
      </c>
      <c r="E30" s="360">
        <f>E31+E101</f>
        <v>872096.79014918907</v>
      </c>
      <c r="F30" s="360">
        <f>F31+F101</f>
        <v>0</v>
      </c>
      <c r="G30" s="360">
        <f>G31+G101</f>
        <v>8985289.7901491895</v>
      </c>
      <c r="H30" s="344"/>
      <c r="I30" s="360">
        <f>I31+I101</f>
        <v>9779650</v>
      </c>
      <c r="J30" s="360">
        <f>J31+J101</f>
        <v>685810</v>
      </c>
      <c r="K30" s="360">
        <f>K31+K101</f>
        <v>0</v>
      </c>
      <c r="L30" s="360">
        <f>L31+L101</f>
        <v>296307</v>
      </c>
      <c r="M30" s="360">
        <f>M31+M101</f>
        <v>10761767</v>
      </c>
      <c r="N30" s="344"/>
      <c r="O30" s="360">
        <f>O31+O101</f>
        <v>13714853</v>
      </c>
      <c r="P30" s="360">
        <f>P31+P101</f>
        <v>807963.7733906873</v>
      </c>
      <c r="Q30" s="360">
        <f>Q31+Q101</f>
        <v>0</v>
      </c>
      <c r="R30" s="360">
        <f>R31+R101</f>
        <v>400000</v>
      </c>
      <c r="S30" s="360">
        <f>S31+S101</f>
        <v>14922816.773390686</v>
      </c>
      <c r="T30" s="344"/>
      <c r="U30" s="360">
        <f t="shared" ref="U30:Z30" si="9">U31+U101</f>
        <v>14573456</v>
      </c>
      <c r="V30" s="360">
        <f t="shared" si="9"/>
        <v>988004</v>
      </c>
      <c r="W30" s="360">
        <f t="shared" si="9"/>
        <v>0</v>
      </c>
      <c r="X30" s="360">
        <f t="shared" si="9"/>
        <v>546095</v>
      </c>
      <c r="Y30" s="360">
        <f t="shared" si="9"/>
        <v>63559</v>
      </c>
      <c r="Z30" s="360">
        <f t="shared" si="9"/>
        <v>16171114</v>
      </c>
      <c r="AA30" s="361"/>
      <c r="AB30" s="361"/>
    </row>
    <row r="31" spans="1:28" s="207" customFormat="1" ht="15.75" x14ac:dyDescent="0.25">
      <c r="A31" s="1082" t="s">
        <v>740</v>
      </c>
      <c r="B31" s="1083"/>
      <c r="C31" s="344"/>
      <c r="D31" s="363">
        <f>SUM(D32:D100)</f>
        <v>7805429</v>
      </c>
      <c r="E31" s="363">
        <f>SUM(E32:E100)</f>
        <v>872096.79014918907</v>
      </c>
      <c r="F31" s="363">
        <f>SUM(F32:F100)</f>
        <v>0</v>
      </c>
      <c r="G31" s="363">
        <f>SUM(G32:G100)</f>
        <v>8677525.7901491895</v>
      </c>
      <c r="H31" s="344"/>
      <c r="I31" s="363">
        <f>SUM(I32:I100)</f>
        <v>9392407</v>
      </c>
      <c r="J31" s="363">
        <f>SUM(J32:J100)</f>
        <v>685810</v>
      </c>
      <c r="K31" s="363">
        <f>SUM(K32:K100)</f>
        <v>0</v>
      </c>
      <c r="L31" s="363">
        <f>SUM(L32:L100)</f>
        <v>296307</v>
      </c>
      <c r="M31" s="363">
        <f>SUM(M32:M100)</f>
        <v>10374524</v>
      </c>
      <c r="N31" s="344"/>
      <c r="O31" s="363">
        <f>SUM(O32:O100)</f>
        <v>13287683</v>
      </c>
      <c r="P31" s="363">
        <f>SUM(P32:P100)</f>
        <v>807963.7733906873</v>
      </c>
      <c r="Q31" s="363">
        <f>SUM(Q32:Q100)</f>
        <v>0</v>
      </c>
      <c r="R31" s="363">
        <f>SUM(R32:R100)</f>
        <v>400000</v>
      </c>
      <c r="S31" s="363">
        <f>SUM(S32:S100)</f>
        <v>14495646.773390686</v>
      </c>
      <c r="T31" s="344"/>
      <c r="U31" s="363">
        <f t="shared" ref="U31:Z31" si="10">SUM(U32:U100)</f>
        <v>14352148</v>
      </c>
      <c r="V31" s="363">
        <f t="shared" si="10"/>
        <v>988004</v>
      </c>
      <c r="W31" s="363">
        <f t="shared" si="10"/>
        <v>0</v>
      </c>
      <c r="X31" s="363">
        <f t="shared" si="10"/>
        <v>546095</v>
      </c>
      <c r="Y31" s="363">
        <f t="shared" si="10"/>
        <v>63559</v>
      </c>
      <c r="Z31" s="363">
        <f t="shared" si="10"/>
        <v>15949806</v>
      </c>
      <c r="AA31" s="364"/>
      <c r="AB31" s="364"/>
    </row>
    <row r="32" spans="1:28" ht="22.5" customHeight="1" x14ac:dyDescent="0.2">
      <c r="A32" s="195">
        <v>580164325</v>
      </c>
      <c r="B32" s="209" t="s">
        <v>741</v>
      </c>
      <c r="D32" s="358">
        <v>76000</v>
      </c>
      <c r="E32" s="356"/>
      <c r="F32" s="356"/>
      <c r="G32" s="358">
        <f t="shared" ref="G32:G58" si="11">SUM(D32:F32)</f>
        <v>76000</v>
      </c>
      <c r="I32" s="358">
        <v>89184</v>
      </c>
      <c r="J32" s="356"/>
      <c r="K32" s="356"/>
      <c r="L32" s="356"/>
      <c r="M32" s="358">
        <f t="shared" ref="M32:M58" si="12">SUM(I32:K32)</f>
        <v>89184</v>
      </c>
      <c r="O32" s="358">
        <v>107021</v>
      </c>
      <c r="P32" s="356"/>
      <c r="Q32" s="356"/>
      <c r="R32" s="356"/>
      <c r="S32" s="358">
        <f t="shared" ref="S32:S47" si="13">SUM(O32:Q32)</f>
        <v>107021</v>
      </c>
      <c r="U32" s="358">
        <v>131571</v>
      </c>
      <c r="V32" s="356"/>
      <c r="W32" s="356"/>
      <c r="X32" s="356"/>
      <c r="Y32" s="356"/>
      <c r="Z32" s="358">
        <f t="shared" ref="Z32:Z95" si="14">SUM(U32:Y32)</f>
        <v>131571</v>
      </c>
      <c r="AA32" s="170" t="s">
        <v>73</v>
      </c>
      <c r="AB32" s="170" t="s">
        <v>136</v>
      </c>
    </row>
    <row r="33" spans="1:28" s="359" customFormat="1" ht="66" customHeight="1" x14ac:dyDescent="0.2">
      <c r="A33" s="195">
        <v>580029379</v>
      </c>
      <c r="B33" s="209" t="s">
        <v>742</v>
      </c>
      <c r="C33" s="344"/>
      <c r="D33" s="358">
        <v>1000000</v>
      </c>
      <c r="E33" s="330"/>
      <c r="F33" s="330"/>
      <c r="G33" s="358">
        <f t="shared" si="11"/>
        <v>1000000</v>
      </c>
      <c r="H33" s="344"/>
      <c r="I33" s="358">
        <v>1000000</v>
      </c>
      <c r="J33" s="330"/>
      <c r="K33" s="330"/>
      <c r="L33" s="330"/>
      <c r="M33" s="358">
        <f t="shared" si="12"/>
        <v>1000000</v>
      </c>
      <c r="N33" s="344"/>
      <c r="O33" s="358">
        <v>1100000</v>
      </c>
      <c r="P33" s="330"/>
      <c r="Q33" s="330"/>
      <c r="R33" s="330"/>
      <c r="S33" s="358">
        <f t="shared" si="13"/>
        <v>1100000</v>
      </c>
      <c r="T33" s="344"/>
      <c r="U33" s="358">
        <v>754115</v>
      </c>
      <c r="V33" s="330"/>
      <c r="W33" s="330"/>
      <c r="X33" s="330"/>
      <c r="Y33" s="330"/>
      <c r="Z33" s="358">
        <f t="shared" si="14"/>
        <v>754115</v>
      </c>
      <c r="AA33" s="170" t="s">
        <v>73</v>
      </c>
      <c r="AB33" s="170" t="s">
        <v>136</v>
      </c>
    </row>
    <row r="34" spans="1:28" ht="17.25" customHeight="1" x14ac:dyDescent="0.2">
      <c r="A34" s="195">
        <v>580064103</v>
      </c>
      <c r="B34" s="209" t="s">
        <v>743</v>
      </c>
      <c r="D34" s="358">
        <f>170000+27000+33000</f>
        <v>230000</v>
      </c>
      <c r="E34" s="356"/>
      <c r="F34" s="356"/>
      <c r="G34" s="358">
        <f t="shared" si="11"/>
        <v>230000</v>
      </c>
      <c r="I34" s="358">
        <f>20000+38724+170000</f>
        <v>228724</v>
      </c>
      <c r="J34" s="356"/>
      <c r="K34" s="356"/>
      <c r="L34" s="356"/>
      <c r="M34" s="358">
        <f t="shared" si="12"/>
        <v>228724</v>
      </c>
      <c r="O34" s="358">
        <v>236469</v>
      </c>
      <c r="P34" s="356"/>
      <c r="Q34" s="356"/>
      <c r="R34" s="356"/>
      <c r="S34" s="358">
        <f t="shared" si="13"/>
        <v>236469</v>
      </c>
      <c r="U34" s="358">
        <f>40154+233585</f>
        <v>273739</v>
      </c>
      <c r="V34" s="356"/>
      <c r="W34" s="356"/>
      <c r="X34" s="356"/>
      <c r="Y34" s="356"/>
      <c r="Z34" s="358">
        <f t="shared" si="14"/>
        <v>273739</v>
      </c>
      <c r="AA34" s="170" t="s">
        <v>73</v>
      </c>
      <c r="AB34" s="170" t="s">
        <v>136</v>
      </c>
    </row>
    <row r="35" spans="1:28" ht="38.25" x14ac:dyDescent="0.2">
      <c r="A35" s="195">
        <v>580016145</v>
      </c>
      <c r="B35" s="209" t="s">
        <v>744</v>
      </c>
      <c r="D35" s="358">
        <v>600000</v>
      </c>
      <c r="E35" s="356"/>
      <c r="F35" s="356"/>
      <c r="G35" s="358">
        <f t="shared" si="11"/>
        <v>600000</v>
      </c>
      <c r="I35" s="358">
        <v>1137046</v>
      </c>
      <c r="J35" s="356"/>
      <c r="K35" s="356"/>
      <c r="L35" s="356"/>
      <c r="M35" s="358">
        <f t="shared" si="12"/>
        <v>1137046</v>
      </c>
      <c r="O35" s="861">
        <v>813032</v>
      </c>
      <c r="P35" s="356"/>
      <c r="Q35" s="356"/>
      <c r="R35" s="356"/>
      <c r="S35" s="358">
        <f t="shared" si="13"/>
        <v>813032</v>
      </c>
      <c r="U35" s="861">
        <v>1074740</v>
      </c>
      <c r="V35" s="356"/>
      <c r="W35" s="356"/>
      <c r="X35" s="356"/>
      <c r="Y35" s="356"/>
      <c r="Z35" s="358">
        <f t="shared" si="14"/>
        <v>1074740</v>
      </c>
      <c r="AA35" s="170" t="s">
        <v>73</v>
      </c>
      <c r="AB35" s="170" t="s">
        <v>136</v>
      </c>
    </row>
    <row r="36" spans="1:28" ht="18.75" customHeight="1" x14ac:dyDescent="0.2">
      <c r="A36" s="195">
        <v>580147239</v>
      </c>
      <c r="B36" s="209" t="s">
        <v>745</v>
      </c>
      <c r="D36" s="358">
        <f>345000+142000</f>
        <v>487000</v>
      </c>
      <c r="E36" s="356"/>
      <c r="F36" s="356"/>
      <c r="G36" s="358">
        <f t="shared" si="11"/>
        <v>487000</v>
      </c>
      <c r="I36" s="358">
        <f>166632+400000</f>
        <v>566632</v>
      </c>
      <c r="J36" s="356"/>
      <c r="K36" s="356"/>
      <c r="L36" s="356"/>
      <c r="M36" s="358">
        <f t="shared" si="12"/>
        <v>566632</v>
      </c>
      <c r="O36" s="358">
        <v>629443</v>
      </c>
      <c r="P36" s="356"/>
      <c r="Q36" s="356"/>
      <c r="R36" s="356"/>
      <c r="S36" s="358">
        <f t="shared" si="13"/>
        <v>629443</v>
      </c>
      <c r="U36" s="358">
        <f>473185+245828</f>
        <v>719013</v>
      </c>
      <c r="V36" s="356"/>
      <c r="W36" s="356"/>
      <c r="X36" s="356"/>
      <c r="Y36" s="356"/>
      <c r="Z36" s="358">
        <f t="shared" si="14"/>
        <v>719013</v>
      </c>
      <c r="AA36" s="170" t="s">
        <v>73</v>
      </c>
      <c r="AB36" s="170" t="s">
        <v>136</v>
      </c>
    </row>
    <row r="37" spans="1:28" ht="25.5" x14ac:dyDescent="0.2">
      <c r="A37" s="195">
        <v>580041994</v>
      </c>
      <c r="B37" s="209" t="s">
        <v>746</v>
      </c>
      <c r="D37" s="358">
        <v>101750</v>
      </c>
      <c r="E37" s="849">
        <v>80173.963874343041</v>
      </c>
      <c r="F37" s="170"/>
      <c r="G37" s="358">
        <f t="shared" si="11"/>
        <v>181923.96387434303</v>
      </c>
      <c r="I37" s="358">
        <v>119694</v>
      </c>
      <c r="J37" s="849">
        <v>62463</v>
      </c>
      <c r="K37" s="170"/>
      <c r="L37" s="170"/>
      <c r="M37" s="358">
        <f t="shared" si="12"/>
        <v>182157</v>
      </c>
      <c r="O37" s="358">
        <v>112254</v>
      </c>
      <c r="P37" s="894">
        <v>68501.863974899577</v>
      </c>
      <c r="Q37" s="170"/>
      <c r="R37" s="170"/>
      <c r="S37" s="358">
        <f t="shared" si="13"/>
        <v>180755.86397489958</v>
      </c>
      <c r="U37" s="358"/>
      <c r="V37" s="894">
        <v>0</v>
      </c>
      <c r="W37" s="170"/>
      <c r="X37" s="170"/>
      <c r="Y37" s="170"/>
      <c r="Z37" s="358">
        <f t="shared" si="14"/>
        <v>0</v>
      </c>
      <c r="AA37" s="170" t="s">
        <v>53</v>
      </c>
      <c r="AB37" s="170" t="s">
        <v>53</v>
      </c>
    </row>
    <row r="38" spans="1:28" ht="25.5" x14ac:dyDescent="0.2">
      <c r="A38" s="195">
        <v>580041994</v>
      </c>
      <c r="B38" s="209" t="s">
        <v>747</v>
      </c>
      <c r="D38" s="358">
        <v>119706</v>
      </c>
      <c r="E38" s="849">
        <v>94323.025560597976</v>
      </c>
      <c r="F38" s="170"/>
      <c r="G38" s="358">
        <f t="shared" si="11"/>
        <v>214029.02556059798</v>
      </c>
      <c r="I38" s="358">
        <v>140816</v>
      </c>
      <c r="J38" s="849">
        <v>73486</v>
      </c>
      <c r="K38" s="170"/>
      <c r="L38" s="170"/>
      <c r="M38" s="358">
        <f t="shared" si="12"/>
        <v>214302</v>
      </c>
      <c r="O38" s="358">
        <v>150000</v>
      </c>
      <c r="P38" s="894">
        <v>80590.15888423362</v>
      </c>
      <c r="Q38" s="170"/>
      <c r="R38" s="170"/>
      <c r="S38" s="358">
        <f t="shared" si="13"/>
        <v>230590.15888423362</v>
      </c>
      <c r="U38" s="358">
        <v>150000</v>
      </c>
      <c r="V38" s="894">
        <v>79422</v>
      </c>
      <c r="W38" s="170"/>
      <c r="X38" s="170"/>
      <c r="Y38" s="170"/>
      <c r="Z38" s="358">
        <f t="shared" si="14"/>
        <v>229422</v>
      </c>
      <c r="AA38" s="170" t="s">
        <v>53</v>
      </c>
      <c r="AB38" s="170" t="s">
        <v>53</v>
      </c>
    </row>
    <row r="39" spans="1:28" ht="25.5" x14ac:dyDescent="0.2">
      <c r="A39" s="195">
        <v>580041994</v>
      </c>
      <c r="B39" s="209" t="s">
        <v>748</v>
      </c>
      <c r="D39" s="861">
        <v>70000</v>
      </c>
      <c r="E39" s="356"/>
      <c r="F39" s="356"/>
      <c r="G39" s="358">
        <f t="shared" si="11"/>
        <v>70000</v>
      </c>
      <c r="I39" s="861"/>
      <c r="J39" s="356"/>
      <c r="K39" s="356"/>
      <c r="L39" s="356"/>
      <c r="M39" s="358">
        <f t="shared" si="12"/>
        <v>0</v>
      </c>
      <c r="O39" s="358"/>
      <c r="P39" s="356"/>
      <c r="Q39" s="356"/>
      <c r="R39" s="356"/>
      <c r="S39" s="358">
        <f t="shared" si="13"/>
        <v>0</v>
      </c>
      <c r="U39" s="358"/>
      <c r="V39" s="356"/>
      <c r="W39" s="356"/>
      <c r="X39" s="356"/>
      <c r="Y39" s="356"/>
      <c r="Z39" s="358">
        <f t="shared" si="14"/>
        <v>0</v>
      </c>
      <c r="AA39" s="170" t="s">
        <v>749</v>
      </c>
      <c r="AB39" s="170" t="s">
        <v>53</v>
      </c>
    </row>
    <row r="40" spans="1:28" ht="20.25" customHeight="1" x14ac:dyDescent="0.2">
      <c r="A40" s="195">
        <v>580186377</v>
      </c>
      <c r="B40" s="209" t="s">
        <v>750</v>
      </c>
      <c r="D40" s="358">
        <v>120000</v>
      </c>
      <c r="E40" s="356"/>
      <c r="F40" s="356"/>
      <c r="G40" s="358">
        <f t="shared" si="11"/>
        <v>120000</v>
      </c>
      <c r="I40" s="861">
        <f>140816+20000</f>
        <v>160816</v>
      </c>
      <c r="J40" s="356"/>
      <c r="K40" s="356"/>
      <c r="L40" s="356"/>
      <c r="M40" s="358">
        <f t="shared" si="12"/>
        <v>160816</v>
      </c>
      <c r="O40" s="358">
        <v>168979</v>
      </c>
      <c r="P40" s="356"/>
      <c r="Q40" s="356"/>
      <c r="R40" s="356"/>
      <c r="S40" s="358">
        <f t="shared" si="13"/>
        <v>168979</v>
      </c>
      <c r="U40" s="358">
        <v>122565</v>
      </c>
      <c r="V40" s="356"/>
      <c r="W40" s="356"/>
      <c r="X40" s="356"/>
      <c r="Y40" s="356"/>
      <c r="Z40" s="358">
        <f t="shared" si="14"/>
        <v>122565</v>
      </c>
      <c r="AA40" s="170" t="s">
        <v>751</v>
      </c>
      <c r="AB40" s="170" t="s">
        <v>9</v>
      </c>
    </row>
    <row r="41" spans="1:28" ht="17.25" customHeight="1" x14ac:dyDescent="0.2">
      <c r="A41" s="231">
        <v>580033470</v>
      </c>
      <c r="B41" s="209" t="s">
        <v>752</v>
      </c>
      <c r="D41" s="358">
        <v>23941</v>
      </c>
      <c r="E41" s="356"/>
      <c r="F41" s="356"/>
      <c r="G41" s="358">
        <f t="shared" si="11"/>
        <v>23941</v>
      </c>
      <c r="I41" s="358">
        <v>28163</v>
      </c>
      <c r="J41" s="356"/>
      <c r="K41" s="356"/>
      <c r="L41" s="356"/>
      <c r="M41" s="358">
        <f t="shared" si="12"/>
        <v>28163</v>
      </c>
      <c r="O41" s="358"/>
      <c r="P41" s="356"/>
      <c r="Q41" s="356"/>
      <c r="R41" s="356"/>
      <c r="S41" s="358">
        <f t="shared" si="13"/>
        <v>0</v>
      </c>
      <c r="U41" s="358">
        <v>25506</v>
      </c>
      <c r="V41" s="356"/>
      <c r="W41" s="356"/>
      <c r="X41" s="356"/>
      <c r="Y41" s="356"/>
      <c r="Z41" s="358">
        <f t="shared" si="14"/>
        <v>25506</v>
      </c>
      <c r="AA41" s="170" t="s">
        <v>73</v>
      </c>
      <c r="AB41" s="170" t="s">
        <v>136</v>
      </c>
    </row>
    <row r="42" spans="1:28" ht="25.5" x14ac:dyDescent="0.2">
      <c r="A42" s="195">
        <v>580103026</v>
      </c>
      <c r="B42" s="209" t="s">
        <v>753</v>
      </c>
      <c r="D42" s="358">
        <f>11000*2</f>
        <v>22000</v>
      </c>
      <c r="E42" s="356"/>
      <c r="F42" s="356"/>
      <c r="G42" s="358">
        <f t="shared" si="11"/>
        <v>22000</v>
      </c>
      <c r="I42" s="358">
        <v>25816</v>
      </c>
      <c r="J42" s="356"/>
      <c r="K42" s="356"/>
      <c r="L42" s="356"/>
      <c r="M42" s="358">
        <f t="shared" si="12"/>
        <v>25816</v>
      </c>
      <c r="O42" s="358">
        <v>30979</v>
      </c>
      <c r="P42" s="356"/>
      <c r="Q42" s="356"/>
      <c r="R42" s="356"/>
      <c r="S42" s="358">
        <f t="shared" si="13"/>
        <v>30979</v>
      </c>
      <c r="U42" s="358"/>
      <c r="V42" s="356"/>
      <c r="W42" s="356"/>
      <c r="X42" s="356"/>
      <c r="Y42" s="356"/>
      <c r="Z42" s="358">
        <f t="shared" si="14"/>
        <v>0</v>
      </c>
      <c r="AA42" s="170" t="s">
        <v>73</v>
      </c>
      <c r="AB42" s="170" t="s">
        <v>136</v>
      </c>
    </row>
    <row r="43" spans="1:28" ht="25.5" x14ac:dyDescent="0.2">
      <c r="A43" s="195">
        <v>580238699</v>
      </c>
      <c r="B43" s="860" t="s">
        <v>2469</v>
      </c>
      <c r="D43" s="358">
        <f>119706+100000</f>
        <v>219706</v>
      </c>
      <c r="E43" s="356"/>
      <c r="F43" s="356"/>
      <c r="G43" s="358">
        <f t="shared" si="11"/>
        <v>219706</v>
      </c>
      <c r="I43" s="358">
        <f>140816+117347</f>
        <v>258163</v>
      </c>
      <c r="J43" s="356"/>
      <c r="K43" s="356"/>
      <c r="L43" s="356"/>
      <c r="M43" s="358">
        <f t="shared" si="12"/>
        <v>258163</v>
      </c>
      <c r="O43" s="358">
        <v>346428</v>
      </c>
      <c r="P43" s="356"/>
      <c r="Q43" s="356"/>
      <c r="R43" s="356"/>
      <c r="S43" s="358">
        <f t="shared" si="13"/>
        <v>346428</v>
      </c>
      <c r="U43" s="358">
        <f>300000+124901</f>
        <v>424901</v>
      </c>
      <c r="V43" s="356"/>
      <c r="W43" s="356"/>
      <c r="X43" s="356"/>
      <c r="Y43" s="356"/>
      <c r="Z43" s="358">
        <f t="shared" si="14"/>
        <v>424901</v>
      </c>
      <c r="AA43" s="170" t="s">
        <v>754</v>
      </c>
      <c r="AB43" s="170" t="s">
        <v>12</v>
      </c>
    </row>
    <row r="44" spans="1:28" ht="36.75" customHeight="1" x14ac:dyDescent="0.2">
      <c r="A44" s="195">
        <v>580263507</v>
      </c>
      <c r="B44" s="860" t="s">
        <v>2470</v>
      </c>
      <c r="D44" s="358">
        <f>975000+23941</f>
        <v>998941</v>
      </c>
      <c r="E44" s="356"/>
      <c r="F44" s="356"/>
      <c r="G44" s="358">
        <f t="shared" si="11"/>
        <v>998941</v>
      </c>
      <c r="I44" s="358">
        <f>950000+28163</f>
        <v>978163</v>
      </c>
      <c r="J44" s="356"/>
      <c r="K44" s="356"/>
      <c r="L44" s="356"/>
      <c r="M44" s="358">
        <f t="shared" si="12"/>
        <v>978163</v>
      </c>
      <c r="O44" s="358">
        <v>922676</v>
      </c>
      <c r="P44" s="356"/>
      <c r="Q44" s="356"/>
      <c r="R44" s="356"/>
      <c r="S44" s="358">
        <f t="shared" si="13"/>
        <v>922676</v>
      </c>
      <c r="U44" s="358">
        <f>831536+29418</f>
        <v>860954</v>
      </c>
      <c r="V44" s="356"/>
      <c r="W44" s="356"/>
      <c r="X44" s="356"/>
      <c r="Y44" s="356"/>
      <c r="Z44" s="358">
        <f t="shared" si="14"/>
        <v>860954</v>
      </c>
      <c r="AA44" s="170" t="s">
        <v>73</v>
      </c>
      <c r="AB44" s="170" t="s">
        <v>136</v>
      </c>
    </row>
    <row r="45" spans="1:28" ht="18" customHeight="1" x14ac:dyDescent="0.2">
      <c r="A45" s="195">
        <v>580091395</v>
      </c>
      <c r="B45" s="209" t="s">
        <v>756</v>
      </c>
      <c r="D45" s="358">
        <v>101750</v>
      </c>
      <c r="E45" s="356"/>
      <c r="F45" s="356"/>
      <c r="G45" s="358">
        <f t="shared" si="11"/>
        <v>101750</v>
      </c>
      <c r="I45" s="358">
        <v>120000</v>
      </c>
      <c r="J45" s="356"/>
      <c r="K45" s="356"/>
      <c r="L45" s="356"/>
      <c r="M45" s="358">
        <f t="shared" si="12"/>
        <v>120000</v>
      </c>
      <c r="O45" s="358">
        <v>112541</v>
      </c>
      <c r="P45" s="356"/>
      <c r="Q45" s="356"/>
      <c r="R45" s="356"/>
      <c r="S45" s="358">
        <f t="shared" si="13"/>
        <v>112541</v>
      </c>
      <c r="U45" s="358">
        <v>120151</v>
      </c>
      <c r="V45" s="356"/>
      <c r="W45" s="356"/>
      <c r="X45" s="356"/>
      <c r="Y45" s="356"/>
      <c r="Z45" s="358">
        <f t="shared" si="14"/>
        <v>120151</v>
      </c>
      <c r="AA45" s="170" t="s">
        <v>757</v>
      </c>
      <c r="AB45" s="170" t="s">
        <v>12</v>
      </c>
    </row>
    <row r="46" spans="1:28" ht="25.5" x14ac:dyDescent="0.2">
      <c r="A46" s="195">
        <v>580021897</v>
      </c>
      <c r="B46" s="209" t="s">
        <v>758</v>
      </c>
      <c r="D46" s="358"/>
      <c r="E46" s="356"/>
      <c r="F46" s="356"/>
      <c r="G46" s="358">
        <f t="shared" si="11"/>
        <v>0</v>
      </c>
      <c r="I46" s="358"/>
      <c r="J46" s="356"/>
      <c r="K46" s="356"/>
      <c r="L46" s="356"/>
      <c r="M46" s="358">
        <f t="shared" si="12"/>
        <v>0</v>
      </c>
      <c r="O46" s="358"/>
      <c r="P46" s="356"/>
      <c r="Q46" s="356"/>
      <c r="R46" s="356"/>
      <c r="S46" s="358">
        <f t="shared" si="13"/>
        <v>0</v>
      </c>
      <c r="U46" s="358"/>
      <c r="V46" s="356"/>
      <c r="W46" s="356"/>
      <c r="X46" s="356"/>
      <c r="Y46" s="356"/>
      <c r="Z46" s="358">
        <f t="shared" si="14"/>
        <v>0</v>
      </c>
      <c r="AA46" s="170" t="s">
        <v>73</v>
      </c>
      <c r="AB46" s="170" t="s">
        <v>136</v>
      </c>
    </row>
    <row r="47" spans="1:28" ht="25.5" x14ac:dyDescent="0.2">
      <c r="A47" s="195">
        <v>580021897</v>
      </c>
      <c r="B47" s="209" t="s">
        <v>759</v>
      </c>
      <c r="D47" s="358"/>
      <c r="E47" s="356"/>
      <c r="F47" s="356"/>
      <c r="G47" s="358">
        <f t="shared" si="11"/>
        <v>0</v>
      </c>
      <c r="I47" s="358"/>
      <c r="J47" s="356"/>
      <c r="K47" s="356"/>
      <c r="L47" s="356"/>
      <c r="M47" s="358">
        <f t="shared" si="12"/>
        <v>0</v>
      </c>
      <c r="O47" s="358"/>
      <c r="P47" s="356"/>
      <c r="Q47" s="356"/>
      <c r="R47" s="356"/>
      <c r="S47" s="358">
        <f t="shared" si="13"/>
        <v>0</v>
      </c>
      <c r="U47" s="358">
        <v>57384</v>
      </c>
      <c r="V47" s="356"/>
      <c r="W47" s="356"/>
      <c r="X47" s="356"/>
      <c r="Y47" s="356"/>
      <c r="Z47" s="358">
        <f t="shared" si="14"/>
        <v>57384</v>
      </c>
      <c r="AA47" s="170" t="s">
        <v>73</v>
      </c>
      <c r="AB47" s="170" t="s">
        <v>136</v>
      </c>
    </row>
    <row r="48" spans="1:28" ht="29.25" customHeight="1" x14ac:dyDescent="0.2">
      <c r="A48" s="195">
        <v>580327740</v>
      </c>
      <c r="B48" s="365" t="s">
        <v>760</v>
      </c>
      <c r="D48" s="358">
        <f>41711+44000+218000+44000+101750+44000*3+17000+11000+22000*2+27500+20000+27500+20000+22000*2+44000+13000+22000*2+110000+10000+10000+22000*2+10000+22000</f>
        <v>1099461</v>
      </c>
      <c r="E48" s="356"/>
      <c r="F48" s="356"/>
      <c r="G48" s="358">
        <f t="shared" si="11"/>
        <v>1099461</v>
      </c>
      <c r="I48" s="358">
        <v>1255713</v>
      </c>
      <c r="J48" s="849">
        <v>27011</v>
      </c>
      <c r="K48" s="356"/>
      <c r="L48" s="358">
        <v>296307</v>
      </c>
      <c r="M48" s="358">
        <f>SUM(I48:L48)</f>
        <v>1579031</v>
      </c>
      <c r="O48" s="358">
        <v>1463527</v>
      </c>
      <c r="P48" s="849"/>
      <c r="Q48" s="356"/>
      <c r="R48" s="358">
        <v>400000</v>
      </c>
      <c r="S48" s="358">
        <f>SUM(O48:R48)</f>
        <v>1863527</v>
      </c>
      <c r="U48" s="358">
        <v>1330667</v>
      </c>
      <c r="V48" s="849">
        <v>15884</v>
      </c>
      <c r="W48" s="356"/>
      <c r="X48" s="358">
        <v>546095</v>
      </c>
      <c r="Y48" s="358"/>
      <c r="Z48" s="358">
        <f t="shared" si="14"/>
        <v>1892646</v>
      </c>
      <c r="AA48" s="170" t="s">
        <v>73</v>
      </c>
      <c r="AB48" s="170" t="s">
        <v>136</v>
      </c>
    </row>
    <row r="49" spans="1:28" ht="18.75" customHeight="1" x14ac:dyDescent="0.2">
      <c r="A49" s="195">
        <v>580132249</v>
      </c>
      <c r="B49" s="209" t="s">
        <v>761</v>
      </c>
      <c r="D49" s="358">
        <v>47882</v>
      </c>
      <c r="E49" s="356"/>
      <c r="F49" s="356"/>
      <c r="G49" s="358">
        <f t="shared" si="11"/>
        <v>47882</v>
      </c>
      <c r="I49" s="358">
        <v>56326</v>
      </c>
      <c r="J49" s="356"/>
      <c r="K49" s="356"/>
      <c r="L49" s="356"/>
      <c r="M49" s="358">
        <f t="shared" si="12"/>
        <v>56326</v>
      </c>
      <c r="O49" s="358">
        <v>52825</v>
      </c>
      <c r="P49" s="356"/>
      <c r="Q49" s="356"/>
      <c r="R49" s="356"/>
      <c r="S49" s="358">
        <f t="shared" ref="S49:S58" si="15">SUM(O49:Q49)</f>
        <v>52825</v>
      </c>
      <c r="U49" s="358">
        <v>46017</v>
      </c>
      <c r="V49" s="356"/>
      <c r="W49" s="356"/>
      <c r="X49" s="356"/>
      <c r="Y49" s="356"/>
      <c r="Z49" s="358">
        <f t="shared" si="14"/>
        <v>46017</v>
      </c>
      <c r="AA49" s="170" t="s">
        <v>73</v>
      </c>
      <c r="AB49" s="170" t="s">
        <v>136</v>
      </c>
    </row>
    <row r="50" spans="1:28" ht="18" customHeight="1" x14ac:dyDescent="0.2">
      <c r="A50" s="195">
        <v>580208486</v>
      </c>
      <c r="B50" s="209" t="s">
        <v>762</v>
      </c>
      <c r="D50" s="358">
        <v>65000</v>
      </c>
      <c r="E50" s="356"/>
      <c r="F50" s="356"/>
      <c r="G50" s="358">
        <f t="shared" si="11"/>
        <v>65000</v>
      </c>
      <c r="I50" s="358">
        <v>91283</v>
      </c>
      <c r="J50" s="356"/>
      <c r="K50" s="356"/>
      <c r="L50" s="356"/>
      <c r="M50" s="358">
        <f t="shared" si="12"/>
        <v>91283</v>
      </c>
      <c r="O50" s="358">
        <v>109540</v>
      </c>
      <c r="P50" s="356"/>
      <c r="Q50" s="356"/>
      <c r="R50" s="356"/>
      <c r="S50" s="358">
        <f t="shared" si="15"/>
        <v>109540</v>
      </c>
      <c r="U50" s="358">
        <v>150000</v>
      </c>
      <c r="V50" s="356"/>
      <c r="W50" s="356"/>
      <c r="X50" s="356"/>
      <c r="Y50" s="356"/>
      <c r="Z50" s="358">
        <f t="shared" si="14"/>
        <v>150000</v>
      </c>
      <c r="AA50" s="170" t="s">
        <v>443</v>
      </c>
      <c r="AB50" s="170" t="s">
        <v>136</v>
      </c>
    </row>
    <row r="51" spans="1:28" s="359" customFormat="1" ht="20.25" customHeight="1" x14ac:dyDescent="0.2">
      <c r="A51" s="195">
        <v>580175818</v>
      </c>
      <c r="B51" s="209" t="s">
        <v>763</v>
      </c>
      <c r="C51" s="344"/>
      <c r="D51" s="358">
        <v>100000</v>
      </c>
      <c r="E51" s="330"/>
      <c r="F51" s="330"/>
      <c r="G51" s="358">
        <f t="shared" si="11"/>
        <v>100000</v>
      </c>
      <c r="H51" s="344"/>
      <c r="I51" s="358">
        <v>100000</v>
      </c>
      <c r="J51" s="330"/>
      <c r="K51" s="330"/>
      <c r="L51" s="330"/>
      <c r="M51" s="358">
        <f t="shared" si="12"/>
        <v>100000</v>
      </c>
      <c r="N51" s="344"/>
      <c r="O51" s="358">
        <v>93784</v>
      </c>
      <c r="P51" s="330"/>
      <c r="Q51" s="330"/>
      <c r="R51" s="330"/>
      <c r="S51" s="358">
        <f t="shared" si="15"/>
        <v>93784</v>
      </c>
      <c r="T51" s="344"/>
      <c r="U51" s="358">
        <v>44183</v>
      </c>
      <c r="V51" s="330"/>
      <c r="W51" s="330"/>
      <c r="X51" s="330"/>
      <c r="Y51" s="330"/>
      <c r="Z51" s="358">
        <f t="shared" si="14"/>
        <v>44183</v>
      </c>
      <c r="AA51" s="170" t="s">
        <v>416</v>
      </c>
      <c r="AB51" s="170" t="s">
        <v>136</v>
      </c>
    </row>
    <row r="52" spans="1:28" s="359" customFormat="1" ht="18" customHeight="1" x14ac:dyDescent="0.2">
      <c r="A52" s="195">
        <v>580288728</v>
      </c>
      <c r="B52" s="209" t="s">
        <v>764</v>
      </c>
      <c r="C52" s="344"/>
      <c r="D52" s="358">
        <v>119706</v>
      </c>
      <c r="E52" s="849">
        <v>94323.025560597976</v>
      </c>
      <c r="F52" s="366"/>
      <c r="G52" s="358">
        <f t="shared" si="11"/>
        <v>214029.02556059798</v>
      </c>
      <c r="H52" s="344"/>
      <c r="I52" s="358">
        <v>140816</v>
      </c>
      <c r="J52" s="849">
        <v>73486</v>
      </c>
      <c r="K52" s="366"/>
      <c r="L52" s="366"/>
      <c r="M52" s="358">
        <f t="shared" si="12"/>
        <v>214302</v>
      </c>
      <c r="N52" s="344"/>
      <c r="O52" s="358">
        <v>140000</v>
      </c>
      <c r="P52" s="894">
        <v>80590.15888423362</v>
      </c>
      <c r="Q52" s="366"/>
      <c r="R52" s="366"/>
      <c r="S52" s="358">
        <f t="shared" si="15"/>
        <v>220590.15888423362</v>
      </c>
      <c r="T52" s="344"/>
      <c r="U52" s="358">
        <v>150000</v>
      </c>
      <c r="V52" s="894">
        <v>74127</v>
      </c>
      <c r="W52" s="366"/>
      <c r="X52" s="366"/>
      <c r="Y52" s="366"/>
      <c r="Z52" s="358">
        <f t="shared" si="14"/>
        <v>224127</v>
      </c>
      <c r="AA52" s="170" t="s">
        <v>53</v>
      </c>
      <c r="AB52" s="170" t="s">
        <v>53</v>
      </c>
    </row>
    <row r="53" spans="1:28" ht="30.75" customHeight="1" x14ac:dyDescent="0.2">
      <c r="A53" s="195">
        <v>580029148</v>
      </c>
      <c r="B53" s="209" t="s">
        <v>765</v>
      </c>
      <c r="D53" s="358">
        <v>35000</v>
      </c>
      <c r="E53" s="849"/>
      <c r="F53" s="366"/>
      <c r="G53" s="358">
        <f t="shared" si="11"/>
        <v>35000</v>
      </c>
      <c r="I53" s="358">
        <v>56075</v>
      </c>
      <c r="J53" s="849">
        <v>21486</v>
      </c>
      <c r="K53" s="366"/>
      <c r="L53" s="366"/>
      <c r="M53" s="358">
        <f t="shared" si="12"/>
        <v>77561</v>
      </c>
      <c r="O53" s="358">
        <v>50000</v>
      </c>
      <c r="P53" s="894">
        <v>32092.185259014608</v>
      </c>
      <c r="Q53" s="366"/>
      <c r="R53" s="366"/>
      <c r="S53" s="358">
        <f t="shared" si="15"/>
        <v>82092.185259014601</v>
      </c>
      <c r="U53" s="358">
        <f>70000+50460</f>
        <v>120460</v>
      </c>
      <c r="V53" s="894">
        <v>26474</v>
      </c>
      <c r="W53" s="366"/>
      <c r="X53" s="366"/>
      <c r="Y53" s="366"/>
      <c r="Z53" s="358">
        <f t="shared" si="14"/>
        <v>146934</v>
      </c>
      <c r="AA53" s="170" t="s">
        <v>53</v>
      </c>
      <c r="AB53" s="170" t="s">
        <v>53</v>
      </c>
    </row>
    <row r="54" spans="1:28" ht="21.75" customHeight="1" x14ac:dyDescent="0.2">
      <c r="A54" s="195">
        <v>580362804</v>
      </c>
      <c r="B54" s="209" t="s">
        <v>766</v>
      </c>
      <c r="D54" s="358">
        <v>620000</v>
      </c>
      <c r="E54" s="849">
        <v>537639.1616308419</v>
      </c>
      <c r="F54" s="366"/>
      <c r="G54" s="358">
        <f t="shared" si="11"/>
        <v>1157639.1616308419</v>
      </c>
      <c r="I54" s="358">
        <v>727550</v>
      </c>
      <c r="J54" s="849">
        <v>380609</v>
      </c>
      <c r="K54" s="366"/>
      <c r="L54" s="366"/>
      <c r="M54" s="358">
        <f t="shared" si="12"/>
        <v>1108159</v>
      </c>
      <c r="O54" s="358">
        <f>873060</f>
        <v>873060</v>
      </c>
      <c r="P54" s="962">
        <f>374002.294070644+42381</f>
        <v>416383.29407064401</v>
      </c>
      <c r="Q54" s="366"/>
      <c r="R54" s="366"/>
      <c r="S54" s="358">
        <f t="shared" si="15"/>
        <v>1289443.2940706441</v>
      </c>
      <c r="U54" s="358">
        <v>1169087</v>
      </c>
      <c r="V54" s="894">
        <v>462268</v>
      </c>
      <c r="W54" s="366"/>
      <c r="X54" s="366"/>
      <c r="Y54" s="366"/>
      <c r="Z54" s="358">
        <f t="shared" si="14"/>
        <v>1631355</v>
      </c>
      <c r="AA54" s="170" t="s">
        <v>53</v>
      </c>
      <c r="AB54" s="170" t="s">
        <v>53</v>
      </c>
    </row>
    <row r="55" spans="1:28" ht="17.25" customHeight="1" x14ac:dyDescent="0.2">
      <c r="A55" s="195">
        <v>580352490</v>
      </c>
      <c r="B55" s="209" t="s">
        <v>405</v>
      </c>
      <c r="D55" s="358">
        <v>22000</v>
      </c>
      <c r="E55" s="849">
        <v>18476.100742509279</v>
      </c>
      <c r="F55" s="366"/>
      <c r="G55" s="358">
        <f t="shared" si="11"/>
        <v>40476.100742509283</v>
      </c>
      <c r="I55" s="358">
        <v>25816</v>
      </c>
      <c r="J55" s="849">
        <v>13505</v>
      </c>
      <c r="K55" s="366"/>
      <c r="L55" s="366"/>
      <c r="M55" s="358">
        <f t="shared" si="12"/>
        <v>39321</v>
      </c>
      <c r="O55" s="358">
        <v>30979</v>
      </c>
      <c r="P55" s="894">
        <v>14774.709846575495</v>
      </c>
      <c r="Q55" s="366"/>
      <c r="R55" s="366"/>
      <c r="S55" s="358">
        <f t="shared" si="15"/>
        <v>45753.709846575497</v>
      </c>
      <c r="U55" s="358">
        <v>28300</v>
      </c>
      <c r="V55" s="894">
        <v>16403</v>
      </c>
      <c r="W55" s="366"/>
      <c r="X55" s="366"/>
      <c r="Y55" s="366"/>
      <c r="Z55" s="358">
        <f t="shared" si="14"/>
        <v>44703</v>
      </c>
      <c r="AA55" s="170" t="s">
        <v>53</v>
      </c>
      <c r="AB55" s="170" t="s">
        <v>53</v>
      </c>
    </row>
    <row r="56" spans="1:28" ht="25.5" x14ac:dyDescent="0.2">
      <c r="A56" s="195">
        <v>580002780</v>
      </c>
      <c r="B56" s="209" t="s">
        <v>310</v>
      </c>
      <c r="D56" s="358">
        <v>70000</v>
      </c>
      <c r="E56" s="849"/>
      <c r="F56" s="356"/>
      <c r="G56" s="358">
        <f t="shared" si="11"/>
        <v>70000</v>
      </c>
      <c r="I56" s="358">
        <v>82143</v>
      </c>
      <c r="J56" s="849"/>
      <c r="K56" s="356"/>
      <c r="L56" s="356"/>
      <c r="M56" s="358">
        <f t="shared" si="12"/>
        <v>82143</v>
      </c>
      <c r="O56" s="358">
        <v>90000</v>
      </c>
      <c r="P56" s="849"/>
      <c r="Q56" s="356"/>
      <c r="R56" s="356"/>
      <c r="S56" s="358">
        <f t="shared" si="15"/>
        <v>90000</v>
      </c>
      <c r="U56" s="358">
        <v>66923</v>
      </c>
      <c r="V56" s="894"/>
      <c r="W56" s="356"/>
      <c r="X56" s="356"/>
      <c r="Y56" s="356"/>
      <c r="Z56" s="358">
        <f t="shared" si="14"/>
        <v>66923</v>
      </c>
      <c r="AA56" s="170" t="s">
        <v>767</v>
      </c>
      <c r="AB56" s="170" t="s">
        <v>12</v>
      </c>
    </row>
    <row r="57" spans="1:28" ht="19.5" customHeight="1" x14ac:dyDescent="0.2">
      <c r="A57" s="195">
        <v>580222545</v>
      </c>
      <c r="B57" s="209" t="s">
        <v>769</v>
      </c>
      <c r="D57" s="358">
        <v>70000</v>
      </c>
      <c r="E57" s="356"/>
      <c r="F57" s="356"/>
      <c r="G57" s="358">
        <f t="shared" si="11"/>
        <v>70000</v>
      </c>
      <c r="I57" s="358">
        <v>70000</v>
      </c>
      <c r="J57" s="356"/>
      <c r="K57" s="356"/>
      <c r="L57" s="356"/>
      <c r="M57" s="358">
        <f t="shared" si="12"/>
        <v>70000</v>
      </c>
      <c r="O57" s="358">
        <v>70000</v>
      </c>
      <c r="P57" s="356"/>
      <c r="Q57" s="356"/>
      <c r="R57" s="356"/>
      <c r="S57" s="358">
        <f t="shared" si="15"/>
        <v>70000</v>
      </c>
      <c r="U57" s="358">
        <v>78533</v>
      </c>
      <c r="V57" s="894"/>
      <c r="W57" s="356"/>
      <c r="X57" s="356"/>
      <c r="Y57" s="356"/>
      <c r="Z57" s="358">
        <f t="shared" si="14"/>
        <v>78533</v>
      </c>
      <c r="AA57" s="170" t="s">
        <v>770</v>
      </c>
      <c r="AB57" s="170" t="s">
        <v>32</v>
      </c>
    </row>
    <row r="58" spans="1:28" ht="36" customHeight="1" x14ac:dyDescent="0.2">
      <c r="A58" s="195">
        <v>510748734</v>
      </c>
      <c r="B58" s="209" t="s">
        <v>771</v>
      </c>
      <c r="D58" s="358">
        <f>17000+11000</f>
        <v>28000</v>
      </c>
      <c r="E58" s="356"/>
      <c r="F58" s="356"/>
      <c r="G58" s="358">
        <f t="shared" si="11"/>
        <v>28000</v>
      </c>
      <c r="I58" s="358">
        <f>19949+12908</f>
        <v>32857</v>
      </c>
      <c r="J58" s="356"/>
      <c r="K58" s="356"/>
      <c r="L58" s="356"/>
      <c r="M58" s="358">
        <f t="shared" si="12"/>
        <v>32857</v>
      </c>
      <c r="O58" s="358">
        <v>39429</v>
      </c>
      <c r="P58" s="356"/>
      <c r="Q58" s="356"/>
      <c r="R58" s="356"/>
      <c r="S58" s="358">
        <f t="shared" si="15"/>
        <v>39429</v>
      </c>
      <c r="U58" s="358">
        <v>35936</v>
      </c>
      <c r="V58" s="894">
        <f>8202+12675</f>
        <v>20877</v>
      </c>
      <c r="W58" s="356"/>
      <c r="X58" s="356"/>
      <c r="Y58" s="356"/>
      <c r="Z58" s="358">
        <f t="shared" si="14"/>
        <v>56813</v>
      </c>
      <c r="AA58" s="170" t="s">
        <v>53</v>
      </c>
      <c r="AB58" s="170" t="s">
        <v>53</v>
      </c>
    </row>
    <row r="59" spans="1:28" ht="27.75" customHeight="1" x14ac:dyDescent="0.2">
      <c r="A59" s="195">
        <v>580025807</v>
      </c>
      <c r="B59" s="209" t="s">
        <v>772</v>
      </c>
      <c r="D59" s="861">
        <f>300000+250000</f>
        <v>550000</v>
      </c>
      <c r="E59" s="356"/>
      <c r="F59" s="356"/>
      <c r="G59" s="358">
        <f t="shared" ref="G59:G100" si="16">SUM(D59:F59)</f>
        <v>550000</v>
      </c>
      <c r="I59" s="358">
        <f>117347+271116+293367</f>
        <v>681830</v>
      </c>
      <c r="J59" s="356"/>
      <c r="K59" s="356"/>
      <c r="L59" s="356"/>
      <c r="M59" s="358">
        <f t="shared" ref="M59:M100" si="17">SUM(I59:K59)</f>
        <v>681830</v>
      </c>
      <c r="O59" s="358">
        <v>1250128</v>
      </c>
      <c r="P59" s="356"/>
      <c r="Q59" s="356"/>
      <c r="R59" s="356"/>
      <c r="S59" s="358">
        <f t="shared" ref="S59:S78" si="18">SUM(O59:Q59)</f>
        <v>1250128</v>
      </c>
      <c r="U59" s="358">
        <f>255344+594388</f>
        <v>849732</v>
      </c>
      <c r="V59" s="894"/>
      <c r="W59" s="356"/>
      <c r="X59" s="356"/>
      <c r="Y59" s="356"/>
      <c r="Z59" s="358">
        <f t="shared" si="14"/>
        <v>849732</v>
      </c>
      <c r="AA59" s="170" t="s">
        <v>73</v>
      </c>
      <c r="AB59" s="170" t="s">
        <v>136</v>
      </c>
    </row>
    <row r="60" spans="1:28" ht="23.25" customHeight="1" x14ac:dyDescent="0.2">
      <c r="A60" s="195">
        <v>580186278</v>
      </c>
      <c r="B60" s="209" t="s">
        <v>2468</v>
      </c>
      <c r="D60" s="358">
        <v>33000</v>
      </c>
      <c r="E60" s="356"/>
      <c r="F60" s="356"/>
      <c r="G60" s="358">
        <f t="shared" si="16"/>
        <v>33000</v>
      </c>
      <c r="I60" s="358">
        <v>38724</v>
      </c>
      <c r="J60" s="356"/>
      <c r="K60" s="356"/>
      <c r="L60" s="356"/>
      <c r="M60" s="358">
        <f t="shared" si="17"/>
        <v>38724</v>
      </c>
      <c r="O60" s="358">
        <v>46469</v>
      </c>
      <c r="P60" s="356"/>
      <c r="Q60" s="356"/>
      <c r="R60" s="356"/>
      <c r="S60" s="358">
        <f t="shared" si="18"/>
        <v>46469</v>
      </c>
      <c r="U60" s="358">
        <v>57461</v>
      </c>
      <c r="V60" s="894"/>
      <c r="W60" s="356"/>
      <c r="X60" s="356"/>
      <c r="Y60" s="356"/>
      <c r="Z60" s="358">
        <f t="shared" si="14"/>
        <v>57461</v>
      </c>
      <c r="AA60" s="170" t="s">
        <v>443</v>
      </c>
      <c r="AB60" s="170" t="s">
        <v>136</v>
      </c>
    </row>
    <row r="61" spans="1:28" ht="16.5" customHeight="1" x14ac:dyDescent="0.2">
      <c r="A61" s="195">
        <v>580431245</v>
      </c>
      <c r="B61" s="209" t="s">
        <v>773</v>
      </c>
      <c r="D61" s="358">
        <v>55000</v>
      </c>
      <c r="E61" s="356"/>
      <c r="F61" s="356"/>
      <c r="G61" s="358">
        <f t="shared" si="16"/>
        <v>55000</v>
      </c>
      <c r="I61" s="358">
        <v>64541</v>
      </c>
      <c r="J61" s="356"/>
      <c r="K61" s="356"/>
      <c r="L61" s="356"/>
      <c r="M61" s="358">
        <f t="shared" si="17"/>
        <v>64541</v>
      </c>
      <c r="O61" s="358">
        <v>77449</v>
      </c>
      <c r="P61" s="356"/>
      <c r="Q61" s="356"/>
      <c r="R61" s="356"/>
      <c r="S61" s="358">
        <f t="shared" si="18"/>
        <v>77449</v>
      </c>
      <c r="U61" s="358">
        <v>56176</v>
      </c>
      <c r="V61" s="894"/>
      <c r="W61" s="356"/>
      <c r="X61" s="356"/>
      <c r="Y61" s="356"/>
      <c r="Z61" s="358">
        <f t="shared" si="14"/>
        <v>56176</v>
      </c>
      <c r="AA61" s="170" t="s">
        <v>774</v>
      </c>
      <c r="AB61" s="170" t="s">
        <v>136</v>
      </c>
    </row>
    <row r="62" spans="1:28" ht="25.5" x14ac:dyDescent="0.2">
      <c r="A62" s="195">
        <v>580350841</v>
      </c>
      <c r="B62" s="367" t="s">
        <v>775</v>
      </c>
      <c r="D62" s="358"/>
      <c r="E62" s="356"/>
      <c r="F62" s="356"/>
      <c r="G62" s="358">
        <f t="shared" si="16"/>
        <v>0</v>
      </c>
      <c r="I62" s="358">
        <v>28163</v>
      </c>
      <c r="J62" s="356"/>
      <c r="K62" s="356"/>
      <c r="L62" s="356"/>
      <c r="M62" s="358">
        <f t="shared" si="17"/>
        <v>28163</v>
      </c>
      <c r="O62" s="358">
        <v>26447</v>
      </c>
      <c r="P62" s="356"/>
      <c r="Q62" s="356"/>
      <c r="R62" s="356"/>
      <c r="S62" s="358">
        <f t="shared" si="18"/>
        <v>26447</v>
      </c>
      <c r="U62" s="358">
        <v>28192</v>
      </c>
      <c r="V62" s="894"/>
      <c r="W62" s="356"/>
      <c r="X62" s="356"/>
      <c r="Y62" s="356"/>
      <c r="Z62" s="358">
        <f t="shared" si="14"/>
        <v>28192</v>
      </c>
      <c r="AA62" s="170" t="s">
        <v>720</v>
      </c>
      <c r="AB62" s="170" t="s">
        <v>136</v>
      </c>
    </row>
    <row r="63" spans="1:28" ht="25.5" x14ac:dyDescent="0.2">
      <c r="A63" s="108">
        <v>580363364</v>
      </c>
      <c r="B63" s="88" t="s">
        <v>776</v>
      </c>
      <c r="D63" s="358">
        <v>87000</v>
      </c>
      <c r="E63" s="356"/>
      <c r="F63" s="356"/>
      <c r="G63" s="358">
        <f t="shared" si="16"/>
        <v>87000</v>
      </c>
      <c r="I63" s="358">
        <v>102092</v>
      </c>
      <c r="J63" s="356"/>
      <c r="K63" s="356"/>
      <c r="L63" s="356"/>
      <c r="M63" s="358">
        <f t="shared" si="17"/>
        <v>102092</v>
      </c>
      <c r="O63" s="358">
        <v>122510</v>
      </c>
      <c r="P63" s="356"/>
      <c r="Q63" s="356"/>
      <c r="R63" s="356"/>
      <c r="S63" s="358">
        <f t="shared" si="18"/>
        <v>122510</v>
      </c>
      <c r="U63" s="358">
        <v>103995</v>
      </c>
      <c r="V63" s="894"/>
      <c r="W63" s="356"/>
      <c r="X63" s="356"/>
      <c r="Y63" s="356"/>
      <c r="Z63" s="358">
        <f t="shared" si="14"/>
        <v>103995</v>
      </c>
      <c r="AA63" s="164" t="s">
        <v>2369</v>
      </c>
      <c r="AB63" s="170" t="s">
        <v>777</v>
      </c>
    </row>
    <row r="64" spans="1:28" ht="27.75" customHeight="1" x14ac:dyDescent="0.2">
      <c r="A64" s="195">
        <v>580489847</v>
      </c>
      <c r="B64" s="368" t="s">
        <v>779</v>
      </c>
      <c r="D64" s="358">
        <v>101797</v>
      </c>
      <c r="E64" s="356"/>
      <c r="F64" s="356"/>
      <c r="G64" s="358">
        <f t="shared" si="16"/>
        <v>101797</v>
      </c>
      <c r="I64" s="358">
        <v>140816</v>
      </c>
      <c r="J64" s="356"/>
      <c r="K64" s="356"/>
      <c r="L64" s="356"/>
      <c r="M64" s="358">
        <f t="shared" si="17"/>
        <v>140816</v>
      </c>
      <c r="O64" s="358">
        <v>169902</v>
      </c>
      <c r="P64" s="356"/>
      <c r="Q64" s="356"/>
      <c r="R64" s="356"/>
      <c r="S64" s="358">
        <f t="shared" si="18"/>
        <v>169902</v>
      </c>
      <c r="U64" s="358">
        <v>199638</v>
      </c>
      <c r="V64" s="894"/>
      <c r="W64" s="356"/>
      <c r="X64" s="356"/>
      <c r="Y64" s="356"/>
      <c r="Z64" s="358">
        <f t="shared" si="14"/>
        <v>199638</v>
      </c>
      <c r="AA64" s="170" t="s">
        <v>416</v>
      </c>
      <c r="AB64" s="170" t="s">
        <v>136</v>
      </c>
    </row>
    <row r="65" spans="1:28" ht="33.75" customHeight="1" x14ac:dyDescent="0.2">
      <c r="A65" s="195">
        <v>580509024</v>
      </c>
      <c r="B65" s="109" t="s">
        <v>780</v>
      </c>
      <c r="D65" s="358">
        <v>119706</v>
      </c>
      <c r="E65" s="356"/>
      <c r="F65" s="356"/>
      <c r="G65" s="358">
        <f t="shared" si="16"/>
        <v>119706</v>
      </c>
      <c r="I65" s="358">
        <v>140816</v>
      </c>
      <c r="J65" s="356"/>
      <c r="K65" s="356"/>
      <c r="L65" s="356"/>
      <c r="M65" s="358">
        <f t="shared" si="17"/>
        <v>140816</v>
      </c>
      <c r="O65" s="358">
        <v>250000</v>
      </c>
      <c r="P65" s="356"/>
      <c r="Q65" s="356"/>
      <c r="R65" s="356"/>
      <c r="S65" s="358">
        <f t="shared" si="18"/>
        <v>250000</v>
      </c>
      <c r="U65" s="358">
        <f>248703+100000</f>
        <v>348703</v>
      </c>
      <c r="V65" s="894"/>
      <c r="W65" s="356"/>
      <c r="X65" s="356"/>
      <c r="Y65" s="356"/>
      <c r="Z65" s="358">
        <f t="shared" si="14"/>
        <v>348703</v>
      </c>
      <c r="AA65" s="170" t="s">
        <v>94</v>
      </c>
      <c r="AB65" s="170" t="s">
        <v>777</v>
      </c>
    </row>
    <row r="66" spans="1:28" ht="47.25" customHeight="1" x14ac:dyDescent="0.2">
      <c r="A66" s="195">
        <v>510145022</v>
      </c>
      <c r="B66" s="209" t="s">
        <v>781</v>
      </c>
      <c r="D66" s="358">
        <f>89789+47882</f>
        <v>137671</v>
      </c>
      <c r="E66" s="356"/>
      <c r="F66" s="356"/>
      <c r="G66" s="358">
        <f t="shared" si="16"/>
        <v>137671</v>
      </c>
      <c r="I66" s="358">
        <f>50000+64541</f>
        <v>114541</v>
      </c>
      <c r="J66" s="356"/>
      <c r="K66" s="356"/>
      <c r="L66" s="356"/>
      <c r="M66" s="358">
        <f t="shared" si="17"/>
        <v>114541</v>
      </c>
      <c r="O66" s="358">
        <v>129681</v>
      </c>
      <c r="P66" s="356"/>
      <c r="Q66" s="356"/>
      <c r="R66" s="356"/>
      <c r="S66" s="358">
        <f t="shared" si="18"/>
        <v>129681</v>
      </c>
      <c r="U66" s="358">
        <f>95213+70000</f>
        <v>165213</v>
      </c>
      <c r="V66" s="894"/>
      <c r="W66" s="356"/>
      <c r="X66" s="356"/>
      <c r="Y66" s="356"/>
      <c r="Z66" s="358">
        <f t="shared" si="14"/>
        <v>165213</v>
      </c>
      <c r="AA66" s="170" t="s">
        <v>43</v>
      </c>
      <c r="AB66" s="170" t="s">
        <v>9</v>
      </c>
    </row>
    <row r="67" spans="1:28" ht="25.5" x14ac:dyDescent="0.2">
      <c r="A67" s="195">
        <v>511757114</v>
      </c>
      <c r="B67" s="109" t="s">
        <v>733</v>
      </c>
      <c r="D67" s="861">
        <v>22000</v>
      </c>
      <c r="E67" s="356"/>
      <c r="F67" s="356"/>
      <c r="G67" s="358">
        <f t="shared" si="16"/>
        <v>22000</v>
      </c>
      <c r="I67" s="861">
        <v>25816</v>
      </c>
      <c r="J67" s="356"/>
      <c r="K67" s="356"/>
      <c r="L67" s="356"/>
      <c r="M67" s="358">
        <f t="shared" si="17"/>
        <v>25816</v>
      </c>
      <c r="O67" s="861">
        <v>70000</v>
      </c>
      <c r="P67" s="356"/>
      <c r="Q67" s="356"/>
      <c r="R67" s="356"/>
      <c r="S67" s="358">
        <f t="shared" si="18"/>
        <v>70000</v>
      </c>
      <c r="U67" s="358">
        <v>88957</v>
      </c>
      <c r="V67" s="894"/>
      <c r="W67" s="356"/>
      <c r="X67" s="356"/>
      <c r="Y67" s="356"/>
      <c r="Z67" s="358">
        <f t="shared" si="14"/>
        <v>88957</v>
      </c>
      <c r="AA67" s="170" t="s">
        <v>461</v>
      </c>
      <c r="AB67" s="170" t="s">
        <v>12</v>
      </c>
    </row>
    <row r="68" spans="1:28" ht="25.5" x14ac:dyDescent="0.2">
      <c r="A68" s="195">
        <v>580515815</v>
      </c>
      <c r="B68" s="55" t="s">
        <v>878</v>
      </c>
      <c r="D68" s="358">
        <v>23941</v>
      </c>
      <c r="E68" s="356"/>
      <c r="F68" s="356"/>
      <c r="G68" s="358">
        <f t="shared" si="16"/>
        <v>23941</v>
      </c>
      <c r="I68" s="358">
        <v>28163</v>
      </c>
      <c r="J68" s="356"/>
      <c r="K68" s="356"/>
      <c r="L68" s="356"/>
      <c r="M68" s="358">
        <f t="shared" si="17"/>
        <v>28163</v>
      </c>
      <c r="O68" s="358"/>
      <c r="P68" s="356"/>
      <c r="Q68" s="356"/>
      <c r="R68" s="356"/>
      <c r="S68" s="358">
        <f t="shared" si="18"/>
        <v>0</v>
      </c>
      <c r="U68" s="358">
        <v>26103</v>
      </c>
      <c r="V68" s="894"/>
      <c r="W68" s="356"/>
      <c r="X68" s="356"/>
      <c r="Y68" s="356"/>
      <c r="Z68" s="358">
        <f t="shared" si="14"/>
        <v>26103</v>
      </c>
      <c r="AA68" s="170" t="s">
        <v>2238</v>
      </c>
      <c r="AB68" s="170" t="s">
        <v>12</v>
      </c>
    </row>
    <row r="69" spans="1:28" ht="23.25" customHeight="1" x14ac:dyDescent="0.2">
      <c r="A69" s="195">
        <v>580103323</v>
      </c>
      <c r="B69" s="55" t="s">
        <v>1508</v>
      </c>
      <c r="D69" s="358">
        <v>11971</v>
      </c>
      <c r="E69" s="356"/>
      <c r="F69" s="356"/>
      <c r="G69" s="358">
        <f t="shared" si="16"/>
        <v>11971</v>
      </c>
      <c r="I69" s="358">
        <v>20000</v>
      </c>
      <c r="J69" s="356"/>
      <c r="K69" s="356"/>
      <c r="L69" s="356"/>
      <c r="M69" s="358">
        <f t="shared" si="17"/>
        <v>20000</v>
      </c>
      <c r="O69" s="358">
        <v>21188</v>
      </c>
      <c r="P69" s="356"/>
      <c r="Q69" s="356"/>
      <c r="R69" s="356"/>
      <c r="S69" s="358">
        <f t="shared" si="18"/>
        <v>21188</v>
      </c>
      <c r="U69" s="358"/>
      <c r="V69" s="894"/>
      <c r="W69" s="356"/>
      <c r="X69" s="356"/>
      <c r="Y69" s="356"/>
      <c r="Z69" s="358">
        <f t="shared" si="14"/>
        <v>0</v>
      </c>
      <c r="AA69" s="170" t="s">
        <v>2239</v>
      </c>
      <c r="AB69" s="170" t="s">
        <v>9</v>
      </c>
    </row>
    <row r="70" spans="1:28" ht="28.5" customHeight="1" x14ac:dyDescent="0.2">
      <c r="A70" s="195">
        <v>580144624</v>
      </c>
      <c r="B70" s="794" t="s">
        <v>2367</v>
      </c>
      <c r="D70" s="358">
        <v>44000</v>
      </c>
      <c r="E70" s="356"/>
      <c r="F70" s="215"/>
      <c r="G70" s="358">
        <f t="shared" si="16"/>
        <v>44000</v>
      </c>
      <c r="I70" s="358">
        <v>51633</v>
      </c>
      <c r="J70" s="356"/>
      <c r="K70" s="215"/>
      <c r="L70" s="215"/>
      <c r="M70" s="358">
        <f t="shared" si="17"/>
        <v>51633</v>
      </c>
      <c r="O70" s="358">
        <v>61960</v>
      </c>
      <c r="P70" s="356"/>
      <c r="Q70" s="215"/>
      <c r="R70" s="215"/>
      <c r="S70" s="358">
        <f t="shared" si="18"/>
        <v>61960</v>
      </c>
      <c r="U70" s="358">
        <v>104830</v>
      </c>
      <c r="V70" s="894"/>
      <c r="W70" s="215"/>
      <c r="X70" s="215"/>
      <c r="Y70" s="215"/>
      <c r="Z70" s="358">
        <f t="shared" si="14"/>
        <v>104830</v>
      </c>
      <c r="AA70" s="170" t="s">
        <v>670</v>
      </c>
      <c r="AB70" s="170" t="s">
        <v>12</v>
      </c>
    </row>
    <row r="71" spans="1:28" ht="28.5" customHeight="1" x14ac:dyDescent="0.2">
      <c r="A71" s="195">
        <v>512287350</v>
      </c>
      <c r="B71" s="794" t="s">
        <v>2368</v>
      </c>
      <c r="D71" s="170"/>
      <c r="E71" s="356"/>
      <c r="F71" s="215"/>
      <c r="G71" s="358">
        <f t="shared" si="16"/>
        <v>0</v>
      </c>
      <c r="I71" s="170"/>
      <c r="J71" s="356"/>
      <c r="K71" s="215"/>
      <c r="L71" s="215"/>
      <c r="M71" s="358">
        <f t="shared" si="17"/>
        <v>0</v>
      </c>
      <c r="O71" s="358"/>
      <c r="P71" s="356"/>
      <c r="Q71" s="215"/>
      <c r="R71" s="215"/>
      <c r="S71" s="358">
        <f t="shared" si="18"/>
        <v>0</v>
      </c>
      <c r="U71" s="358"/>
      <c r="V71" s="894"/>
      <c r="W71" s="215"/>
      <c r="X71" s="215"/>
      <c r="Y71" s="215"/>
      <c r="Z71" s="358">
        <f t="shared" si="14"/>
        <v>0</v>
      </c>
      <c r="AA71" s="164" t="s">
        <v>426</v>
      </c>
      <c r="AB71" s="402" t="s">
        <v>136</v>
      </c>
    </row>
    <row r="72" spans="1:28" ht="28.5" customHeight="1" x14ac:dyDescent="0.2">
      <c r="A72" s="195">
        <v>580080224</v>
      </c>
      <c r="B72" s="794" t="s">
        <v>497</v>
      </c>
      <c r="D72" s="170"/>
      <c r="E72" s="356"/>
      <c r="F72" s="215"/>
      <c r="G72" s="358">
        <f t="shared" si="16"/>
        <v>0</v>
      </c>
      <c r="I72" s="170"/>
      <c r="J72" s="356"/>
      <c r="K72" s="215"/>
      <c r="L72" s="215"/>
      <c r="M72" s="358">
        <f t="shared" si="17"/>
        <v>0</v>
      </c>
      <c r="O72" s="358"/>
      <c r="P72" s="356"/>
      <c r="Q72" s="215"/>
      <c r="R72" s="215"/>
      <c r="S72" s="358">
        <f t="shared" si="18"/>
        <v>0</v>
      </c>
      <c r="U72" s="358"/>
      <c r="V72" s="894"/>
      <c r="W72" s="215"/>
      <c r="X72" s="215"/>
      <c r="Y72" s="215"/>
      <c r="Z72" s="358">
        <f t="shared" si="14"/>
        <v>0</v>
      </c>
      <c r="AA72" s="164" t="s">
        <v>53</v>
      </c>
      <c r="AB72" s="402" t="s">
        <v>53</v>
      </c>
    </row>
    <row r="73" spans="1:28" ht="28.5" customHeight="1" x14ac:dyDescent="0.2">
      <c r="A73" s="195">
        <v>580547602</v>
      </c>
      <c r="B73" s="794" t="s">
        <v>2371</v>
      </c>
      <c r="D73" s="170">
        <v>55000</v>
      </c>
      <c r="E73" s="849">
        <v>47161.512780298988</v>
      </c>
      <c r="F73" s="215"/>
      <c r="G73" s="358">
        <f t="shared" si="16"/>
        <v>102161.51278029899</v>
      </c>
      <c r="I73" s="861">
        <v>64541</v>
      </c>
      <c r="J73" s="849">
        <v>33764</v>
      </c>
      <c r="K73" s="215"/>
      <c r="L73" s="215"/>
      <c r="M73" s="358">
        <f t="shared" si="17"/>
        <v>98305</v>
      </c>
      <c r="O73" s="861">
        <v>96812</v>
      </c>
      <c r="P73" s="894">
        <v>36937.346924691235</v>
      </c>
      <c r="Q73" s="215"/>
      <c r="R73" s="215"/>
      <c r="S73" s="358">
        <f t="shared" si="18"/>
        <v>133749.34692469123</v>
      </c>
      <c r="U73" s="358">
        <v>75095</v>
      </c>
      <c r="V73" s="894">
        <v>51260</v>
      </c>
      <c r="W73" s="215"/>
      <c r="X73" s="215"/>
      <c r="Y73" s="215"/>
      <c r="Z73" s="358">
        <f t="shared" si="14"/>
        <v>126355</v>
      </c>
      <c r="AA73" s="164" t="s">
        <v>53</v>
      </c>
      <c r="AB73" s="402" t="s">
        <v>53</v>
      </c>
    </row>
    <row r="74" spans="1:28" ht="28.5" customHeight="1" x14ac:dyDescent="0.2">
      <c r="A74" s="195">
        <v>580023968</v>
      </c>
      <c r="B74" s="855" t="s">
        <v>2467</v>
      </c>
      <c r="D74" s="170">
        <v>44000</v>
      </c>
      <c r="E74" s="356"/>
      <c r="F74" s="215"/>
      <c r="G74" s="358">
        <f t="shared" si="16"/>
        <v>44000</v>
      </c>
      <c r="I74" s="170"/>
      <c r="J74" s="356"/>
      <c r="K74" s="215"/>
      <c r="L74" s="215"/>
      <c r="M74" s="358">
        <f t="shared" si="17"/>
        <v>0</v>
      </c>
      <c r="O74" s="170">
        <v>170000</v>
      </c>
      <c r="P74" s="356"/>
      <c r="Q74" s="215"/>
      <c r="R74" s="215"/>
      <c r="S74" s="358">
        <f t="shared" si="18"/>
        <v>170000</v>
      </c>
      <c r="U74" s="358">
        <v>200000</v>
      </c>
      <c r="V74" s="894">
        <v>52382</v>
      </c>
      <c r="W74" s="215"/>
      <c r="X74" s="215"/>
      <c r="Y74" s="215"/>
      <c r="Z74" s="358">
        <f t="shared" si="14"/>
        <v>252382</v>
      </c>
      <c r="AA74" s="164" t="s">
        <v>53</v>
      </c>
      <c r="AB74" s="402" t="s">
        <v>53</v>
      </c>
    </row>
    <row r="75" spans="1:28" ht="28.5" customHeight="1" x14ac:dyDescent="0.2">
      <c r="A75" s="195" t="s">
        <v>2471</v>
      </c>
      <c r="B75" s="855" t="s">
        <v>2472</v>
      </c>
      <c r="D75" s="170">
        <f>12000+27500</f>
        <v>39500</v>
      </c>
      <c r="E75" s="356"/>
      <c r="F75" s="215"/>
      <c r="G75" s="358">
        <f t="shared" si="16"/>
        <v>39500</v>
      </c>
      <c r="I75" s="170">
        <f>25816+14082+32270</f>
        <v>72168</v>
      </c>
      <c r="J75" s="356"/>
      <c r="K75" s="215"/>
      <c r="L75" s="215"/>
      <c r="M75" s="358">
        <f t="shared" si="17"/>
        <v>72168</v>
      </c>
      <c r="O75" s="861">
        <v>86601</v>
      </c>
      <c r="P75" s="894">
        <f>18468.3873082194+14774.7+5000</f>
        <v>38243.087308219401</v>
      </c>
      <c r="Q75" s="215"/>
      <c r="R75" s="215"/>
      <c r="S75" s="358">
        <f t="shared" si="18"/>
        <v>124844.0873082194</v>
      </c>
      <c r="U75" s="358">
        <f>43588+97147</f>
        <v>140735</v>
      </c>
      <c r="V75" s="894"/>
      <c r="W75" s="215"/>
      <c r="X75" s="215"/>
      <c r="Y75" s="215"/>
      <c r="Z75" s="358">
        <f t="shared" si="14"/>
        <v>140735</v>
      </c>
      <c r="AA75" s="164" t="s">
        <v>53</v>
      </c>
      <c r="AB75" s="402" t="s">
        <v>53</v>
      </c>
    </row>
    <row r="76" spans="1:28" ht="28.5" customHeight="1" x14ac:dyDescent="0.2">
      <c r="A76" s="195">
        <v>580455939</v>
      </c>
      <c r="B76" s="855" t="s">
        <v>2473</v>
      </c>
      <c r="D76" s="170">
        <v>22000</v>
      </c>
      <c r="E76" s="356"/>
      <c r="F76" s="215"/>
      <c r="G76" s="358">
        <f t="shared" si="16"/>
        <v>22000</v>
      </c>
      <c r="I76" s="170">
        <v>58819</v>
      </c>
      <c r="J76" s="356"/>
      <c r="K76" s="215"/>
      <c r="L76" s="215"/>
      <c r="M76" s="358">
        <f t="shared" si="17"/>
        <v>58819</v>
      </c>
      <c r="O76" s="170">
        <v>70583</v>
      </c>
      <c r="P76" s="356"/>
      <c r="Q76" s="215"/>
      <c r="R76" s="215"/>
      <c r="S76" s="358">
        <f t="shared" si="18"/>
        <v>70583</v>
      </c>
      <c r="U76" s="358">
        <v>255766</v>
      </c>
      <c r="V76" s="894"/>
      <c r="W76" s="215"/>
      <c r="X76" s="215"/>
      <c r="Y76" s="215"/>
      <c r="Z76" s="358">
        <f t="shared" si="14"/>
        <v>255766</v>
      </c>
      <c r="AA76" s="170" t="s">
        <v>94</v>
      </c>
      <c r="AB76" s="170" t="s">
        <v>777</v>
      </c>
    </row>
    <row r="77" spans="1:28" ht="28.5" customHeight="1" x14ac:dyDescent="0.2">
      <c r="A77" s="195">
        <v>510651482</v>
      </c>
      <c r="B77" s="855" t="s">
        <v>2935</v>
      </c>
      <c r="D77" s="170"/>
      <c r="E77" s="356"/>
      <c r="F77" s="215"/>
      <c r="G77" s="358"/>
      <c r="I77" s="170">
        <f>25816*2</f>
        <v>51632</v>
      </c>
      <c r="J77" s="356"/>
      <c r="K77" s="215"/>
      <c r="L77" s="215"/>
      <c r="M77" s="358">
        <f t="shared" si="17"/>
        <v>51632</v>
      </c>
      <c r="O77" s="170">
        <v>110979</v>
      </c>
      <c r="P77" s="894">
        <f>14774.7098465755*2</f>
        <v>29549.419693151001</v>
      </c>
      <c r="Q77" s="215"/>
      <c r="R77" s="215"/>
      <c r="S77" s="358">
        <f t="shared" si="18"/>
        <v>140528.41969315099</v>
      </c>
      <c r="U77" s="358">
        <f>196067+34547+41081</f>
        <v>271695</v>
      </c>
      <c r="V77" s="894">
        <f>26474+15884+16403</f>
        <v>58761</v>
      </c>
      <c r="W77" s="215"/>
      <c r="X77" s="215"/>
      <c r="Y77" s="215"/>
      <c r="Z77" s="358">
        <f t="shared" si="14"/>
        <v>330456</v>
      </c>
      <c r="AA77" s="164" t="s">
        <v>53</v>
      </c>
      <c r="AB77" s="402" t="s">
        <v>53</v>
      </c>
    </row>
    <row r="78" spans="1:28" ht="28.5" customHeight="1" x14ac:dyDescent="0.2">
      <c r="A78" s="195">
        <v>580617660</v>
      </c>
      <c r="B78" s="855" t="s">
        <v>2938</v>
      </c>
      <c r="D78" s="170"/>
      <c r="E78" s="356"/>
      <c r="F78" s="215"/>
      <c r="G78" s="358"/>
      <c r="I78" s="170">
        <v>18000</v>
      </c>
      <c r="J78" s="356"/>
      <c r="K78" s="215"/>
      <c r="L78" s="215"/>
      <c r="M78" s="358">
        <f t="shared" si="17"/>
        <v>18000</v>
      </c>
      <c r="O78" s="861">
        <v>21600</v>
      </c>
      <c r="P78" s="894">
        <v>10301.548545024751</v>
      </c>
      <c r="Q78" s="215"/>
      <c r="R78" s="215"/>
      <c r="S78" s="358">
        <f t="shared" si="18"/>
        <v>31901.548545024751</v>
      </c>
      <c r="U78" s="358">
        <v>23243</v>
      </c>
      <c r="V78" s="894">
        <v>11437</v>
      </c>
      <c r="W78" s="215"/>
      <c r="X78" s="215"/>
      <c r="Y78" s="215"/>
      <c r="Z78" s="358">
        <f t="shared" si="14"/>
        <v>34680</v>
      </c>
      <c r="AA78" s="164" t="s">
        <v>53</v>
      </c>
      <c r="AB78" s="402" t="s">
        <v>53</v>
      </c>
    </row>
    <row r="79" spans="1:28" ht="28.5" customHeight="1" x14ac:dyDescent="0.2">
      <c r="A79" s="195">
        <v>513377457</v>
      </c>
      <c r="B79" s="794" t="s">
        <v>2936</v>
      </c>
      <c r="D79" s="170"/>
      <c r="E79" s="356"/>
      <c r="F79" s="215"/>
      <c r="G79" s="358"/>
      <c r="I79" s="170">
        <v>64541</v>
      </c>
      <c r="J79" s="356"/>
      <c r="K79" s="215"/>
      <c r="L79" s="215"/>
      <c r="M79" s="358">
        <f>SUM(I79:K79)</f>
        <v>64541</v>
      </c>
      <c r="O79" s="170"/>
      <c r="P79" s="356"/>
      <c r="Q79" s="215"/>
      <c r="R79" s="215"/>
      <c r="S79" s="358">
        <f>SUM(O79:Q79)</f>
        <v>0</v>
      </c>
      <c r="U79" s="358"/>
      <c r="V79" s="894"/>
      <c r="W79" s="215"/>
      <c r="X79" s="215"/>
      <c r="Y79" s="215"/>
      <c r="Z79" s="358">
        <f t="shared" si="14"/>
        <v>0</v>
      </c>
      <c r="AA79" s="170" t="s">
        <v>73</v>
      </c>
      <c r="AB79" s="170" t="s">
        <v>136</v>
      </c>
    </row>
    <row r="80" spans="1:28" ht="28.5" customHeight="1" x14ac:dyDescent="0.2">
      <c r="A80" s="195">
        <v>580552909</v>
      </c>
      <c r="B80" s="794" t="s">
        <v>2937</v>
      </c>
      <c r="D80" s="170"/>
      <c r="E80" s="356"/>
      <c r="F80" s="215"/>
      <c r="G80" s="358"/>
      <c r="I80" s="170">
        <v>25816</v>
      </c>
      <c r="J80" s="356"/>
      <c r="K80" s="215"/>
      <c r="L80" s="215"/>
      <c r="M80" s="358">
        <f>SUM(I80:K80)</f>
        <v>25816</v>
      </c>
      <c r="O80" s="170">
        <v>30979</v>
      </c>
      <c r="P80" s="356"/>
      <c r="Q80" s="215"/>
      <c r="R80" s="215"/>
      <c r="S80" s="358">
        <f>SUM(O80:Q80)</f>
        <v>30979</v>
      </c>
      <c r="U80" s="358">
        <v>51898</v>
      </c>
      <c r="V80" s="894"/>
      <c r="W80" s="215"/>
      <c r="X80" s="215"/>
      <c r="Y80" s="215"/>
      <c r="Z80" s="358">
        <f t="shared" si="14"/>
        <v>51898</v>
      </c>
      <c r="AA80" s="170" t="s">
        <v>53</v>
      </c>
      <c r="AB80" s="170" t="s">
        <v>53</v>
      </c>
    </row>
    <row r="81" spans="1:28" ht="28.5" customHeight="1" x14ac:dyDescent="0.2">
      <c r="A81" s="195">
        <v>580586808</v>
      </c>
      <c r="B81" s="855" t="s">
        <v>2939</v>
      </c>
      <c r="D81" s="170"/>
      <c r="E81" s="356"/>
      <c r="F81" s="215"/>
      <c r="G81" s="358"/>
      <c r="I81" s="170">
        <v>25816</v>
      </c>
      <c r="J81" s="356"/>
      <c r="K81" s="215"/>
      <c r="L81" s="215"/>
      <c r="M81" s="358">
        <f t="shared" si="17"/>
        <v>25816</v>
      </c>
      <c r="O81" s="170">
        <v>30979</v>
      </c>
      <c r="P81" s="356"/>
      <c r="Q81" s="215"/>
      <c r="R81" s="215"/>
      <c r="S81" s="358">
        <f t="shared" ref="S81" si="19">SUM(O81:Q81)</f>
        <v>30979</v>
      </c>
      <c r="U81" s="358">
        <v>36992</v>
      </c>
      <c r="V81" s="894"/>
      <c r="W81" s="215"/>
      <c r="X81" s="215"/>
      <c r="Y81" s="215"/>
      <c r="Z81" s="358">
        <f t="shared" si="14"/>
        <v>36992</v>
      </c>
      <c r="AA81" s="164" t="s">
        <v>73</v>
      </c>
      <c r="AB81" s="170" t="s">
        <v>136</v>
      </c>
    </row>
    <row r="82" spans="1:28" ht="28.5" customHeight="1" x14ac:dyDescent="0.2">
      <c r="A82" s="195">
        <v>580495976</v>
      </c>
      <c r="B82" s="794" t="s">
        <v>2370</v>
      </c>
      <c r="D82" s="170"/>
      <c r="E82" s="356"/>
      <c r="F82" s="215"/>
      <c r="G82" s="358"/>
      <c r="I82" s="170">
        <v>82143</v>
      </c>
      <c r="J82" s="356"/>
      <c r="K82" s="215"/>
      <c r="L82" s="215"/>
      <c r="M82" s="358">
        <f t="shared" ref="M82" si="20">SUM(I82:K82)</f>
        <v>82143</v>
      </c>
      <c r="O82" s="170">
        <v>98572</v>
      </c>
      <c r="P82" s="356"/>
      <c r="Q82" s="215"/>
      <c r="R82" s="215"/>
      <c r="S82" s="358">
        <f t="shared" ref="S82:S90" si="21">SUM(O82:Q82)</f>
        <v>98572</v>
      </c>
      <c r="U82" s="358">
        <v>72269</v>
      </c>
      <c r="V82" s="894"/>
      <c r="W82" s="215"/>
      <c r="X82" s="215"/>
      <c r="Y82" s="215"/>
      <c r="Z82" s="358">
        <f t="shared" si="14"/>
        <v>72269</v>
      </c>
      <c r="AA82" s="170" t="s">
        <v>53</v>
      </c>
      <c r="AB82" s="170" t="s">
        <v>53</v>
      </c>
    </row>
    <row r="83" spans="1:28" ht="28.5" customHeight="1" x14ac:dyDescent="0.2">
      <c r="A83" s="195" t="s">
        <v>3081</v>
      </c>
      <c r="B83" s="855" t="s">
        <v>3082</v>
      </c>
      <c r="D83" s="170"/>
      <c r="E83" s="356"/>
      <c r="F83" s="215"/>
      <c r="G83" s="358"/>
      <c r="I83" s="170"/>
      <c r="J83" s="356"/>
      <c r="K83" s="215"/>
      <c r="L83" s="215"/>
      <c r="M83" s="358"/>
      <c r="O83" s="170">
        <v>955367</v>
      </c>
      <c r="P83" s="356"/>
      <c r="Q83" s="215"/>
      <c r="R83" s="215"/>
      <c r="S83" s="358">
        <f t="shared" si="21"/>
        <v>955367</v>
      </c>
      <c r="U83" s="358">
        <f>977949+61769</f>
        <v>1039718</v>
      </c>
      <c r="V83" s="894"/>
      <c r="W83" s="215"/>
      <c r="X83" s="215"/>
      <c r="Y83" s="215"/>
      <c r="Z83" s="358">
        <f t="shared" si="14"/>
        <v>1039718</v>
      </c>
      <c r="AA83" s="170" t="s">
        <v>461</v>
      </c>
      <c r="AB83" s="170" t="s">
        <v>12</v>
      </c>
    </row>
    <row r="84" spans="1:28" s="950" customFormat="1" ht="28.5" customHeight="1" x14ac:dyDescent="0.2">
      <c r="A84" s="944" t="s">
        <v>3079</v>
      </c>
      <c r="B84" s="951" t="s">
        <v>3080</v>
      </c>
      <c r="C84" s="945"/>
      <c r="D84" s="946"/>
      <c r="E84" s="947"/>
      <c r="F84" s="948"/>
      <c r="G84" s="949"/>
      <c r="H84" s="945"/>
      <c r="I84" s="946"/>
      <c r="J84" s="947"/>
      <c r="K84" s="948"/>
      <c r="L84" s="948"/>
      <c r="M84" s="949"/>
      <c r="N84" s="945"/>
      <c r="O84" s="170">
        <v>168811</v>
      </c>
      <c r="P84" s="947"/>
      <c r="Q84" s="948"/>
      <c r="R84" s="948"/>
      <c r="S84" s="358">
        <f t="shared" si="21"/>
        <v>168811</v>
      </c>
      <c r="T84" s="945"/>
      <c r="U84" s="358">
        <v>142772</v>
      </c>
      <c r="V84" s="894"/>
      <c r="W84" s="948"/>
      <c r="X84" s="948"/>
      <c r="Y84" s="948"/>
      <c r="Z84" s="358">
        <f t="shared" si="14"/>
        <v>142772</v>
      </c>
      <c r="AA84" s="170" t="s">
        <v>321</v>
      </c>
      <c r="AB84" s="170" t="s">
        <v>136</v>
      </c>
    </row>
    <row r="85" spans="1:28" ht="28.5" customHeight="1" x14ac:dyDescent="0.2">
      <c r="A85" s="195" t="s">
        <v>3077</v>
      </c>
      <c r="B85" s="860" t="s">
        <v>3078</v>
      </c>
      <c r="D85" s="170"/>
      <c r="E85" s="356"/>
      <c r="F85" s="215"/>
      <c r="G85" s="358"/>
      <c r="I85" s="170"/>
      <c r="J85" s="356"/>
      <c r="K85" s="215"/>
      <c r="L85" s="215"/>
      <c r="M85" s="358"/>
      <c r="O85" s="170">
        <v>189444</v>
      </c>
      <c r="P85" s="356"/>
      <c r="Q85" s="215"/>
      <c r="R85" s="215"/>
      <c r="S85" s="358">
        <f t="shared" si="21"/>
        <v>189444</v>
      </c>
      <c r="U85" s="358">
        <v>160222</v>
      </c>
      <c r="V85" s="894"/>
      <c r="W85" s="215"/>
      <c r="X85" s="215"/>
      <c r="Y85" s="215"/>
      <c r="Z85" s="358">
        <f t="shared" si="14"/>
        <v>160222</v>
      </c>
      <c r="AA85" s="170" t="s">
        <v>73</v>
      </c>
      <c r="AB85" s="170" t="s">
        <v>136</v>
      </c>
    </row>
    <row r="86" spans="1:28" ht="28.5" customHeight="1" x14ac:dyDescent="0.2">
      <c r="A86" s="195" t="s">
        <v>3083</v>
      </c>
      <c r="B86" s="855" t="s">
        <v>3084</v>
      </c>
      <c r="D86" s="170"/>
      <c r="E86" s="356"/>
      <c r="F86" s="215"/>
      <c r="G86" s="358"/>
      <c r="I86" s="170"/>
      <c r="J86" s="356"/>
      <c r="K86" s="215"/>
      <c r="L86" s="215"/>
      <c r="M86" s="358"/>
      <c r="O86" s="170">
        <v>300000</v>
      </c>
      <c r="P86" s="356"/>
      <c r="Q86" s="215"/>
      <c r="R86" s="215"/>
      <c r="S86" s="358">
        <f t="shared" si="21"/>
        <v>300000</v>
      </c>
      <c r="U86" s="358">
        <v>267935</v>
      </c>
      <c r="V86" s="894"/>
      <c r="W86" s="215"/>
      <c r="X86" s="215"/>
      <c r="Y86" s="215"/>
      <c r="Z86" s="358">
        <f t="shared" si="14"/>
        <v>267935</v>
      </c>
      <c r="AA86" s="170" t="s">
        <v>73</v>
      </c>
      <c r="AB86" s="170" t="s">
        <v>136</v>
      </c>
    </row>
    <row r="87" spans="1:28" ht="28.5" customHeight="1" x14ac:dyDescent="0.2">
      <c r="A87" s="195" t="s">
        <v>3085</v>
      </c>
      <c r="B87" s="855" t="s">
        <v>3086</v>
      </c>
      <c r="D87" s="170"/>
      <c r="E87" s="356"/>
      <c r="F87" s="215"/>
      <c r="G87" s="358"/>
      <c r="I87" s="170"/>
      <c r="J87" s="356"/>
      <c r="K87" s="215"/>
      <c r="L87" s="215"/>
      <c r="M87" s="358"/>
      <c r="O87" s="170">
        <v>25000</v>
      </c>
      <c r="P87" s="356"/>
      <c r="Q87" s="215"/>
      <c r="R87" s="215"/>
      <c r="S87" s="358">
        <f t="shared" si="21"/>
        <v>25000</v>
      </c>
      <c r="U87" s="358">
        <v>32586</v>
      </c>
      <c r="V87" s="894"/>
      <c r="W87" s="215"/>
      <c r="X87" s="215"/>
      <c r="Y87" s="215"/>
      <c r="Z87" s="358">
        <f t="shared" si="14"/>
        <v>32586</v>
      </c>
      <c r="AA87" s="170" t="s">
        <v>679</v>
      </c>
      <c r="AB87" s="170" t="s">
        <v>32</v>
      </c>
    </row>
    <row r="88" spans="1:28" ht="28.5" customHeight="1" x14ac:dyDescent="0.2">
      <c r="A88" s="195" t="s">
        <v>3087</v>
      </c>
      <c r="B88" s="855" t="s">
        <v>3088</v>
      </c>
      <c r="D88" s="170"/>
      <c r="E88" s="356"/>
      <c r="F88" s="215"/>
      <c r="G88" s="358"/>
      <c r="I88" s="170"/>
      <c r="J88" s="356"/>
      <c r="K88" s="215"/>
      <c r="L88" s="215"/>
      <c r="M88" s="358"/>
      <c r="O88" s="170">
        <v>238388</v>
      </c>
      <c r="P88" s="356"/>
      <c r="Q88" s="215"/>
      <c r="R88" s="215"/>
      <c r="S88" s="358">
        <f t="shared" si="21"/>
        <v>238388</v>
      </c>
      <c r="U88" s="358">
        <v>287674</v>
      </c>
      <c r="V88" s="894">
        <v>39287</v>
      </c>
      <c r="W88" s="215"/>
      <c r="X88" s="215"/>
      <c r="Y88" s="215"/>
      <c r="Z88" s="358">
        <f t="shared" si="14"/>
        <v>326961</v>
      </c>
      <c r="AA88" s="170" t="s">
        <v>53</v>
      </c>
      <c r="AB88" s="170" t="s">
        <v>53</v>
      </c>
    </row>
    <row r="89" spans="1:28" ht="28.5" customHeight="1" x14ac:dyDescent="0.2">
      <c r="A89" s="195" t="s">
        <v>3089</v>
      </c>
      <c r="B89" s="855" t="s">
        <v>3090</v>
      </c>
      <c r="D89" s="170"/>
      <c r="E89" s="356"/>
      <c r="F89" s="215"/>
      <c r="G89" s="358"/>
      <c r="I89" s="170"/>
      <c r="J89" s="356"/>
      <c r="K89" s="215"/>
      <c r="L89" s="215"/>
      <c r="M89" s="358"/>
      <c r="O89" s="170">
        <v>16032</v>
      </c>
      <c r="P89" s="356"/>
      <c r="Q89" s="215"/>
      <c r="R89" s="215"/>
      <c r="S89" s="358">
        <f t="shared" si="21"/>
        <v>16032</v>
      </c>
      <c r="U89" s="358">
        <v>22434</v>
      </c>
      <c r="V89" s="894"/>
      <c r="W89" s="215"/>
      <c r="X89" s="215"/>
      <c r="Y89" s="215"/>
      <c r="Z89" s="358">
        <f t="shared" si="14"/>
        <v>22434</v>
      </c>
      <c r="AA89" s="170" t="s">
        <v>43</v>
      </c>
      <c r="AB89" s="170" t="s">
        <v>9</v>
      </c>
    </row>
    <row r="90" spans="1:28" ht="28.5" customHeight="1" x14ac:dyDescent="0.2">
      <c r="A90" s="195" t="s">
        <v>2439</v>
      </c>
      <c r="B90" s="855" t="s">
        <v>2440</v>
      </c>
      <c r="D90" s="170"/>
      <c r="E90" s="356"/>
      <c r="F90" s="215"/>
      <c r="G90" s="358"/>
      <c r="I90" s="170"/>
      <c r="J90" s="356"/>
      <c r="K90" s="215"/>
      <c r="L90" s="215"/>
      <c r="M90" s="358"/>
      <c r="O90" s="170">
        <v>150000</v>
      </c>
      <c r="P90" s="356"/>
      <c r="Q90" s="215"/>
      <c r="R90" s="215"/>
      <c r="S90" s="358">
        <f t="shared" si="21"/>
        <v>150000</v>
      </c>
      <c r="U90" s="358">
        <v>184409</v>
      </c>
      <c r="V90" s="894">
        <v>79422</v>
      </c>
      <c r="W90" s="215"/>
      <c r="X90" s="215"/>
      <c r="Y90" s="215"/>
      <c r="Z90" s="358">
        <f t="shared" si="14"/>
        <v>263831</v>
      </c>
      <c r="AA90" s="170" t="s">
        <v>53</v>
      </c>
      <c r="AB90" s="170" t="s">
        <v>53</v>
      </c>
    </row>
    <row r="91" spans="1:28" ht="28.5" customHeight="1" x14ac:dyDescent="0.2">
      <c r="A91" s="195" t="s">
        <v>2993</v>
      </c>
      <c r="B91" s="855" t="s">
        <v>2994</v>
      </c>
      <c r="D91" s="170"/>
      <c r="E91" s="356"/>
      <c r="F91" s="215"/>
      <c r="G91" s="358"/>
      <c r="I91" s="170"/>
      <c r="J91" s="356"/>
      <c r="K91" s="215"/>
      <c r="L91" s="215"/>
      <c r="M91" s="358"/>
      <c r="O91" s="170">
        <v>60000</v>
      </c>
      <c r="P91" s="356"/>
      <c r="Q91" s="215"/>
      <c r="R91" s="215"/>
      <c r="S91" s="358">
        <f t="shared" ref="S91" si="22">SUM(O91:Q91)</f>
        <v>60000</v>
      </c>
      <c r="U91" s="358">
        <v>90000</v>
      </c>
      <c r="V91" s="894"/>
      <c r="W91" s="215"/>
      <c r="X91" s="215"/>
      <c r="Y91" s="215"/>
      <c r="Z91" s="358">
        <f t="shared" si="14"/>
        <v>90000</v>
      </c>
      <c r="AA91" s="170" t="s">
        <v>53</v>
      </c>
      <c r="AB91" s="170" t="s">
        <v>53</v>
      </c>
    </row>
    <row r="92" spans="1:28" ht="28.5" customHeight="1" x14ac:dyDescent="0.2">
      <c r="A92" s="195" t="s">
        <v>3091</v>
      </c>
      <c r="B92" s="855" t="s">
        <v>3092</v>
      </c>
      <c r="D92" s="170"/>
      <c r="E92" s="356"/>
      <c r="F92" s="215"/>
      <c r="G92" s="358"/>
      <c r="I92" s="170"/>
      <c r="J92" s="356"/>
      <c r="K92" s="215"/>
      <c r="L92" s="215"/>
      <c r="M92" s="358"/>
      <c r="O92" s="862">
        <v>363836</v>
      </c>
      <c r="P92" s="356"/>
      <c r="Q92" s="215"/>
      <c r="R92" s="215"/>
      <c r="S92" s="358">
        <f t="shared" ref="S92:S95" si="23">SUM(O92:Q92)</f>
        <v>363836</v>
      </c>
      <c r="U92" s="358">
        <v>376442</v>
      </c>
      <c r="V92" s="894"/>
      <c r="W92" s="215"/>
      <c r="X92" s="215"/>
      <c r="Y92" s="215"/>
      <c r="Z92" s="358">
        <f t="shared" si="14"/>
        <v>376442</v>
      </c>
      <c r="AA92" s="170" t="s">
        <v>53</v>
      </c>
      <c r="AB92" s="170" t="s">
        <v>53</v>
      </c>
    </row>
    <row r="93" spans="1:28" ht="28.5" customHeight="1" x14ac:dyDescent="0.2">
      <c r="A93" s="195" t="s">
        <v>3093</v>
      </c>
      <c r="B93" s="860" t="s">
        <v>3094</v>
      </c>
      <c r="D93" s="170"/>
      <c r="E93" s="356"/>
      <c r="F93" s="215"/>
      <c r="G93" s="358"/>
      <c r="I93" s="170"/>
      <c r="J93" s="356"/>
      <c r="K93" s="215"/>
      <c r="L93" s="215"/>
      <c r="M93" s="358"/>
      <c r="O93" s="170">
        <v>50000</v>
      </c>
      <c r="P93" s="356"/>
      <c r="Q93" s="215"/>
      <c r="R93" s="215"/>
      <c r="S93" s="358">
        <f t="shared" si="23"/>
        <v>50000</v>
      </c>
      <c r="U93" s="358">
        <v>61470</v>
      </c>
      <c r="V93" s="894"/>
      <c r="W93" s="215"/>
      <c r="X93" s="215"/>
      <c r="Y93" s="215"/>
      <c r="Z93" s="358">
        <f t="shared" si="14"/>
        <v>61470</v>
      </c>
      <c r="AA93" s="170" t="s">
        <v>706</v>
      </c>
      <c r="AB93" s="170" t="s">
        <v>12</v>
      </c>
    </row>
    <row r="94" spans="1:28" ht="28.5" customHeight="1" x14ac:dyDescent="0.2">
      <c r="A94" s="195" t="s">
        <v>3095</v>
      </c>
      <c r="B94" s="855" t="s">
        <v>3096</v>
      </c>
      <c r="D94" s="170"/>
      <c r="E94" s="356"/>
      <c r="F94" s="215"/>
      <c r="G94" s="358"/>
      <c r="I94" s="170"/>
      <c r="J94" s="356"/>
      <c r="K94" s="215"/>
      <c r="L94" s="215"/>
      <c r="M94" s="358"/>
      <c r="O94" s="170">
        <v>30000</v>
      </c>
      <c r="P94" s="356"/>
      <c r="Q94" s="215"/>
      <c r="R94" s="215"/>
      <c r="S94" s="358">
        <f t="shared" si="23"/>
        <v>30000</v>
      </c>
      <c r="U94" s="358">
        <v>21760</v>
      </c>
      <c r="V94" s="894"/>
      <c r="W94" s="215"/>
      <c r="X94" s="215"/>
      <c r="Y94" s="215"/>
      <c r="Z94" s="358">
        <f t="shared" si="14"/>
        <v>21760</v>
      </c>
      <c r="AA94" s="170" t="s">
        <v>73</v>
      </c>
      <c r="AB94" s="170" t="s">
        <v>136</v>
      </c>
    </row>
    <row r="95" spans="1:28" ht="28.5" customHeight="1" x14ac:dyDescent="0.2">
      <c r="A95" s="195" t="s">
        <v>3097</v>
      </c>
      <c r="B95" s="855" t="s">
        <v>3098</v>
      </c>
      <c r="D95" s="170"/>
      <c r="E95" s="356"/>
      <c r="F95" s="215"/>
      <c r="G95" s="358"/>
      <c r="I95" s="170"/>
      <c r="J95" s="356"/>
      <c r="K95" s="215"/>
      <c r="L95" s="215"/>
      <c r="M95" s="358"/>
      <c r="O95" s="170">
        <v>30000</v>
      </c>
      <c r="P95" s="356"/>
      <c r="Q95" s="215"/>
      <c r="R95" s="215"/>
      <c r="S95" s="358">
        <f t="shared" si="23"/>
        <v>30000</v>
      </c>
      <c r="U95" s="358">
        <v>22324</v>
      </c>
      <c r="V95" s="894"/>
      <c r="W95" s="215"/>
      <c r="X95" s="215"/>
      <c r="Y95" s="215"/>
      <c r="Z95" s="358">
        <f t="shared" si="14"/>
        <v>22324</v>
      </c>
      <c r="AA95" s="170" t="s">
        <v>73</v>
      </c>
      <c r="AB95" s="170" t="s">
        <v>136</v>
      </c>
    </row>
    <row r="96" spans="1:28" ht="28.5" customHeight="1" x14ac:dyDescent="0.2">
      <c r="A96" s="195">
        <v>580658334</v>
      </c>
      <c r="B96" s="855" t="s">
        <v>3362</v>
      </c>
      <c r="D96" s="170"/>
      <c r="E96" s="356"/>
      <c r="F96" s="215"/>
      <c r="G96" s="358"/>
      <c r="I96" s="170"/>
      <c r="J96" s="356"/>
      <c r="K96" s="215"/>
      <c r="L96" s="215"/>
      <c r="M96" s="358"/>
      <c r="O96" s="170"/>
      <c r="P96" s="356"/>
      <c r="Q96" s="215"/>
      <c r="R96" s="215"/>
      <c r="S96" s="358"/>
      <c r="U96" s="358">
        <v>344230</v>
      </c>
      <c r="V96" s="894"/>
      <c r="W96" s="215"/>
      <c r="X96" s="215"/>
      <c r="Y96" s="215"/>
      <c r="Z96" s="358">
        <f t="shared" ref="Z96:Z100" si="24">SUM(U96:Y96)</f>
        <v>344230</v>
      </c>
      <c r="AA96" s="170" t="s">
        <v>73</v>
      </c>
      <c r="AB96" s="170" t="s">
        <v>136</v>
      </c>
    </row>
    <row r="97" spans="1:29" ht="28.5" customHeight="1" x14ac:dyDescent="0.2">
      <c r="A97" s="195">
        <v>580504942</v>
      </c>
      <c r="B97" s="855" t="s">
        <v>3363</v>
      </c>
      <c r="D97" s="170"/>
      <c r="E97" s="356"/>
      <c r="F97" s="215"/>
      <c r="G97" s="358"/>
      <c r="I97" s="170"/>
      <c r="J97" s="356"/>
      <c r="K97" s="215"/>
      <c r="L97" s="215"/>
      <c r="M97" s="358"/>
      <c r="O97" s="170"/>
      <c r="P97" s="356"/>
      <c r="Q97" s="215"/>
      <c r="R97" s="215"/>
      <c r="S97" s="358"/>
      <c r="U97" s="358">
        <v>90000</v>
      </c>
      <c r="V97" s="894"/>
      <c r="W97" s="215"/>
      <c r="X97" s="215"/>
      <c r="Y97" s="215"/>
      <c r="Z97" s="358">
        <f t="shared" si="24"/>
        <v>90000</v>
      </c>
      <c r="AA97" s="170" t="s">
        <v>53</v>
      </c>
      <c r="AB97" s="170" t="s">
        <v>53</v>
      </c>
    </row>
    <row r="98" spans="1:29" ht="28.5" customHeight="1" x14ac:dyDescent="0.2">
      <c r="A98" s="195">
        <v>580032035</v>
      </c>
      <c r="B98" s="860" t="s">
        <v>3364</v>
      </c>
      <c r="D98" s="170"/>
      <c r="E98" s="356"/>
      <c r="F98" s="215"/>
      <c r="G98" s="358"/>
      <c r="I98" s="170"/>
      <c r="J98" s="356"/>
      <c r="K98" s="215"/>
      <c r="L98" s="215"/>
      <c r="M98" s="358"/>
      <c r="O98" s="170"/>
      <c r="P98" s="356"/>
      <c r="Q98" s="215"/>
      <c r="R98" s="215"/>
      <c r="S98" s="358"/>
      <c r="U98" s="358">
        <v>81483</v>
      </c>
      <c r="V98" s="894"/>
      <c r="W98" s="215"/>
      <c r="X98" s="215"/>
      <c r="Y98" s="215"/>
      <c r="Z98" s="358">
        <f t="shared" si="24"/>
        <v>81483</v>
      </c>
      <c r="AA98" s="170" t="s">
        <v>73</v>
      </c>
      <c r="AB98" s="170" t="s">
        <v>136</v>
      </c>
    </row>
    <row r="99" spans="1:29" ht="28.5" customHeight="1" x14ac:dyDescent="0.2">
      <c r="A99" s="195">
        <v>580586287</v>
      </c>
      <c r="B99" s="860" t="s">
        <v>3478</v>
      </c>
      <c r="D99" s="170"/>
      <c r="E99" s="356"/>
      <c r="F99" s="215"/>
      <c r="G99" s="358"/>
      <c r="I99" s="170"/>
      <c r="J99" s="356"/>
      <c r="K99" s="215"/>
      <c r="L99" s="215"/>
      <c r="M99" s="358"/>
      <c r="O99" s="170"/>
      <c r="P99" s="356"/>
      <c r="Q99" s="215"/>
      <c r="R99" s="215"/>
      <c r="S99" s="358"/>
      <c r="U99" s="358"/>
      <c r="V99" s="894"/>
      <c r="W99" s="215"/>
      <c r="X99" s="215"/>
      <c r="Y99" s="215">
        <v>63559</v>
      </c>
      <c r="Z99" s="358">
        <f t="shared" si="24"/>
        <v>63559</v>
      </c>
      <c r="AA99" s="170" t="s">
        <v>73</v>
      </c>
      <c r="AB99" s="170" t="s">
        <v>136</v>
      </c>
    </row>
    <row r="100" spans="1:29" ht="20.25" customHeight="1" x14ac:dyDescent="0.2">
      <c r="A100" s="195">
        <v>580323863</v>
      </c>
      <c r="B100" s="209" t="s">
        <v>782</v>
      </c>
      <c r="D100" s="358">
        <v>11000</v>
      </c>
      <c r="E100" s="356"/>
      <c r="F100" s="356"/>
      <c r="G100" s="358">
        <f t="shared" si="16"/>
        <v>11000</v>
      </c>
      <c r="I100" s="358"/>
      <c r="J100" s="356"/>
      <c r="K100" s="356"/>
      <c r="L100" s="356"/>
      <c r="M100" s="358">
        <f t="shared" si="17"/>
        <v>0</v>
      </c>
      <c r="O100" s="358">
        <v>25000</v>
      </c>
      <c r="P100" s="356"/>
      <c r="Q100" s="356"/>
      <c r="R100" s="356"/>
      <c r="S100" s="358">
        <f t="shared" ref="S100" si="25">SUM(O100:Q100)</f>
        <v>25000</v>
      </c>
      <c r="U100" s="358">
        <v>35251</v>
      </c>
      <c r="V100" s="894"/>
      <c r="W100" s="356"/>
      <c r="X100" s="356"/>
      <c r="Y100" s="356"/>
      <c r="Z100" s="358">
        <f t="shared" si="24"/>
        <v>35251</v>
      </c>
      <c r="AA100" s="170" t="s">
        <v>716</v>
      </c>
      <c r="AB100" s="170" t="s">
        <v>717</v>
      </c>
    </row>
    <row r="101" spans="1:29" s="207" customFormat="1" ht="26.25" customHeight="1" x14ac:dyDescent="0.2">
      <c r="A101" s="1078" t="s">
        <v>783</v>
      </c>
      <c r="B101" s="1079"/>
      <c r="C101" s="344"/>
      <c r="D101" s="369">
        <f>SUM(D102:D107)</f>
        <v>307764</v>
      </c>
      <c r="E101" s="369">
        <f>SUM(E102:E107)</f>
        <v>0</v>
      </c>
      <c r="F101" s="370">
        <f>SUM(F102:F107)</f>
        <v>0</v>
      </c>
      <c r="G101" s="369">
        <f>SUM(G102:G107)</f>
        <v>307764</v>
      </c>
      <c r="H101" s="344"/>
      <c r="I101" s="369">
        <f>SUM(I102:I107)</f>
        <v>387243</v>
      </c>
      <c r="J101" s="369">
        <f>SUM(J102:J107)</f>
        <v>0</v>
      </c>
      <c r="K101" s="370">
        <f>SUM(K102:K107)</f>
        <v>0</v>
      </c>
      <c r="L101" s="370"/>
      <c r="M101" s="369">
        <f>SUM(M102:M107)</f>
        <v>387243</v>
      </c>
      <c r="N101" s="344"/>
      <c r="O101" s="369">
        <f>SUM(O102:O107)</f>
        <v>427170</v>
      </c>
      <c r="P101" s="369">
        <f>SUM(P102:P107)</f>
        <v>0</v>
      </c>
      <c r="Q101" s="370">
        <f>SUM(Q102:Q107)</f>
        <v>0</v>
      </c>
      <c r="R101" s="370"/>
      <c r="S101" s="369">
        <f>SUM(S102:S107)</f>
        <v>427170</v>
      </c>
      <c r="T101" s="344"/>
      <c r="U101" s="369">
        <f>SUM(U102:U107)</f>
        <v>221308</v>
      </c>
      <c r="V101" s="369">
        <f>SUM(V102:V107)</f>
        <v>0</v>
      </c>
      <c r="W101" s="370">
        <f>SUM(W102:W107)</f>
        <v>0</v>
      </c>
      <c r="X101" s="370"/>
      <c r="Y101" s="370"/>
      <c r="Z101" s="369">
        <f>SUM(Z102:Z107)</f>
        <v>221308</v>
      </c>
      <c r="AA101" s="370"/>
      <c r="AB101" s="370"/>
    </row>
    <row r="102" spans="1:29" ht="25.5" x14ac:dyDescent="0.2">
      <c r="A102" s="195">
        <v>500269006</v>
      </c>
      <c r="B102" s="209" t="s">
        <v>784</v>
      </c>
      <c r="D102" s="355">
        <f>23941+22000</f>
        <v>45941</v>
      </c>
      <c r="E102" s="356"/>
      <c r="F102" s="356"/>
      <c r="G102" s="358">
        <f t="shared" ref="G102:G107" si="26">SUM(D102:F102)</f>
        <v>45941</v>
      </c>
      <c r="I102" s="355">
        <f>28163+25816*2</f>
        <v>79795</v>
      </c>
      <c r="J102" s="356"/>
      <c r="K102" s="356"/>
      <c r="L102" s="356"/>
      <c r="M102" s="358">
        <f t="shared" ref="M102:M107" si="27">SUM(I102:K102)</f>
        <v>79795</v>
      </c>
      <c r="O102" s="355">
        <v>80000</v>
      </c>
      <c r="P102" s="356"/>
      <c r="Q102" s="356"/>
      <c r="R102" s="356"/>
      <c r="S102" s="358">
        <f t="shared" ref="S102:S107" si="28">SUM(O102:Q102)</f>
        <v>80000</v>
      </c>
      <c r="U102" s="355">
        <f>37528+36124</f>
        <v>73652</v>
      </c>
      <c r="V102" s="356"/>
      <c r="W102" s="356"/>
      <c r="X102" s="356"/>
      <c r="Y102" s="356"/>
      <c r="Z102" s="358">
        <f t="shared" ref="Z102:Z107" si="29">SUM(U102:Y102)</f>
        <v>73652</v>
      </c>
      <c r="AA102" s="170" t="s">
        <v>706</v>
      </c>
      <c r="AB102" s="170" t="s">
        <v>12</v>
      </c>
    </row>
    <row r="103" spans="1:29" ht="21.75" customHeight="1" x14ac:dyDescent="0.2">
      <c r="A103" s="195">
        <v>500250006</v>
      </c>
      <c r="B103" s="209" t="s">
        <v>785</v>
      </c>
      <c r="D103" s="355">
        <v>47882</v>
      </c>
      <c r="E103" s="356"/>
      <c r="F103" s="356"/>
      <c r="G103" s="358">
        <f t="shared" si="26"/>
        <v>47882</v>
      </c>
      <c r="I103" s="355">
        <v>56326</v>
      </c>
      <c r="J103" s="356"/>
      <c r="K103" s="356"/>
      <c r="L103" s="356"/>
      <c r="M103" s="358">
        <f t="shared" si="27"/>
        <v>56326</v>
      </c>
      <c r="O103" s="355">
        <v>52825</v>
      </c>
      <c r="P103" s="356"/>
      <c r="Q103" s="356"/>
      <c r="R103" s="356"/>
      <c r="S103" s="358">
        <f t="shared" si="28"/>
        <v>52825</v>
      </c>
      <c r="U103" s="355">
        <v>49863</v>
      </c>
      <c r="V103" s="356"/>
      <c r="W103" s="356"/>
      <c r="X103" s="356"/>
      <c r="Y103" s="356"/>
      <c r="Z103" s="358">
        <f t="shared" si="29"/>
        <v>49863</v>
      </c>
      <c r="AA103" s="170" t="s">
        <v>94</v>
      </c>
      <c r="AB103" s="170" t="s">
        <v>777</v>
      </c>
    </row>
    <row r="104" spans="1:29" ht="25.5" x14ac:dyDescent="0.2">
      <c r="A104" s="195">
        <v>500250006</v>
      </c>
      <c r="B104" s="223" t="s">
        <v>786</v>
      </c>
      <c r="D104" s="862">
        <v>87000</v>
      </c>
      <c r="E104" s="356"/>
      <c r="F104" s="356"/>
      <c r="G104" s="358">
        <f t="shared" si="26"/>
        <v>87000</v>
      </c>
      <c r="I104" s="862">
        <v>102092</v>
      </c>
      <c r="J104" s="356"/>
      <c r="K104" s="356"/>
      <c r="L104" s="356"/>
      <c r="M104" s="358">
        <f t="shared" si="27"/>
        <v>102092</v>
      </c>
      <c r="O104" s="862">
        <v>122510</v>
      </c>
      <c r="P104" s="356"/>
      <c r="Q104" s="356"/>
      <c r="R104" s="356"/>
      <c r="S104" s="358">
        <f t="shared" si="28"/>
        <v>122510</v>
      </c>
      <c r="U104" s="170"/>
      <c r="V104" s="356"/>
      <c r="W104" s="356"/>
      <c r="X104" s="356"/>
      <c r="Y104" s="356"/>
      <c r="Z104" s="358">
        <f t="shared" si="29"/>
        <v>0</v>
      </c>
      <c r="AA104" s="170" t="s">
        <v>94</v>
      </c>
      <c r="AB104" s="170" t="s">
        <v>777</v>
      </c>
    </row>
    <row r="105" spans="1:29" ht="25.5" x14ac:dyDescent="0.2">
      <c r="A105" s="195">
        <v>500250006</v>
      </c>
      <c r="B105" s="223" t="s">
        <v>787</v>
      </c>
      <c r="D105" s="355">
        <v>33000</v>
      </c>
      <c r="E105" s="356"/>
      <c r="F105" s="356"/>
      <c r="G105" s="358">
        <f t="shared" si="26"/>
        <v>33000</v>
      </c>
      <c r="I105" s="355">
        <v>38724</v>
      </c>
      <c r="J105" s="356"/>
      <c r="K105" s="356"/>
      <c r="L105" s="356"/>
      <c r="M105" s="358">
        <f t="shared" si="27"/>
        <v>38724</v>
      </c>
      <c r="O105" s="355">
        <v>46469</v>
      </c>
      <c r="P105" s="356"/>
      <c r="Q105" s="356"/>
      <c r="R105" s="356"/>
      <c r="S105" s="358">
        <f t="shared" si="28"/>
        <v>46469</v>
      </c>
      <c r="U105" s="355">
        <v>68003</v>
      </c>
      <c r="V105" s="356"/>
      <c r="W105" s="356"/>
      <c r="X105" s="356"/>
      <c r="Y105" s="356"/>
      <c r="Z105" s="358">
        <f t="shared" si="29"/>
        <v>68003</v>
      </c>
      <c r="AA105" s="170" t="s">
        <v>94</v>
      </c>
      <c r="AB105" s="170" t="s">
        <v>777</v>
      </c>
    </row>
    <row r="106" spans="1:29" ht="19.5" customHeight="1" x14ac:dyDescent="0.2">
      <c r="A106" s="195">
        <v>500280003</v>
      </c>
      <c r="B106" s="209" t="s">
        <v>788</v>
      </c>
      <c r="D106" s="355">
        <v>70000</v>
      </c>
      <c r="E106" s="356"/>
      <c r="F106" s="356"/>
      <c r="G106" s="358">
        <f t="shared" si="26"/>
        <v>70000</v>
      </c>
      <c r="I106" s="355">
        <v>82143</v>
      </c>
      <c r="J106" s="356"/>
      <c r="K106" s="356"/>
      <c r="L106" s="356"/>
      <c r="M106" s="358">
        <f t="shared" si="27"/>
        <v>82143</v>
      </c>
      <c r="O106" s="355">
        <v>98572</v>
      </c>
      <c r="P106" s="356"/>
      <c r="Q106" s="356"/>
      <c r="R106" s="356"/>
      <c r="S106" s="358">
        <f t="shared" si="28"/>
        <v>98572</v>
      </c>
      <c r="U106" s="355"/>
      <c r="V106" s="356"/>
      <c r="W106" s="356"/>
      <c r="X106" s="356"/>
      <c r="Y106" s="356"/>
      <c r="Z106" s="358">
        <f t="shared" si="29"/>
        <v>0</v>
      </c>
      <c r="AA106" s="170" t="s">
        <v>294</v>
      </c>
      <c r="AB106" s="170" t="s">
        <v>737</v>
      </c>
    </row>
    <row r="107" spans="1:29" s="356" customFormat="1" ht="24.75" customHeight="1" x14ac:dyDescent="0.2">
      <c r="A107" s="111">
        <v>500284005</v>
      </c>
      <c r="B107" s="209" t="s">
        <v>789</v>
      </c>
      <c r="C107" s="323"/>
      <c r="D107" s="355">
        <v>23941</v>
      </c>
      <c r="G107" s="358">
        <f t="shared" si="26"/>
        <v>23941</v>
      </c>
      <c r="H107" s="323"/>
      <c r="I107" s="355">
        <v>28163</v>
      </c>
      <c r="M107" s="358">
        <f t="shared" si="27"/>
        <v>28163</v>
      </c>
      <c r="N107" s="323"/>
      <c r="O107" s="355">
        <v>26794</v>
      </c>
      <c r="S107" s="358">
        <f t="shared" si="28"/>
        <v>26794</v>
      </c>
      <c r="T107" s="323"/>
      <c r="U107" s="355">
        <v>29790</v>
      </c>
      <c r="Z107" s="358">
        <f t="shared" si="29"/>
        <v>29790</v>
      </c>
      <c r="AA107" s="170" t="s">
        <v>327</v>
      </c>
      <c r="AB107" s="170" t="s">
        <v>12</v>
      </c>
      <c r="AC107" s="859"/>
    </row>
    <row r="108" spans="1:29" x14ac:dyDescent="0.2">
      <c r="AA108" s="913"/>
    </row>
    <row r="109" spans="1:29" s="207" customFormat="1" ht="25.5" customHeight="1" x14ac:dyDescent="0.25">
      <c r="A109" s="1076" t="s">
        <v>3309</v>
      </c>
      <c r="B109" s="1077"/>
      <c r="C109" s="344"/>
      <c r="D109" s="363"/>
      <c r="E109" s="363"/>
      <c r="F109" s="363"/>
      <c r="G109" s="363"/>
      <c r="H109" s="344"/>
      <c r="I109" s="363"/>
      <c r="J109" s="363"/>
      <c r="K109" s="363"/>
      <c r="L109" s="363"/>
      <c r="M109" s="363"/>
      <c r="N109" s="344"/>
      <c r="O109" s="363"/>
      <c r="P109" s="363"/>
      <c r="Q109" s="363"/>
      <c r="R109" s="363"/>
      <c r="S109" s="363"/>
      <c r="T109" s="344"/>
      <c r="U109" s="363">
        <f>SUM(U110:U115)</f>
        <v>219999</v>
      </c>
      <c r="V109" s="363"/>
      <c r="W109" s="363"/>
      <c r="X109" s="363"/>
      <c r="Y109" s="363"/>
      <c r="Z109" s="363">
        <f>SUM(Z110:Z115)</f>
        <v>219999</v>
      </c>
      <c r="AA109" s="364"/>
      <c r="AB109" s="364"/>
    </row>
    <row r="110" spans="1:29" ht="19.5" customHeight="1" x14ac:dyDescent="0.2">
      <c r="A110" s="195" t="s">
        <v>3299</v>
      </c>
      <c r="B110" s="209" t="s">
        <v>714</v>
      </c>
      <c r="D110" s="355"/>
      <c r="E110" s="356"/>
      <c r="F110" s="356"/>
      <c r="G110" s="358"/>
      <c r="I110" s="355"/>
      <c r="J110" s="356"/>
      <c r="K110" s="356"/>
      <c r="L110" s="356"/>
      <c r="M110" s="358"/>
      <c r="O110" s="355"/>
      <c r="P110" s="356"/>
      <c r="Q110" s="356"/>
      <c r="R110" s="356"/>
      <c r="S110" s="358"/>
      <c r="U110" s="355">
        <v>18485</v>
      </c>
      <c r="V110" s="356"/>
      <c r="W110" s="356"/>
      <c r="X110" s="1018"/>
      <c r="Y110" s="1018"/>
      <c r="Z110" s="358">
        <f t="shared" ref="Z110:Z115" si="30">SUM(U110:Y110)</f>
        <v>18485</v>
      </c>
      <c r="AA110" s="170" t="s">
        <v>94</v>
      </c>
      <c r="AB110" s="170" t="s">
        <v>777</v>
      </c>
    </row>
    <row r="111" spans="1:29" ht="19.5" customHeight="1" x14ac:dyDescent="0.2">
      <c r="A111" s="195" t="s">
        <v>3300</v>
      </c>
      <c r="B111" s="209" t="s">
        <v>3301</v>
      </c>
      <c r="D111" s="355"/>
      <c r="E111" s="356"/>
      <c r="F111" s="356"/>
      <c r="G111" s="358"/>
      <c r="I111" s="355"/>
      <c r="J111" s="356"/>
      <c r="K111" s="356"/>
      <c r="L111" s="356"/>
      <c r="M111" s="358"/>
      <c r="O111" s="355"/>
      <c r="P111" s="356"/>
      <c r="Q111" s="356"/>
      <c r="R111" s="356"/>
      <c r="S111" s="358"/>
      <c r="U111" s="355">
        <v>46245</v>
      </c>
      <c r="V111" s="356"/>
      <c r="W111" s="356"/>
      <c r="X111" s="1018"/>
      <c r="Y111" s="1018"/>
      <c r="Z111" s="358">
        <f t="shared" si="30"/>
        <v>46245</v>
      </c>
      <c r="AA111" s="170" t="s">
        <v>53</v>
      </c>
      <c r="AB111" s="170" t="s">
        <v>53</v>
      </c>
    </row>
    <row r="112" spans="1:29" ht="19.5" customHeight="1" x14ac:dyDescent="0.2">
      <c r="A112" s="195" t="s">
        <v>3302</v>
      </c>
      <c r="B112" s="209" t="s">
        <v>3303</v>
      </c>
      <c r="D112" s="355"/>
      <c r="E112" s="356"/>
      <c r="F112" s="356"/>
      <c r="G112" s="358"/>
      <c r="I112" s="355"/>
      <c r="J112" s="356"/>
      <c r="K112" s="356"/>
      <c r="L112" s="356"/>
      <c r="M112" s="358"/>
      <c r="O112" s="355"/>
      <c r="P112" s="356"/>
      <c r="Q112" s="356"/>
      <c r="R112" s="356"/>
      <c r="S112" s="358"/>
      <c r="U112" s="355">
        <v>31483</v>
      </c>
      <c r="V112" s="356"/>
      <c r="W112" s="356"/>
      <c r="X112" s="1018"/>
      <c r="Y112" s="1018"/>
      <c r="Z112" s="358">
        <f t="shared" si="30"/>
        <v>31483</v>
      </c>
      <c r="AA112" s="170" t="s">
        <v>94</v>
      </c>
      <c r="AB112" s="170" t="s">
        <v>777</v>
      </c>
    </row>
    <row r="113" spans="1:28" ht="19.5" customHeight="1" x14ac:dyDescent="0.2">
      <c r="A113" s="195" t="s">
        <v>3304</v>
      </c>
      <c r="B113" s="209" t="s">
        <v>3305</v>
      </c>
      <c r="D113" s="355"/>
      <c r="E113" s="356"/>
      <c r="F113" s="356"/>
      <c r="G113" s="358"/>
      <c r="I113" s="355"/>
      <c r="J113" s="356"/>
      <c r="K113" s="356"/>
      <c r="L113" s="356"/>
      <c r="M113" s="358"/>
      <c r="O113" s="355"/>
      <c r="P113" s="356"/>
      <c r="Q113" s="356"/>
      <c r="R113" s="356"/>
      <c r="S113" s="358"/>
      <c r="U113" s="355">
        <v>30743</v>
      </c>
      <c r="V113" s="356"/>
      <c r="W113" s="356"/>
      <c r="X113" s="1018"/>
      <c r="Y113" s="1018"/>
      <c r="Z113" s="358">
        <f t="shared" si="30"/>
        <v>30743</v>
      </c>
      <c r="AA113" s="170" t="s">
        <v>400</v>
      </c>
      <c r="AB113" s="170" t="s">
        <v>32</v>
      </c>
    </row>
    <row r="114" spans="1:28" ht="19.5" customHeight="1" x14ac:dyDescent="0.2">
      <c r="A114" s="195" t="s">
        <v>3306</v>
      </c>
      <c r="B114" s="209" t="s">
        <v>3307</v>
      </c>
      <c r="D114" s="355"/>
      <c r="E114" s="356"/>
      <c r="F114" s="356"/>
      <c r="G114" s="358"/>
      <c r="I114" s="355"/>
      <c r="J114" s="356"/>
      <c r="K114" s="356"/>
      <c r="L114" s="356"/>
      <c r="M114" s="358"/>
      <c r="O114" s="355"/>
      <c r="P114" s="356"/>
      <c r="Q114" s="356"/>
      <c r="R114" s="356"/>
      <c r="S114" s="358"/>
      <c r="U114" s="355">
        <v>29484</v>
      </c>
      <c r="V114" s="356"/>
      <c r="W114" s="356"/>
      <c r="X114" s="1018"/>
      <c r="Y114" s="1018"/>
      <c r="Z114" s="358">
        <f t="shared" si="30"/>
        <v>29484</v>
      </c>
      <c r="AA114" s="170" t="s">
        <v>53</v>
      </c>
      <c r="AB114" s="170" t="s">
        <v>53</v>
      </c>
    </row>
    <row r="115" spans="1:28" ht="19.5" customHeight="1" x14ac:dyDescent="0.2">
      <c r="A115" s="195">
        <v>580586287</v>
      </c>
      <c r="B115" s="209" t="s">
        <v>3308</v>
      </c>
      <c r="D115" s="355"/>
      <c r="E115" s="356"/>
      <c r="F115" s="356"/>
      <c r="G115" s="358"/>
      <c r="I115" s="355"/>
      <c r="J115" s="356"/>
      <c r="K115" s="356"/>
      <c r="L115" s="356"/>
      <c r="M115" s="358"/>
      <c r="O115" s="355"/>
      <c r="P115" s="356"/>
      <c r="Q115" s="356"/>
      <c r="R115" s="356"/>
      <c r="S115" s="358"/>
      <c r="U115" s="355">
        <v>63559</v>
      </c>
      <c r="V115" s="356"/>
      <c r="W115" s="356"/>
      <c r="X115" s="1018"/>
      <c r="Y115" s="1018"/>
      <c r="Z115" s="358">
        <f t="shared" si="30"/>
        <v>63559</v>
      </c>
      <c r="AA115" s="170" t="s">
        <v>94</v>
      </c>
      <c r="AB115" s="170" t="s">
        <v>777</v>
      </c>
    </row>
  </sheetData>
  <mergeCells count="14">
    <mergeCell ref="A109:B109"/>
    <mergeCell ref="U1:Z1"/>
    <mergeCell ref="A101:B101"/>
    <mergeCell ref="A4:B4"/>
    <mergeCell ref="A30:B30"/>
    <mergeCell ref="A31:B31"/>
    <mergeCell ref="O1:S1"/>
    <mergeCell ref="I1:M1"/>
    <mergeCell ref="I25:M25"/>
    <mergeCell ref="A29:B29"/>
    <mergeCell ref="D1:G1"/>
    <mergeCell ref="O25:R25"/>
    <mergeCell ref="D27:G27"/>
    <mergeCell ref="O27:R27"/>
  </mergeCells>
  <pageMargins left="0.23622047244094491" right="0.19685039370078741" top="1.23" bottom="0.35433070866141736" header="0.82677165354330717" footer="0.11811023622047245"/>
  <pageSetup paperSize="9" scale="49" fitToHeight="14" orientation="landscape" r:id="rId1"/>
  <headerFooter alignWithMargins="0">
    <oddHeader>&amp;L&amp;D&amp;C&amp;"Arial,מודגש"מינהל התרבות
&amp;11תקציב על שינוייו 2016-2019 
 בש"ח בהתאם להחלטת ועדת התמיכות&amp;R&amp;"Arial,מודגש"&amp;14תקנה 42-02-16 - מוסיקה
תקנה 42-02-59-גופים כליים</oddHeader>
    <oddFooter>&amp;L&amp;F&amp;C&amp;P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A1:Y102"/>
  <sheetViews>
    <sheetView rightToLeft="1" zoomScale="80" zoomScaleNormal="80" workbookViewId="0">
      <pane xSplit="2" ySplit="4" topLeftCell="L37" activePane="bottomRight" state="frozen"/>
      <selection activeCell="S19" sqref="S19"/>
      <selection pane="topRight" activeCell="S19" sqref="S19"/>
      <selection pane="bottomLeft" activeCell="S19" sqref="S19"/>
      <selection pane="bottomRight" activeCell="X1" sqref="X1:Y1048576"/>
    </sheetView>
  </sheetViews>
  <sheetFormatPr defaultColWidth="0.7109375" defaultRowHeight="12.75" x14ac:dyDescent="0.2"/>
  <cols>
    <col min="1" max="1" width="12" style="195" customWidth="1"/>
    <col min="2" max="2" width="30.42578125" style="242" customWidth="1"/>
    <col min="3" max="3" width="23.42578125" style="371" hidden="1" customWidth="1"/>
    <col min="4" max="4" width="0.42578125" style="399" customWidth="1"/>
    <col min="5" max="5" width="12.5703125" style="242" customWidth="1"/>
    <col min="6" max="6" width="12.7109375" style="242" bestFit="1" customWidth="1"/>
    <col min="7" max="7" width="11.42578125" style="409" customWidth="1"/>
    <col min="8" max="8" width="12" style="195" customWidth="1"/>
    <col min="9" max="9" width="0.42578125" style="399" customWidth="1"/>
    <col min="10" max="10" width="12.5703125" style="242" customWidth="1"/>
    <col min="11" max="11" width="12.7109375" style="242" bestFit="1" customWidth="1"/>
    <col min="12" max="12" width="11.42578125" style="409" customWidth="1"/>
    <col min="13" max="13" width="12" style="195" customWidth="1"/>
    <col min="14" max="14" width="0.42578125" style="399" customWidth="1"/>
    <col min="15" max="15" width="12.5703125" style="242" customWidth="1"/>
    <col min="16" max="16" width="12.7109375" style="242" bestFit="1" customWidth="1"/>
    <col min="17" max="17" width="11.42578125" style="409" customWidth="1"/>
    <col min="18" max="18" width="12" style="195" customWidth="1"/>
    <col min="19" max="19" width="0.42578125" style="399" customWidth="1"/>
    <col min="20" max="20" width="12.5703125" style="1016" customWidth="1"/>
    <col min="21" max="21" width="12.7109375" style="242" bestFit="1" customWidth="1"/>
    <col min="22" max="22" width="11.42578125" style="409" customWidth="1"/>
    <col min="23" max="23" width="12" style="195" customWidth="1"/>
    <col min="24" max="24" width="13.7109375" style="373" hidden="1" customWidth="1"/>
    <col min="25" max="25" width="13.42578125" style="371" hidden="1" customWidth="1"/>
    <col min="26" max="249" width="0.7109375" style="242"/>
    <col min="250" max="250" width="10.7109375" style="242" customWidth="1"/>
    <col min="251" max="251" width="30.42578125" style="242" customWidth="1"/>
    <col min="252" max="252" width="0.42578125" style="242" customWidth="1"/>
    <col min="253" max="253" width="12.5703125" style="242" customWidth="1"/>
    <col min="254" max="254" width="10.140625" style="242" bestFit="1" customWidth="1"/>
    <col min="255" max="256" width="10.140625" style="242" customWidth="1"/>
    <col min="257" max="258" width="12" style="242" customWidth="1"/>
    <col min="259" max="259" width="0.42578125" style="242" customWidth="1"/>
    <col min="260" max="260" width="12.5703125" style="242" customWidth="1"/>
    <col min="261" max="261" width="10.140625" style="242" bestFit="1" customWidth="1"/>
    <col min="262" max="263" width="10.140625" style="242" customWidth="1"/>
    <col min="264" max="264" width="12" style="242" customWidth="1"/>
    <col min="265" max="265" width="0.42578125" style="242" customWidth="1"/>
    <col min="266" max="266" width="12.5703125" style="242" customWidth="1"/>
    <col min="267" max="267" width="10.140625" style="242" bestFit="1" customWidth="1"/>
    <col min="268" max="269" width="10.140625" style="242" customWidth="1"/>
    <col min="270" max="270" width="12" style="242" customWidth="1"/>
    <col min="271" max="271" width="15.140625" style="242" customWidth="1"/>
    <col min="272" max="272" width="0.42578125" style="242" customWidth="1"/>
    <col min="273" max="273" width="12.5703125" style="242" customWidth="1"/>
    <col min="274" max="274" width="10.140625" style="242" bestFit="1" customWidth="1"/>
    <col min="275" max="276" width="10.140625" style="242" customWidth="1"/>
    <col min="277" max="277" width="12" style="242" customWidth="1"/>
    <col min="278" max="278" width="15.140625" style="242" customWidth="1"/>
    <col min="279" max="279" width="13.7109375" style="242" customWidth="1"/>
    <col min="280" max="280" width="11.42578125" style="242" bestFit="1" customWidth="1"/>
    <col min="281" max="505" width="0.7109375" style="242"/>
    <col min="506" max="506" width="10.7109375" style="242" customWidth="1"/>
    <col min="507" max="507" width="30.42578125" style="242" customWidth="1"/>
    <col min="508" max="508" width="0.42578125" style="242" customWidth="1"/>
    <col min="509" max="509" width="12.5703125" style="242" customWidth="1"/>
    <col min="510" max="510" width="10.140625" style="242" bestFit="1" customWidth="1"/>
    <col min="511" max="512" width="10.140625" style="242" customWidth="1"/>
    <col min="513" max="514" width="12" style="242" customWidth="1"/>
    <col min="515" max="515" width="0.42578125" style="242" customWidth="1"/>
    <col min="516" max="516" width="12.5703125" style="242" customWidth="1"/>
    <col min="517" max="517" width="10.140625" style="242" bestFit="1" customWidth="1"/>
    <col min="518" max="519" width="10.140625" style="242" customWidth="1"/>
    <col min="520" max="520" width="12" style="242" customWidth="1"/>
    <col min="521" max="521" width="0.42578125" style="242" customWidth="1"/>
    <col min="522" max="522" width="12.5703125" style="242" customWidth="1"/>
    <col min="523" max="523" width="10.140625" style="242" bestFit="1" customWidth="1"/>
    <col min="524" max="525" width="10.140625" style="242" customWidth="1"/>
    <col min="526" max="526" width="12" style="242" customWidth="1"/>
    <col min="527" max="527" width="15.140625" style="242" customWidth="1"/>
    <col min="528" max="528" width="0.42578125" style="242" customWidth="1"/>
    <col min="529" max="529" width="12.5703125" style="242" customWidth="1"/>
    <col min="530" max="530" width="10.140625" style="242" bestFit="1" customWidth="1"/>
    <col min="531" max="532" width="10.140625" style="242" customWidth="1"/>
    <col min="533" max="533" width="12" style="242" customWidth="1"/>
    <col min="534" max="534" width="15.140625" style="242" customWidth="1"/>
    <col min="535" max="535" width="13.7109375" style="242" customWidth="1"/>
    <col min="536" max="536" width="11.42578125" style="242" bestFit="1" customWidth="1"/>
    <col min="537" max="761" width="0.7109375" style="242"/>
    <col min="762" max="762" width="10.7109375" style="242" customWidth="1"/>
    <col min="763" max="763" width="30.42578125" style="242" customWidth="1"/>
    <col min="764" max="764" width="0.42578125" style="242" customWidth="1"/>
    <col min="765" max="765" width="12.5703125" style="242" customWidth="1"/>
    <col min="766" max="766" width="10.140625" style="242" bestFit="1" customWidth="1"/>
    <col min="767" max="768" width="10.140625" style="242" customWidth="1"/>
    <col min="769" max="770" width="12" style="242" customWidth="1"/>
    <col min="771" max="771" width="0.42578125" style="242" customWidth="1"/>
    <col min="772" max="772" width="12.5703125" style="242" customWidth="1"/>
    <col min="773" max="773" width="10.140625" style="242" bestFit="1" customWidth="1"/>
    <col min="774" max="775" width="10.140625" style="242" customWidth="1"/>
    <col min="776" max="776" width="12" style="242" customWidth="1"/>
    <col min="777" max="777" width="0.42578125" style="242" customWidth="1"/>
    <col min="778" max="778" width="12.5703125" style="242" customWidth="1"/>
    <col min="779" max="779" width="10.140625" style="242" bestFit="1" customWidth="1"/>
    <col min="780" max="781" width="10.140625" style="242" customWidth="1"/>
    <col min="782" max="782" width="12" style="242" customWidth="1"/>
    <col min="783" max="783" width="15.140625" style="242" customWidth="1"/>
    <col min="784" max="784" width="0.42578125" style="242" customWidth="1"/>
    <col min="785" max="785" width="12.5703125" style="242" customWidth="1"/>
    <col min="786" max="786" width="10.140625" style="242" bestFit="1" customWidth="1"/>
    <col min="787" max="788" width="10.140625" style="242" customWidth="1"/>
    <col min="789" max="789" width="12" style="242" customWidth="1"/>
    <col min="790" max="790" width="15.140625" style="242" customWidth="1"/>
    <col min="791" max="791" width="13.7109375" style="242" customWidth="1"/>
    <col min="792" max="792" width="11.42578125" style="242" bestFit="1" customWidth="1"/>
    <col min="793" max="1017" width="0.7109375" style="242"/>
    <col min="1018" max="1018" width="10.7109375" style="242" customWidth="1"/>
    <col min="1019" max="1019" width="30.42578125" style="242" customWidth="1"/>
    <col min="1020" max="1020" width="0.42578125" style="242" customWidth="1"/>
    <col min="1021" max="1021" width="12.5703125" style="242" customWidth="1"/>
    <col min="1022" max="1022" width="10.140625" style="242" bestFit="1" customWidth="1"/>
    <col min="1023" max="1024" width="10.140625" style="242" customWidth="1"/>
    <col min="1025" max="1026" width="12" style="242" customWidth="1"/>
    <col min="1027" max="1027" width="0.42578125" style="242" customWidth="1"/>
    <col min="1028" max="1028" width="12.5703125" style="242" customWidth="1"/>
    <col min="1029" max="1029" width="10.140625" style="242" bestFit="1" customWidth="1"/>
    <col min="1030" max="1031" width="10.140625" style="242" customWidth="1"/>
    <col min="1032" max="1032" width="12" style="242" customWidth="1"/>
    <col min="1033" max="1033" width="0.42578125" style="242" customWidth="1"/>
    <col min="1034" max="1034" width="12.5703125" style="242" customWidth="1"/>
    <col min="1035" max="1035" width="10.140625" style="242" bestFit="1" customWidth="1"/>
    <col min="1036" max="1037" width="10.140625" style="242" customWidth="1"/>
    <col min="1038" max="1038" width="12" style="242" customWidth="1"/>
    <col min="1039" max="1039" width="15.140625" style="242" customWidth="1"/>
    <col min="1040" max="1040" width="0.42578125" style="242" customWidth="1"/>
    <col min="1041" max="1041" width="12.5703125" style="242" customWidth="1"/>
    <col min="1042" max="1042" width="10.140625" style="242" bestFit="1" customWidth="1"/>
    <col min="1043" max="1044" width="10.140625" style="242" customWidth="1"/>
    <col min="1045" max="1045" width="12" style="242" customWidth="1"/>
    <col min="1046" max="1046" width="15.140625" style="242" customWidth="1"/>
    <col min="1047" max="1047" width="13.7109375" style="242" customWidth="1"/>
    <col min="1048" max="1048" width="11.42578125" style="242" bestFit="1" customWidth="1"/>
    <col min="1049" max="1273" width="0.7109375" style="242"/>
    <col min="1274" max="1274" width="10.7109375" style="242" customWidth="1"/>
    <col min="1275" max="1275" width="30.42578125" style="242" customWidth="1"/>
    <col min="1276" max="1276" width="0.42578125" style="242" customWidth="1"/>
    <col min="1277" max="1277" width="12.5703125" style="242" customWidth="1"/>
    <col min="1278" max="1278" width="10.140625" style="242" bestFit="1" customWidth="1"/>
    <col min="1279" max="1280" width="10.140625" style="242" customWidth="1"/>
    <col min="1281" max="1282" width="12" style="242" customWidth="1"/>
    <col min="1283" max="1283" width="0.42578125" style="242" customWidth="1"/>
    <col min="1284" max="1284" width="12.5703125" style="242" customWidth="1"/>
    <col min="1285" max="1285" width="10.140625" style="242" bestFit="1" customWidth="1"/>
    <col min="1286" max="1287" width="10.140625" style="242" customWidth="1"/>
    <col min="1288" max="1288" width="12" style="242" customWidth="1"/>
    <col min="1289" max="1289" width="0.42578125" style="242" customWidth="1"/>
    <col min="1290" max="1290" width="12.5703125" style="242" customWidth="1"/>
    <col min="1291" max="1291" width="10.140625" style="242" bestFit="1" customWidth="1"/>
    <col min="1292" max="1293" width="10.140625" style="242" customWidth="1"/>
    <col min="1294" max="1294" width="12" style="242" customWidth="1"/>
    <col min="1295" max="1295" width="15.140625" style="242" customWidth="1"/>
    <col min="1296" max="1296" width="0.42578125" style="242" customWidth="1"/>
    <col min="1297" max="1297" width="12.5703125" style="242" customWidth="1"/>
    <col min="1298" max="1298" width="10.140625" style="242" bestFit="1" customWidth="1"/>
    <col min="1299" max="1300" width="10.140625" style="242" customWidth="1"/>
    <col min="1301" max="1301" width="12" style="242" customWidth="1"/>
    <col min="1302" max="1302" width="15.140625" style="242" customWidth="1"/>
    <col min="1303" max="1303" width="13.7109375" style="242" customWidth="1"/>
    <col min="1304" max="1304" width="11.42578125" style="242" bestFit="1" customWidth="1"/>
    <col min="1305" max="1529" width="0.7109375" style="242"/>
    <col min="1530" max="1530" width="10.7109375" style="242" customWidth="1"/>
    <col min="1531" max="1531" width="30.42578125" style="242" customWidth="1"/>
    <col min="1532" max="1532" width="0.42578125" style="242" customWidth="1"/>
    <col min="1533" max="1533" width="12.5703125" style="242" customWidth="1"/>
    <col min="1534" max="1534" width="10.140625" style="242" bestFit="1" customWidth="1"/>
    <col min="1535" max="1536" width="10.140625" style="242" customWidth="1"/>
    <col min="1537" max="1538" width="12" style="242" customWidth="1"/>
    <col min="1539" max="1539" width="0.42578125" style="242" customWidth="1"/>
    <col min="1540" max="1540" width="12.5703125" style="242" customWidth="1"/>
    <col min="1541" max="1541" width="10.140625" style="242" bestFit="1" customWidth="1"/>
    <col min="1542" max="1543" width="10.140625" style="242" customWidth="1"/>
    <col min="1544" max="1544" width="12" style="242" customWidth="1"/>
    <col min="1545" max="1545" width="0.42578125" style="242" customWidth="1"/>
    <col min="1546" max="1546" width="12.5703125" style="242" customWidth="1"/>
    <col min="1547" max="1547" width="10.140625" style="242" bestFit="1" customWidth="1"/>
    <col min="1548" max="1549" width="10.140625" style="242" customWidth="1"/>
    <col min="1550" max="1550" width="12" style="242" customWidth="1"/>
    <col min="1551" max="1551" width="15.140625" style="242" customWidth="1"/>
    <col min="1552" max="1552" width="0.42578125" style="242" customWidth="1"/>
    <col min="1553" max="1553" width="12.5703125" style="242" customWidth="1"/>
    <col min="1554" max="1554" width="10.140625" style="242" bestFit="1" customWidth="1"/>
    <col min="1555" max="1556" width="10.140625" style="242" customWidth="1"/>
    <col min="1557" max="1557" width="12" style="242" customWidth="1"/>
    <col min="1558" max="1558" width="15.140625" style="242" customWidth="1"/>
    <col min="1559" max="1559" width="13.7109375" style="242" customWidth="1"/>
    <col min="1560" max="1560" width="11.42578125" style="242" bestFit="1" customWidth="1"/>
    <col min="1561" max="1785" width="0.7109375" style="242"/>
    <col min="1786" max="1786" width="10.7109375" style="242" customWidth="1"/>
    <col min="1787" max="1787" width="30.42578125" style="242" customWidth="1"/>
    <col min="1788" max="1788" width="0.42578125" style="242" customWidth="1"/>
    <col min="1789" max="1789" width="12.5703125" style="242" customWidth="1"/>
    <col min="1790" max="1790" width="10.140625" style="242" bestFit="1" customWidth="1"/>
    <col min="1791" max="1792" width="10.140625" style="242" customWidth="1"/>
    <col min="1793" max="1794" width="12" style="242" customWidth="1"/>
    <col min="1795" max="1795" width="0.42578125" style="242" customWidth="1"/>
    <col min="1796" max="1796" width="12.5703125" style="242" customWidth="1"/>
    <col min="1797" max="1797" width="10.140625" style="242" bestFit="1" customWidth="1"/>
    <col min="1798" max="1799" width="10.140625" style="242" customWidth="1"/>
    <col min="1800" max="1800" width="12" style="242" customWidth="1"/>
    <col min="1801" max="1801" width="0.42578125" style="242" customWidth="1"/>
    <col min="1802" max="1802" width="12.5703125" style="242" customWidth="1"/>
    <col min="1803" max="1803" width="10.140625" style="242" bestFit="1" customWidth="1"/>
    <col min="1804" max="1805" width="10.140625" style="242" customWidth="1"/>
    <col min="1806" max="1806" width="12" style="242" customWidth="1"/>
    <col min="1807" max="1807" width="15.140625" style="242" customWidth="1"/>
    <col min="1808" max="1808" width="0.42578125" style="242" customWidth="1"/>
    <col min="1809" max="1809" width="12.5703125" style="242" customWidth="1"/>
    <col min="1810" max="1810" width="10.140625" style="242" bestFit="1" customWidth="1"/>
    <col min="1811" max="1812" width="10.140625" style="242" customWidth="1"/>
    <col min="1813" max="1813" width="12" style="242" customWidth="1"/>
    <col min="1814" max="1814" width="15.140625" style="242" customWidth="1"/>
    <col min="1815" max="1815" width="13.7109375" style="242" customWidth="1"/>
    <col min="1816" max="1816" width="11.42578125" style="242" bestFit="1" customWidth="1"/>
    <col min="1817" max="2041" width="0.7109375" style="242"/>
    <col min="2042" max="2042" width="10.7109375" style="242" customWidth="1"/>
    <col min="2043" max="2043" width="30.42578125" style="242" customWidth="1"/>
    <col min="2044" max="2044" width="0.42578125" style="242" customWidth="1"/>
    <col min="2045" max="2045" width="12.5703125" style="242" customWidth="1"/>
    <col min="2046" max="2046" width="10.140625" style="242" bestFit="1" customWidth="1"/>
    <col min="2047" max="2048" width="10.140625" style="242" customWidth="1"/>
    <col min="2049" max="2050" width="12" style="242" customWidth="1"/>
    <col min="2051" max="2051" width="0.42578125" style="242" customWidth="1"/>
    <col min="2052" max="2052" width="12.5703125" style="242" customWidth="1"/>
    <col min="2053" max="2053" width="10.140625" style="242" bestFit="1" customWidth="1"/>
    <col min="2054" max="2055" width="10.140625" style="242" customWidth="1"/>
    <col min="2056" max="2056" width="12" style="242" customWidth="1"/>
    <col min="2057" max="2057" width="0.42578125" style="242" customWidth="1"/>
    <col min="2058" max="2058" width="12.5703125" style="242" customWidth="1"/>
    <col min="2059" max="2059" width="10.140625" style="242" bestFit="1" customWidth="1"/>
    <col min="2060" max="2061" width="10.140625" style="242" customWidth="1"/>
    <col min="2062" max="2062" width="12" style="242" customWidth="1"/>
    <col min="2063" max="2063" width="15.140625" style="242" customWidth="1"/>
    <col min="2064" max="2064" width="0.42578125" style="242" customWidth="1"/>
    <col min="2065" max="2065" width="12.5703125" style="242" customWidth="1"/>
    <col min="2066" max="2066" width="10.140625" style="242" bestFit="1" customWidth="1"/>
    <col min="2067" max="2068" width="10.140625" style="242" customWidth="1"/>
    <col min="2069" max="2069" width="12" style="242" customWidth="1"/>
    <col min="2070" max="2070" width="15.140625" style="242" customWidth="1"/>
    <col min="2071" max="2071" width="13.7109375" style="242" customWidth="1"/>
    <col min="2072" max="2072" width="11.42578125" style="242" bestFit="1" customWidth="1"/>
    <col min="2073" max="2297" width="0.7109375" style="242"/>
    <col min="2298" max="2298" width="10.7109375" style="242" customWidth="1"/>
    <col min="2299" max="2299" width="30.42578125" style="242" customWidth="1"/>
    <col min="2300" max="2300" width="0.42578125" style="242" customWidth="1"/>
    <col min="2301" max="2301" width="12.5703125" style="242" customWidth="1"/>
    <col min="2302" max="2302" width="10.140625" style="242" bestFit="1" customWidth="1"/>
    <col min="2303" max="2304" width="10.140625" style="242" customWidth="1"/>
    <col min="2305" max="2306" width="12" style="242" customWidth="1"/>
    <col min="2307" max="2307" width="0.42578125" style="242" customWidth="1"/>
    <col min="2308" max="2308" width="12.5703125" style="242" customWidth="1"/>
    <col min="2309" max="2309" width="10.140625" style="242" bestFit="1" customWidth="1"/>
    <col min="2310" max="2311" width="10.140625" style="242" customWidth="1"/>
    <col min="2312" max="2312" width="12" style="242" customWidth="1"/>
    <col min="2313" max="2313" width="0.42578125" style="242" customWidth="1"/>
    <col min="2314" max="2314" width="12.5703125" style="242" customWidth="1"/>
    <col min="2315" max="2315" width="10.140625" style="242" bestFit="1" customWidth="1"/>
    <col min="2316" max="2317" width="10.140625" style="242" customWidth="1"/>
    <col min="2318" max="2318" width="12" style="242" customWidth="1"/>
    <col min="2319" max="2319" width="15.140625" style="242" customWidth="1"/>
    <col min="2320" max="2320" width="0.42578125" style="242" customWidth="1"/>
    <col min="2321" max="2321" width="12.5703125" style="242" customWidth="1"/>
    <col min="2322" max="2322" width="10.140625" style="242" bestFit="1" customWidth="1"/>
    <col min="2323" max="2324" width="10.140625" style="242" customWidth="1"/>
    <col min="2325" max="2325" width="12" style="242" customWidth="1"/>
    <col min="2326" max="2326" width="15.140625" style="242" customWidth="1"/>
    <col min="2327" max="2327" width="13.7109375" style="242" customWidth="1"/>
    <col min="2328" max="2328" width="11.42578125" style="242" bestFit="1" customWidth="1"/>
    <col min="2329" max="2553" width="0.7109375" style="242"/>
    <col min="2554" max="2554" width="10.7109375" style="242" customWidth="1"/>
    <col min="2555" max="2555" width="30.42578125" style="242" customWidth="1"/>
    <col min="2556" max="2556" width="0.42578125" style="242" customWidth="1"/>
    <col min="2557" max="2557" width="12.5703125" style="242" customWidth="1"/>
    <col min="2558" max="2558" width="10.140625" style="242" bestFit="1" customWidth="1"/>
    <col min="2559" max="2560" width="10.140625" style="242" customWidth="1"/>
    <col min="2561" max="2562" width="12" style="242" customWidth="1"/>
    <col min="2563" max="2563" width="0.42578125" style="242" customWidth="1"/>
    <col min="2564" max="2564" width="12.5703125" style="242" customWidth="1"/>
    <col min="2565" max="2565" width="10.140625" style="242" bestFit="1" customWidth="1"/>
    <col min="2566" max="2567" width="10.140625" style="242" customWidth="1"/>
    <col min="2568" max="2568" width="12" style="242" customWidth="1"/>
    <col min="2569" max="2569" width="0.42578125" style="242" customWidth="1"/>
    <col min="2570" max="2570" width="12.5703125" style="242" customWidth="1"/>
    <col min="2571" max="2571" width="10.140625" style="242" bestFit="1" customWidth="1"/>
    <col min="2572" max="2573" width="10.140625" style="242" customWidth="1"/>
    <col min="2574" max="2574" width="12" style="242" customWidth="1"/>
    <col min="2575" max="2575" width="15.140625" style="242" customWidth="1"/>
    <col min="2576" max="2576" width="0.42578125" style="242" customWidth="1"/>
    <col min="2577" max="2577" width="12.5703125" style="242" customWidth="1"/>
    <col min="2578" max="2578" width="10.140625" style="242" bestFit="1" customWidth="1"/>
    <col min="2579" max="2580" width="10.140625" style="242" customWidth="1"/>
    <col min="2581" max="2581" width="12" style="242" customWidth="1"/>
    <col min="2582" max="2582" width="15.140625" style="242" customWidth="1"/>
    <col min="2583" max="2583" width="13.7109375" style="242" customWidth="1"/>
    <col min="2584" max="2584" width="11.42578125" style="242" bestFit="1" customWidth="1"/>
    <col min="2585" max="2809" width="0.7109375" style="242"/>
    <col min="2810" max="2810" width="10.7109375" style="242" customWidth="1"/>
    <col min="2811" max="2811" width="30.42578125" style="242" customWidth="1"/>
    <col min="2812" max="2812" width="0.42578125" style="242" customWidth="1"/>
    <col min="2813" max="2813" width="12.5703125" style="242" customWidth="1"/>
    <col min="2814" max="2814" width="10.140625" style="242" bestFit="1" customWidth="1"/>
    <col min="2815" max="2816" width="10.140625" style="242" customWidth="1"/>
    <col min="2817" max="2818" width="12" style="242" customWidth="1"/>
    <col min="2819" max="2819" width="0.42578125" style="242" customWidth="1"/>
    <col min="2820" max="2820" width="12.5703125" style="242" customWidth="1"/>
    <col min="2821" max="2821" width="10.140625" style="242" bestFit="1" customWidth="1"/>
    <col min="2822" max="2823" width="10.140625" style="242" customWidth="1"/>
    <col min="2824" max="2824" width="12" style="242" customWidth="1"/>
    <col min="2825" max="2825" width="0.42578125" style="242" customWidth="1"/>
    <col min="2826" max="2826" width="12.5703125" style="242" customWidth="1"/>
    <col min="2827" max="2827" width="10.140625" style="242" bestFit="1" customWidth="1"/>
    <col min="2828" max="2829" width="10.140625" style="242" customWidth="1"/>
    <col min="2830" max="2830" width="12" style="242" customWidth="1"/>
    <col min="2831" max="2831" width="15.140625" style="242" customWidth="1"/>
    <col min="2832" max="2832" width="0.42578125" style="242" customWidth="1"/>
    <col min="2833" max="2833" width="12.5703125" style="242" customWidth="1"/>
    <col min="2834" max="2834" width="10.140625" style="242" bestFit="1" customWidth="1"/>
    <col min="2835" max="2836" width="10.140625" style="242" customWidth="1"/>
    <col min="2837" max="2837" width="12" style="242" customWidth="1"/>
    <col min="2838" max="2838" width="15.140625" style="242" customWidth="1"/>
    <col min="2839" max="2839" width="13.7109375" style="242" customWidth="1"/>
    <col min="2840" max="2840" width="11.42578125" style="242" bestFit="1" customWidth="1"/>
    <col min="2841" max="3065" width="0.7109375" style="242"/>
    <col min="3066" max="3066" width="10.7109375" style="242" customWidth="1"/>
    <col min="3067" max="3067" width="30.42578125" style="242" customWidth="1"/>
    <col min="3068" max="3068" width="0.42578125" style="242" customWidth="1"/>
    <col min="3069" max="3069" width="12.5703125" style="242" customWidth="1"/>
    <col min="3070" max="3070" width="10.140625" style="242" bestFit="1" customWidth="1"/>
    <col min="3071" max="3072" width="10.140625" style="242" customWidth="1"/>
    <col min="3073" max="3074" width="12" style="242" customWidth="1"/>
    <col min="3075" max="3075" width="0.42578125" style="242" customWidth="1"/>
    <col min="3076" max="3076" width="12.5703125" style="242" customWidth="1"/>
    <col min="3077" max="3077" width="10.140625" style="242" bestFit="1" customWidth="1"/>
    <col min="3078" max="3079" width="10.140625" style="242" customWidth="1"/>
    <col min="3080" max="3080" width="12" style="242" customWidth="1"/>
    <col min="3081" max="3081" width="0.42578125" style="242" customWidth="1"/>
    <col min="3082" max="3082" width="12.5703125" style="242" customWidth="1"/>
    <col min="3083" max="3083" width="10.140625" style="242" bestFit="1" customWidth="1"/>
    <col min="3084" max="3085" width="10.140625" style="242" customWidth="1"/>
    <col min="3086" max="3086" width="12" style="242" customWidth="1"/>
    <col min="3087" max="3087" width="15.140625" style="242" customWidth="1"/>
    <col min="3088" max="3088" width="0.42578125" style="242" customWidth="1"/>
    <col min="3089" max="3089" width="12.5703125" style="242" customWidth="1"/>
    <col min="3090" max="3090" width="10.140625" style="242" bestFit="1" customWidth="1"/>
    <col min="3091" max="3092" width="10.140625" style="242" customWidth="1"/>
    <col min="3093" max="3093" width="12" style="242" customWidth="1"/>
    <col min="3094" max="3094" width="15.140625" style="242" customWidth="1"/>
    <col min="3095" max="3095" width="13.7109375" style="242" customWidth="1"/>
    <col min="3096" max="3096" width="11.42578125" style="242" bestFit="1" customWidth="1"/>
    <col min="3097" max="3321" width="0.7109375" style="242"/>
    <col min="3322" max="3322" width="10.7109375" style="242" customWidth="1"/>
    <col min="3323" max="3323" width="30.42578125" style="242" customWidth="1"/>
    <col min="3324" max="3324" width="0.42578125" style="242" customWidth="1"/>
    <col min="3325" max="3325" width="12.5703125" style="242" customWidth="1"/>
    <col min="3326" max="3326" width="10.140625" style="242" bestFit="1" customWidth="1"/>
    <col min="3327" max="3328" width="10.140625" style="242" customWidth="1"/>
    <col min="3329" max="3330" width="12" style="242" customWidth="1"/>
    <col min="3331" max="3331" width="0.42578125" style="242" customWidth="1"/>
    <col min="3332" max="3332" width="12.5703125" style="242" customWidth="1"/>
    <col min="3333" max="3333" width="10.140625" style="242" bestFit="1" customWidth="1"/>
    <col min="3334" max="3335" width="10.140625" style="242" customWidth="1"/>
    <col min="3336" max="3336" width="12" style="242" customWidth="1"/>
    <col min="3337" max="3337" width="0.42578125" style="242" customWidth="1"/>
    <col min="3338" max="3338" width="12.5703125" style="242" customWidth="1"/>
    <col min="3339" max="3339" width="10.140625" style="242" bestFit="1" customWidth="1"/>
    <col min="3340" max="3341" width="10.140625" style="242" customWidth="1"/>
    <col min="3342" max="3342" width="12" style="242" customWidth="1"/>
    <col min="3343" max="3343" width="15.140625" style="242" customWidth="1"/>
    <col min="3344" max="3344" width="0.42578125" style="242" customWidth="1"/>
    <col min="3345" max="3345" width="12.5703125" style="242" customWidth="1"/>
    <col min="3346" max="3346" width="10.140625" style="242" bestFit="1" customWidth="1"/>
    <col min="3347" max="3348" width="10.140625" style="242" customWidth="1"/>
    <col min="3349" max="3349" width="12" style="242" customWidth="1"/>
    <col min="3350" max="3350" width="15.140625" style="242" customWidth="1"/>
    <col min="3351" max="3351" width="13.7109375" style="242" customWidth="1"/>
    <col min="3352" max="3352" width="11.42578125" style="242" bestFit="1" customWidth="1"/>
    <col min="3353" max="3577" width="0.7109375" style="242"/>
    <col min="3578" max="3578" width="10.7109375" style="242" customWidth="1"/>
    <col min="3579" max="3579" width="30.42578125" style="242" customWidth="1"/>
    <col min="3580" max="3580" width="0.42578125" style="242" customWidth="1"/>
    <col min="3581" max="3581" width="12.5703125" style="242" customWidth="1"/>
    <col min="3582" max="3582" width="10.140625" style="242" bestFit="1" customWidth="1"/>
    <col min="3583" max="3584" width="10.140625" style="242" customWidth="1"/>
    <col min="3585" max="3586" width="12" style="242" customWidth="1"/>
    <col min="3587" max="3587" width="0.42578125" style="242" customWidth="1"/>
    <col min="3588" max="3588" width="12.5703125" style="242" customWidth="1"/>
    <col min="3589" max="3589" width="10.140625" style="242" bestFit="1" customWidth="1"/>
    <col min="3590" max="3591" width="10.140625" style="242" customWidth="1"/>
    <col min="3592" max="3592" width="12" style="242" customWidth="1"/>
    <col min="3593" max="3593" width="0.42578125" style="242" customWidth="1"/>
    <col min="3594" max="3594" width="12.5703125" style="242" customWidth="1"/>
    <col min="3595" max="3595" width="10.140625" style="242" bestFit="1" customWidth="1"/>
    <col min="3596" max="3597" width="10.140625" style="242" customWidth="1"/>
    <col min="3598" max="3598" width="12" style="242" customWidth="1"/>
    <col min="3599" max="3599" width="15.140625" style="242" customWidth="1"/>
    <col min="3600" max="3600" width="0.42578125" style="242" customWidth="1"/>
    <col min="3601" max="3601" width="12.5703125" style="242" customWidth="1"/>
    <col min="3602" max="3602" width="10.140625" style="242" bestFit="1" customWidth="1"/>
    <col min="3603" max="3604" width="10.140625" style="242" customWidth="1"/>
    <col min="3605" max="3605" width="12" style="242" customWidth="1"/>
    <col min="3606" max="3606" width="15.140625" style="242" customWidth="1"/>
    <col min="3607" max="3607" width="13.7109375" style="242" customWidth="1"/>
    <col min="3608" max="3608" width="11.42578125" style="242" bestFit="1" customWidth="1"/>
    <col min="3609" max="3833" width="0.7109375" style="242"/>
    <col min="3834" max="3834" width="10.7109375" style="242" customWidth="1"/>
    <col min="3835" max="3835" width="30.42578125" style="242" customWidth="1"/>
    <col min="3836" max="3836" width="0.42578125" style="242" customWidth="1"/>
    <col min="3837" max="3837" width="12.5703125" style="242" customWidth="1"/>
    <col min="3838" max="3838" width="10.140625" style="242" bestFit="1" customWidth="1"/>
    <col min="3839" max="3840" width="10.140625" style="242" customWidth="1"/>
    <col min="3841" max="3842" width="12" style="242" customWidth="1"/>
    <col min="3843" max="3843" width="0.42578125" style="242" customWidth="1"/>
    <col min="3844" max="3844" width="12.5703125" style="242" customWidth="1"/>
    <col min="3845" max="3845" width="10.140625" style="242" bestFit="1" customWidth="1"/>
    <col min="3846" max="3847" width="10.140625" style="242" customWidth="1"/>
    <col min="3848" max="3848" width="12" style="242" customWidth="1"/>
    <col min="3849" max="3849" width="0.42578125" style="242" customWidth="1"/>
    <col min="3850" max="3850" width="12.5703125" style="242" customWidth="1"/>
    <col min="3851" max="3851" width="10.140625" style="242" bestFit="1" customWidth="1"/>
    <col min="3852" max="3853" width="10.140625" style="242" customWidth="1"/>
    <col min="3854" max="3854" width="12" style="242" customWidth="1"/>
    <col min="3855" max="3855" width="15.140625" style="242" customWidth="1"/>
    <col min="3856" max="3856" width="0.42578125" style="242" customWidth="1"/>
    <col min="3857" max="3857" width="12.5703125" style="242" customWidth="1"/>
    <col min="3858" max="3858" width="10.140625" style="242" bestFit="1" customWidth="1"/>
    <col min="3859" max="3860" width="10.140625" style="242" customWidth="1"/>
    <col min="3861" max="3861" width="12" style="242" customWidth="1"/>
    <col min="3862" max="3862" width="15.140625" style="242" customWidth="1"/>
    <col min="3863" max="3863" width="13.7109375" style="242" customWidth="1"/>
    <col min="3864" max="3864" width="11.42578125" style="242" bestFit="1" customWidth="1"/>
    <col min="3865" max="4089" width="0.7109375" style="242"/>
    <col min="4090" max="4090" width="10.7109375" style="242" customWidth="1"/>
    <col min="4091" max="4091" width="30.42578125" style="242" customWidth="1"/>
    <col min="4092" max="4092" width="0.42578125" style="242" customWidth="1"/>
    <col min="4093" max="4093" width="12.5703125" style="242" customWidth="1"/>
    <col min="4094" max="4094" width="10.140625" style="242" bestFit="1" customWidth="1"/>
    <col min="4095" max="4096" width="10.140625" style="242" customWidth="1"/>
    <col min="4097" max="4098" width="12" style="242" customWidth="1"/>
    <col min="4099" max="4099" width="0.42578125" style="242" customWidth="1"/>
    <col min="4100" max="4100" width="12.5703125" style="242" customWidth="1"/>
    <col min="4101" max="4101" width="10.140625" style="242" bestFit="1" customWidth="1"/>
    <col min="4102" max="4103" width="10.140625" style="242" customWidth="1"/>
    <col min="4104" max="4104" width="12" style="242" customWidth="1"/>
    <col min="4105" max="4105" width="0.42578125" style="242" customWidth="1"/>
    <col min="4106" max="4106" width="12.5703125" style="242" customWidth="1"/>
    <col min="4107" max="4107" width="10.140625" style="242" bestFit="1" customWidth="1"/>
    <col min="4108" max="4109" width="10.140625" style="242" customWidth="1"/>
    <col min="4110" max="4110" width="12" style="242" customWidth="1"/>
    <col min="4111" max="4111" width="15.140625" style="242" customWidth="1"/>
    <col min="4112" max="4112" width="0.42578125" style="242" customWidth="1"/>
    <col min="4113" max="4113" width="12.5703125" style="242" customWidth="1"/>
    <col min="4114" max="4114" width="10.140625" style="242" bestFit="1" customWidth="1"/>
    <col min="4115" max="4116" width="10.140625" style="242" customWidth="1"/>
    <col min="4117" max="4117" width="12" style="242" customWidth="1"/>
    <col min="4118" max="4118" width="15.140625" style="242" customWidth="1"/>
    <col min="4119" max="4119" width="13.7109375" style="242" customWidth="1"/>
    <col min="4120" max="4120" width="11.42578125" style="242" bestFit="1" customWidth="1"/>
    <col min="4121" max="4345" width="0.7109375" style="242"/>
    <col min="4346" max="4346" width="10.7109375" style="242" customWidth="1"/>
    <col min="4347" max="4347" width="30.42578125" style="242" customWidth="1"/>
    <col min="4348" max="4348" width="0.42578125" style="242" customWidth="1"/>
    <col min="4349" max="4349" width="12.5703125" style="242" customWidth="1"/>
    <col min="4350" max="4350" width="10.140625" style="242" bestFit="1" customWidth="1"/>
    <col min="4351" max="4352" width="10.140625" style="242" customWidth="1"/>
    <col min="4353" max="4354" width="12" style="242" customWidth="1"/>
    <col min="4355" max="4355" width="0.42578125" style="242" customWidth="1"/>
    <col min="4356" max="4356" width="12.5703125" style="242" customWidth="1"/>
    <col min="4357" max="4357" width="10.140625" style="242" bestFit="1" customWidth="1"/>
    <col min="4358" max="4359" width="10.140625" style="242" customWidth="1"/>
    <col min="4360" max="4360" width="12" style="242" customWidth="1"/>
    <col min="4361" max="4361" width="0.42578125" style="242" customWidth="1"/>
    <col min="4362" max="4362" width="12.5703125" style="242" customWidth="1"/>
    <col min="4363" max="4363" width="10.140625" style="242" bestFit="1" customWidth="1"/>
    <col min="4364" max="4365" width="10.140625" style="242" customWidth="1"/>
    <col min="4366" max="4366" width="12" style="242" customWidth="1"/>
    <col min="4367" max="4367" width="15.140625" style="242" customWidth="1"/>
    <col min="4368" max="4368" width="0.42578125" style="242" customWidth="1"/>
    <col min="4369" max="4369" width="12.5703125" style="242" customWidth="1"/>
    <col min="4370" max="4370" width="10.140625" style="242" bestFit="1" customWidth="1"/>
    <col min="4371" max="4372" width="10.140625" style="242" customWidth="1"/>
    <col min="4373" max="4373" width="12" style="242" customWidth="1"/>
    <col min="4374" max="4374" width="15.140625" style="242" customWidth="1"/>
    <col min="4375" max="4375" width="13.7109375" style="242" customWidth="1"/>
    <col min="4376" max="4376" width="11.42578125" style="242" bestFit="1" customWidth="1"/>
    <col min="4377" max="4601" width="0.7109375" style="242"/>
    <col min="4602" max="4602" width="10.7109375" style="242" customWidth="1"/>
    <col min="4603" max="4603" width="30.42578125" style="242" customWidth="1"/>
    <col min="4604" max="4604" width="0.42578125" style="242" customWidth="1"/>
    <col min="4605" max="4605" width="12.5703125" style="242" customWidth="1"/>
    <col min="4606" max="4606" width="10.140625" style="242" bestFit="1" customWidth="1"/>
    <col min="4607" max="4608" width="10.140625" style="242" customWidth="1"/>
    <col min="4609" max="4610" width="12" style="242" customWidth="1"/>
    <col min="4611" max="4611" width="0.42578125" style="242" customWidth="1"/>
    <col min="4612" max="4612" width="12.5703125" style="242" customWidth="1"/>
    <col min="4613" max="4613" width="10.140625" style="242" bestFit="1" customWidth="1"/>
    <col min="4614" max="4615" width="10.140625" style="242" customWidth="1"/>
    <col min="4616" max="4616" width="12" style="242" customWidth="1"/>
    <col min="4617" max="4617" width="0.42578125" style="242" customWidth="1"/>
    <col min="4618" max="4618" width="12.5703125" style="242" customWidth="1"/>
    <col min="4619" max="4619" width="10.140625" style="242" bestFit="1" customWidth="1"/>
    <col min="4620" max="4621" width="10.140625" style="242" customWidth="1"/>
    <col min="4622" max="4622" width="12" style="242" customWidth="1"/>
    <col min="4623" max="4623" width="15.140625" style="242" customWidth="1"/>
    <col min="4624" max="4624" width="0.42578125" style="242" customWidth="1"/>
    <col min="4625" max="4625" width="12.5703125" style="242" customWidth="1"/>
    <col min="4626" max="4626" width="10.140625" style="242" bestFit="1" customWidth="1"/>
    <col min="4627" max="4628" width="10.140625" style="242" customWidth="1"/>
    <col min="4629" max="4629" width="12" style="242" customWidth="1"/>
    <col min="4630" max="4630" width="15.140625" style="242" customWidth="1"/>
    <col min="4631" max="4631" width="13.7109375" style="242" customWidth="1"/>
    <col min="4632" max="4632" width="11.42578125" style="242" bestFit="1" customWidth="1"/>
    <col min="4633" max="4857" width="0.7109375" style="242"/>
    <col min="4858" max="4858" width="10.7109375" style="242" customWidth="1"/>
    <col min="4859" max="4859" width="30.42578125" style="242" customWidth="1"/>
    <col min="4860" max="4860" width="0.42578125" style="242" customWidth="1"/>
    <col min="4861" max="4861" width="12.5703125" style="242" customWidth="1"/>
    <col min="4862" max="4862" width="10.140625" style="242" bestFit="1" customWidth="1"/>
    <col min="4863" max="4864" width="10.140625" style="242" customWidth="1"/>
    <col min="4865" max="4866" width="12" style="242" customWidth="1"/>
    <col min="4867" max="4867" width="0.42578125" style="242" customWidth="1"/>
    <col min="4868" max="4868" width="12.5703125" style="242" customWidth="1"/>
    <col min="4869" max="4869" width="10.140625" style="242" bestFit="1" customWidth="1"/>
    <col min="4870" max="4871" width="10.140625" style="242" customWidth="1"/>
    <col min="4872" max="4872" width="12" style="242" customWidth="1"/>
    <col min="4873" max="4873" width="0.42578125" style="242" customWidth="1"/>
    <col min="4874" max="4874" width="12.5703125" style="242" customWidth="1"/>
    <col min="4875" max="4875" width="10.140625" style="242" bestFit="1" customWidth="1"/>
    <col min="4876" max="4877" width="10.140625" style="242" customWidth="1"/>
    <col min="4878" max="4878" width="12" style="242" customWidth="1"/>
    <col min="4879" max="4879" width="15.140625" style="242" customWidth="1"/>
    <col min="4880" max="4880" width="0.42578125" style="242" customWidth="1"/>
    <col min="4881" max="4881" width="12.5703125" style="242" customWidth="1"/>
    <col min="4882" max="4882" width="10.140625" style="242" bestFit="1" customWidth="1"/>
    <col min="4883" max="4884" width="10.140625" style="242" customWidth="1"/>
    <col min="4885" max="4885" width="12" style="242" customWidth="1"/>
    <col min="4886" max="4886" width="15.140625" style="242" customWidth="1"/>
    <col min="4887" max="4887" width="13.7109375" style="242" customWidth="1"/>
    <col min="4888" max="4888" width="11.42578125" style="242" bestFit="1" customWidth="1"/>
    <col min="4889" max="5113" width="0.7109375" style="242"/>
    <col min="5114" max="5114" width="10.7109375" style="242" customWidth="1"/>
    <col min="5115" max="5115" width="30.42578125" style="242" customWidth="1"/>
    <col min="5116" max="5116" width="0.42578125" style="242" customWidth="1"/>
    <col min="5117" max="5117" width="12.5703125" style="242" customWidth="1"/>
    <col min="5118" max="5118" width="10.140625" style="242" bestFit="1" customWidth="1"/>
    <col min="5119" max="5120" width="10.140625" style="242" customWidth="1"/>
    <col min="5121" max="5122" width="12" style="242" customWidth="1"/>
    <col min="5123" max="5123" width="0.42578125" style="242" customWidth="1"/>
    <col min="5124" max="5124" width="12.5703125" style="242" customWidth="1"/>
    <col min="5125" max="5125" width="10.140625" style="242" bestFit="1" customWidth="1"/>
    <col min="5126" max="5127" width="10.140625" style="242" customWidth="1"/>
    <col min="5128" max="5128" width="12" style="242" customWidth="1"/>
    <col min="5129" max="5129" width="0.42578125" style="242" customWidth="1"/>
    <col min="5130" max="5130" width="12.5703125" style="242" customWidth="1"/>
    <col min="5131" max="5131" width="10.140625" style="242" bestFit="1" customWidth="1"/>
    <col min="5132" max="5133" width="10.140625" style="242" customWidth="1"/>
    <col min="5134" max="5134" width="12" style="242" customWidth="1"/>
    <col min="5135" max="5135" width="15.140625" style="242" customWidth="1"/>
    <col min="5136" max="5136" width="0.42578125" style="242" customWidth="1"/>
    <col min="5137" max="5137" width="12.5703125" style="242" customWidth="1"/>
    <col min="5138" max="5138" width="10.140625" style="242" bestFit="1" customWidth="1"/>
    <col min="5139" max="5140" width="10.140625" style="242" customWidth="1"/>
    <col min="5141" max="5141" width="12" style="242" customWidth="1"/>
    <col min="5142" max="5142" width="15.140625" style="242" customWidth="1"/>
    <col min="5143" max="5143" width="13.7109375" style="242" customWidth="1"/>
    <col min="5144" max="5144" width="11.42578125" style="242" bestFit="1" customWidth="1"/>
    <col min="5145" max="5369" width="0.7109375" style="242"/>
    <col min="5370" max="5370" width="10.7109375" style="242" customWidth="1"/>
    <col min="5371" max="5371" width="30.42578125" style="242" customWidth="1"/>
    <col min="5372" max="5372" width="0.42578125" style="242" customWidth="1"/>
    <col min="5373" max="5373" width="12.5703125" style="242" customWidth="1"/>
    <col min="5374" max="5374" width="10.140625" style="242" bestFit="1" customWidth="1"/>
    <col min="5375" max="5376" width="10.140625" style="242" customWidth="1"/>
    <col min="5377" max="5378" width="12" style="242" customWidth="1"/>
    <col min="5379" max="5379" width="0.42578125" style="242" customWidth="1"/>
    <col min="5380" max="5380" width="12.5703125" style="242" customWidth="1"/>
    <col min="5381" max="5381" width="10.140625" style="242" bestFit="1" customWidth="1"/>
    <col min="5382" max="5383" width="10.140625" style="242" customWidth="1"/>
    <col min="5384" max="5384" width="12" style="242" customWidth="1"/>
    <col min="5385" max="5385" width="0.42578125" style="242" customWidth="1"/>
    <col min="5386" max="5386" width="12.5703125" style="242" customWidth="1"/>
    <col min="5387" max="5387" width="10.140625" style="242" bestFit="1" customWidth="1"/>
    <col min="5388" max="5389" width="10.140625" style="242" customWidth="1"/>
    <col min="5390" max="5390" width="12" style="242" customWidth="1"/>
    <col min="5391" max="5391" width="15.140625" style="242" customWidth="1"/>
    <col min="5392" max="5392" width="0.42578125" style="242" customWidth="1"/>
    <col min="5393" max="5393" width="12.5703125" style="242" customWidth="1"/>
    <col min="5394" max="5394" width="10.140625" style="242" bestFit="1" customWidth="1"/>
    <col min="5395" max="5396" width="10.140625" style="242" customWidth="1"/>
    <col min="5397" max="5397" width="12" style="242" customWidth="1"/>
    <col min="5398" max="5398" width="15.140625" style="242" customWidth="1"/>
    <col min="5399" max="5399" width="13.7109375" style="242" customWidth="1"/>
    <col min="5400" max="5400" width="11.42578125" style="242" bestFit="1" customWidth="1"/>
    <col min="5401" max="5625" width="0.7109375" style="242"/>
    <col min="5626" max="5626" width="10.7109375" style="242" customWidth="1"/>
    <col min="5627" max="5627" width="30.42578125" style="242" customWidth="1"/>
    <col min="5628" max="5628" width="0.42578125" style="242" customWidth="1"/>
    <col min="5629" max="5629" width="12.5703125" style="242" customWidth="1"/>
    <col min="5630" max="5630" width="10.140625" style="242" bestFit="1" customWidth="1"/>
    <col min="5631" max="5632" width="10.140625" style="242" customWidth="1"/>
    <col min="5633" max="5634" width="12" style="242" customWidth="1"/>
    <col min="5635" max="5635" width="0.42578125" style="242" customWidth="1"/>
    <col min="5636" max="5636" width="12.5703125" style="242" customWidth="1"/>
    <col min="5637" max="5637" width="10.140625" style="242" bestFit="1" customWidth="1"/>
    <col min="5638" max="5639" width="10.140625" style="242" customWidth="1"/>
    <col min="5640" max="5640" width="12" style="242" customWidth="1"/>
    <col min="5641" max="5641" width="0.42578125" style="242" customWidth="1"/>
    <col min="5642" max="5642" width="12.5703125" style="242" customWidth="1"/>
    <col min="5643" max="5643" width="10.140625" style="242" bestFit="1" customWidth="1"/>
    <col min="5644" max="5645" width="10.140625" style="242" customWidth="1"/>
    <col min="5646" max="5646" width="12" style="242" customWidth="1"/>
    <col min="5647" max="5647" width="15.140625" style="242" customWidth="1"/>
    <col min="5648" max="5648" width="0.42578125" style="242" customWidth="1"/>
    <col min="5649" max="5649" width="12.5703125" style="242" customWidth="1"/>
    <col min="5650" max="5650" width="10.140625" style="242" bestFit="1" customWidth="1"/>
    <col min="5651" max="5652" width="10.140625" style="242" customWidth="1"/>
    <col min="5653" max="5653" width="12" style="242" customWidth="1"/>
    <col min="5654" max="5654" width="15.140625" style="242" customWidth="1"/>
    <col min="5655" max="5655" width="13.7109375" style="242" customWidth="1"/>
    <col min="5656" max="5656" width="11.42578125" style="242" bestFit="1" customWidth="1"/>
    <col min="5657" max="5881" width="0.7109375" style="242"/>
    <col min="5882" max="5882" width="10.7109375" style="242" customWidth="1"/>
    <col min="5883" max="5883" width="30.42578125" style="242" customWidth="1"/>
    <col min="5884" max="5884" width="0.42578125" style="242" customWidth="1"/>
    <col min="5885" max="5885" width="12.5703125" style="242" customWidth="1"/>
    <col min="5886" max="5886" width="10.140625" style="242" bestFit="1" customWidth="1"/>
    <col min="5887" max="5888" width="10.140625" style="242" customWidth="1"/>
    <col min="5889" max="5890" width="12" style="242" customWidth="1"/>
    <col min="5891" max="5891" width="0.42578125" style="242" customWidth="1"/>
    <col min="5892" max="5892" width="12.5703125" style="242" customWidth="1"/>
    <col min="5893" max="5893" width="10.140625" style="242" bestFit="1" customWidth="1"/>
    <col min="5894" max="5895" width="10.140625" style="242" customWidth="1"/>
    <col min="5896" max="5896" width="12" style="242" customWidth="1"/>
    <col min="5897" max="5897" width="0.42578125" style="242" customWidth="1"/>
    <col min="5898" max="5898" width="12.5703125" style="242" customWidth="1"/>
    <col min="5899" max="5899" width="10.140625" style="242" bestFit="1" customWidth="1"/>
    <col min="5900" max="5901" width="10.140625" style="242" customWidth="1"/>
    <col min="5902" max="5902" width="12" style="242" customWidth="1"/>
    <col min="5903" max="5903" width="15.140625" style="242" customWidth="1"/>
    <col min="5904" max="5904" width="0.42578125" style="242" customWidth="1"/>
    <col min="5905" max="5905" width="12.5703125" style="242" customWidth="1"/>
    <col min="5906" max="5906" width="10.140625" style="242" bestFit="1" customWidth="1"/>
    <col min="5907" max="5908" width="10.140625" style="242" customWidth="1"/>
    <col min="5909" max="5909" width="12" style="242" customWidth="1"/>
    <col min="5910" max="5910" width="15.140625" style="242" customWidth="1"/>
    <col min="5911" max="5911" width="13.7109375" style="242" customWidth="1"/>
    <col min="5912" max="5912" width="11.42578125" style="242" bestFit="1" customWidth="1"/>
    <col min="5913" max="6137" width="0.7109375" style="242"/>
    <col min="6138" max="6138" width="10.7109375" style="242" customWidth="1"/>
    <col min="6139" max="6139" width="30.42578125" style="242" customWidth="1"/>
    <col min="6140" max="6140" width="0.42578125" style="242" customWidth="1"/>
    <col min="6141" max="6141" width="12.5703125" style="242" customWidth="1"/>
    <col min="6142" max="6142" width="10.140625" style="242" bestFit="1" customWidth="1"/>
    <col min="6143" max="6144" width="10.140625" style="242" customWidth="1"/>
    <col min="6145" max="6146" width="12" style="242" customWidth="1"/>
    <col min="6147" max="6147" width="0.42578125" style="242" customWidth="1"/>
    <col min="6148" max="6148" width="12.5703125" style="242" customWidth="1"/>
    <col min="6149" max="6149" width="10.140625" style="242" bestFit="1" customWidth="1"/>
    <col min="6150" max="6151" width="10.140625" style="242" customWidth="1"/>
    <col min="6152" max="6152" width="12" style="242" customWidth="1"/>
    <col min="6153" max="6153" width="0.42578125" style="242" customWidth="1"/>
    <col min="6154" max="6154" width="12.5703125" style="242" customWidth="1"/>
    <col min="6155" max="6155" width="10.140625" style="242" bestFit="1" customWidth="1"/>
    <col min="6156" max="6157" width="10.140625" style="242" customWidth="1"/>
    <col min="6158" max="6158" width="12" style="242" customWidth="1"/>
    <col min="6159" max="6159" width="15.140625" style="242" customWidth="1"/>
    <col min="6160" max="6160" width="0.42578125" style="242" customWidth="1"/>
    <col min="6161" max="6161" width="12.5703125" style="242" customWidth="1"/>
    <col min="6162" max="6162" width="10.140625" style="242" bestFit="1" customWidth="1"/>
    <col min="6163" max="6164" width="10.140625" style="242" customWidth="1"/>
    <col min="6165" max="6165" width="12" style="242" customWidth="1"/>
    <col min="6166" max="6166" width="15.140625" style="242" customWidth="1"/>
    <col min="6167" max="6167" width="13.7109375" style="242" customWidth="1"/>
    <col min="6168" max="6168" width="11.42578125" style="242" bestFit="1" customWidth="1"/>
    <col min="6169" max="6393" width="0.7109375" style="242"/>
    <col min="6394" max="6394" width="10.7109375" style="242" customWidth="1"/>
    <col min="6395" max="6395" width="30.42578125" style="242" customWidth="1"/>
    <col min="6396" max="6396" width="0.42578125" style="242" customWidth="1"/>
    <col min="6397" max="6397" width="12.5703125" style="242" customWidth="1"/>
    <col min="6398" max="6398" width="10.140625" style="242" bestFit="1" customWidth="1"/>
    <col min="6399" max="6400" width="10.140625" style="242" customWidth="1"/>
    <col min="6401" max="6402" width="12" style="242" customWidth="1"/>
    <col min="6403" max="6403" width="0.42578125" style="242" customWidth="1"/>
    <col min="6404" max="6404" width="12.5703125" style="242" customWidth="1"/>
    <col min="6405" max="6405" width="10.140625" style="242" bestFit="1" customWidth="1"/>
    <col min="6406" max="6407" width="10.140625" style="242" customWidth="1"/>
    <col min="6408" max="6408" width="12" style="242" customWidth="1"/>
    <col min="6409" max="6409" width="0.42578125" style="242" customWidth="1"/>
    <col min="6410" max="6410" width="12.5703125" style="242" customWidth="1"/>
    <col min="6411" max="6411" width="10.140625" style="242" bestFit="1" customWidth="1"/>
    <col min="6412" max="6413" width="10.140625" style="242" customWidth="1"/>
    <col min="6414" max="6414" width="12" style="242" customWidth="1"/>
    <col min="6415" max="6415" width="15.140625" style="242" customWidth="1"/>
    <col min="6416" max="6416" width="0.42578125" style="242" customWidth="1"/>
    <col min="6417" max="6417" width="12.5703125" style="242" customWidth="1"/>
    <col min="6418" max="6418" width="10.140625" style="242" bestFit="1" customWidth="1"/>
    <col min="6419" max="6420" width="10.140625" style="242" customWidth="1"/>
    <col min="6421" max="6421" width="12" style="242" customWidth="1"/>
    <col min="6422" max="6422" width="15.140625" style="242" customWidth="1"/>
    <col min="6423" max="6423" width="13.7109375" style="242" customWidth="1"/>
    <col min="6424" max="6424" width="11.42578125" style="242" bestFit="1" customWidth="1"/>
    <col min="6425" max="6649" width="0.7109375" style="242"/>
    <col min="6650" max="6650" width="10.7109375" style="242" customWidth="1"/>
    <col min="6651" max="6651" width="30.42578125" style="242" customWidth="1"/>
    <col min="6652" max="6652" width="0.42578125" style="242" customWidth="1"/>
    <col min="6653" max="6653" width="12.5703125" style="242" customWidth="1"/>
    <col min="6654" max="6654" width="10.140625" style="242" bestFit="1" customWidth="1"/>
    <col min="6655" max="6656" width="10.140625" style="242" customWidth="1"/>
    <col min="6657" max="6658" width="12" style="242" customWidth="1"/>
    <col min="6659" max="6659" width="0.42578125" style="242" customWidth="1"/>
    <col min="6660" max="6660" width="12.5703125" style="242" customWidth="1"/>
    <col min="6661" max="6661" width="10.140625" style="242" bestFit="1" customWidth="1"/>
    <col min="6662" max="6663" width="10.140625" style="242" customWidth="1"/>
    <col min="6664" max="6664" width="12" style="242" customWidth="1"/>
    <col min="6665" max="6665" width="0.42578125" style="242" customWidth="1"/>
    <col min="6666" max="6666" width="12.5703125" style="242" customWidth="1"/>
    <col min="6667" max="6667" width="10.140625" style="242" bestFit="1" customWidth="1"/>
    <col min="6668" max="6669" width="10.140625" style="242" customWidth="1"/>
    <col min="6670" max="6670" width="12" style="242" customWidth="1"/>
    <col min="6671" max="6671" width="15.140625" style="242" customWidth="1"/>
    <col min="6672" max="6672" width="0.42578125" style="242" customWidth="1"/>
    <col min="6673" max="6673" width="12.5703125" style="242" customWidth="1"/>
    <col min="6674" max="6674" width="10.140625" style="242" bestFit="1" customWidth="1"/>
    <col min="6675" max="6676" width="10.140625" style="242" customWidth="1"/>
    <col min="6677" max="6677" width="12" style="242" customWidth="1"/>
    <col min="6678" max="6678" width="15.140625" style="242" customWidth="1"/>
    <col min="6679" max="6679" width="13.7109375" style="242" customWidth="1"/>
    <col min="6680" max="6680" width="11.42578125" style="242" bestFit="1" customWidth="1"/>
    <col min="6681" max="6905" width="0.7109375" style="242"/>
    <col min="6906" max="6906" width="10.7109375" style="242" customWidth="1"/>
    <col min="6907" max="6907" width="30.42578125" style="242" customWidth="1"/>
    <col min="6908" max="6908" width="0.42578125" style="242" customWidth="1"/>
    <col min="6909" max="6909" width="12.5703125" style="242" customWidth="1"/>
    <col min="6910" max="6910" width="10.140625" style="242" bestFit="1" customWidth="1"/>
    <col min="6911" max="6912" width="10.140625" style="242" customWidth="1"/>
    <col min="6913" max="6914" width="12" style="242" customWidth="1"/>
    <col min="6915" max="6915" width="0.42578125" style="242" customWidth="1"/>
    <col min="6916" max="6916" width="12.5703125" style="242" customWidth="1"/>
    <col min="6917" max="6917" width="10.140625" style="242" bestFit="1" customWidth="1"/>
    <col min="6918" max="6919" width="10.140625" style="242" customWidth="1"/>
    <col min="6920" max="6920" width="12" style="242" customWidth="1"/>
    <col min="6921" max="6921" width="0.42578125" style="242" customWidth="1"/>
    <col min="6922" max="6922" width="12.5703125" style="242" customWidth="1"/>
    <col min="6923" max="6923" width="10.140625" style="242" bestFit="1" customWidth="1"/>
    <col min="6924" max="6925" width="10.140625" style="242" customWidth="1"/>
    <col min="6926" max="6926" width="12" style="242" customWidth="1"/>
    <col min="6927" max="6927" width="15.140625" style="242" customWidth="1"/>
    <col min="6928" max="6928" width="0.42578125" style="242" customWidth="1"/>
    <col min="6929" max="6929" width="12.5703125" style="242" customWidth="1"/>
    <col min="6930" max="6930" width="10.140625" style="242" bestFit="1" customWidth="1"/>
    <col min="6931" max="6932" width="10.140625" style="242" customWidth="1"/>
    <col min="6933" max="6933" width="12" style="242" customWidth="1"/>
    <col min="6934" max="6934" width="15.140625" style="242" customWidth="1"/>
    <col min="6935" max="6935" width="13.7109375" style="242" customWidth="1"/>
    <col min="6936" max="6936" width="11.42578125" style="242" bestFit="1" customWidth="1"/>
    <col min="6937" max="7161" width="0.7109375" style="242"/>
    <col min="7162" max="7162" width="10.7109375" style="242" customWidth="1"/>
    <col min="7163" max="7163" width="30.42578125" style="242" customWidth="1"/>
    <col min="7164" max="7164" width="0.42578125" style="242" customWidth="1"/>
    <col min="7165" max="7165" width="12.5703125" style="242" customWidth="1"/>
    <col min="7166" max="7166" width="10.140625" style="242" bestFit="1" customWidth="1"/>
    <col min="7167" max="7168" width="10.140625" style="242" customWidth="1"/>
    <col min="7169" max="7170" width="12" style="242" customWidth="1"/>
    <col min="7171" max="7171" width="0.42578125" style="242" customWidth="1"/>
    <col min="7172" max="7172" width="12.5703125" style="242" customWidth="1"/>
    <col min="7173" max="7173" width="10.140625" style="242" bestFit="1" customWidth="1"/>
    <col min="7174" max="7175" width="10.140625" style="242" customWidth="1"/>
    <col min="7176" max="7176" width="12" style="242" customWidth="1"/>
    <col min="7177" max="7177" width="0.42578125" style="242" customWidth="1"/>
    <col min="7178" max="7178" width="12.5703125" style="242" customWidth="1"/>
    <col min="7179" max="7179" width="10.140625" style="242" bestFit="1" customWidth="1"/>
    <col min="7180" max="7181" width="10.140625" style="242" customWidth="1"/>
    <col min="7182" max="7182" width="12" style="242" customWidth="1"/>
    <col min="7183" max="7183" width="15.140625" style="242" customWidth="1"/>
    <col min="7184" max="7184" width="0.42578125" style="242" customWidth="1"/>
    <col min="7185" max="7185" width="12.5703125" style="242" customWidth="1"/>
    <col min="7186" max="7186" width="10.140625" style="242" bestFit="1" customWidth="1"/>
    <col min="7187" max="7188" width="10.140625" style="242" customWidth="1"/>
    <col min="7189" max="7189" width="12" style="242" customWidth="1"/>
    <col min="7190" max="7190" width="15.140625" style="242" customWidth="1"/>
    <col min="7191" max="7191" width="13.7109375" style="242" customWidth="1"/>
    <col min="7192" max="7192" width="11.42578125" style="242" bestFit="1" customWidth="1"/>
    <col min="7193" max="7417" width="0.7109375" style="242"/>
    <col min="7418" max="7418" width="10.7109375" style="242" customWidth="1"/>
    <col min="7419" max="7419" width="30.42578125" style="242" customWidth="1"/>
    <col min="7420" max="7420" width="0.42578125" style="242" customWidth="1"/>
    <col min="7421" max="7421" width="12.5703125" style="242" customWidth="1"/>
    <col min="7422" max="7422" width="10.140625" style="242" bestFit="1" customWidth="1"/>
    <col min="7423" max="7424" width="10.140625" style="242" customWidth="1"/>
    <col min="7425" max="7426" width="12" style="242" customWidth="1"/>
    <col min="7427" max="7427" width="0.42578125" style="242" customWidth="1"/>
    <col min="7428" max="7428" width="12.5703125" style="242" customWidth="1"/>
    <col min="7429" max="7429" width="10.140625" style="242" bestFit="1" customWidth="1"/>
    <col min="7430" max="7431" width="10.140625" style="242" customWidth="1"/>
    <col min="7432" max="7432" width="12" style="242" customWidth="1"/>
    <col min="7433" max="7433" width="0.42578125" style="242" customWidth="1"/>
    <col min="7434" max="7434" width="12.5703125" style="242" customWidth="1"/>
    <col min="7435" max="7435" width="10.140625" style="242" bestFit="1" customWidth="1"/>
    <col min="7436" max="7437" width="10.140625" style="242" customWidth="1"/>
    <col min="7438" max="7438" width="12" style="242" customWidth="1"/>
    <col min="7439" max="7439" width="15.140625" style="242" customWidth="1"/>
    <col min="7440" max="7440" width="0.42578125" style="242" customWidth="1"/>
    <col min="7441" max="7441" width="12.5703125" style="242" customWidth="1"/>
    <col min="7442" max="7442" width="10.140625" style="242" bestFit="1" customWidth="1"/>
    <col min="7443" max="7444" width="10.140625" style="242" customWidth="1"/>
    <col min="7445" max="7445" width="12" style="242" customWidth="1"/>
    <col min="7446" max="7446" width="15.140625" style="242" customWidth="1"/>
    <col min="7447" max="7447" width="13.7109375" style="242" customWidth="1"/>
    <col min="7448" max="7448" width="11.42578125" style="242" bestFit="1" customWidth="1"/>
    <col min="7449" max="7673" width="0.7109375" style="242"/>
    <col min="7674" max="7674" width="10.7109375" style="242" customWidth="1"/>
    <col min="7675" max="7675" width="30.42578125" style="242" customWidth="1"/>
    <col min="7676" max="7676" width="0.42578125" style="242" customWidth="1"/>
    <col min="7677" max="7677" width="12.5703125" style="242" customWidth="1"/>
    <col min="7678" max="7678" width="10.140625" style="242" bestFit="1" customWidth="1"/>
    <col min="7679" max="7680" width="10.140625" style="242" customWidth="1"/>
    <col min="7681" max="7682" width="12" style="242" customWidth="1"/>
    <col min="7683" max="7683" width="0.42578125" style="242" customWidth="1"/>
    <col min="7684" max="7684" width="12.5703125" style="242" customWidth="1"/>
    <col min="7685" max="7685" width="10.140625" style="242" bestFit="1" customWidth="1"/>
    <col min="7686" max="7687" width="10.140625" style="242" customWidth="1"/>
    <col min="7688" max="7688" width="12" style="242" customWidth="1"/>
    <col min="7689" max="7689" width="0.42578125" style="242" customWidth="1"/>
    <col min="7690" max="7690" width="12.5703125" style="242" customWidth="1"/>
    <col min="7691" max="7691" width="10.140625" style="242" bestFit="1" customWidth="1"/>
    <col min="7692" max="7693" width="10.140625" style="242" customWidth="1"/>
    <col min="7694" max="7694" width="12" style="242" customWidth="1"/>
    <col min="7695" max="7695" width="15.140625" style="242" customWidth="1"/>
    <col min="7696" max="7696" width="0.42578125" style="242" customWidth="1"/>
    <col min="7697" max="7697" width="12.5703125" style="242" customWidth="1"/>
    <col min="7698" max="7698" width="10.140625" style="242" bestFit="1" customWidth="1"/>
    <col min="7699" max="7700" width="10.140625" style="242" customWidth="1"/>
    <col min="7701" max="7701" width="12" style="242" customWidth="1"/>
    <col min="7702" max="7702" width="15.140625" style="242" customWidth="1"/>
    <col min="7703" max="7703" width="13.7109375" style="242" customWidth="1"/>
    <col min="7704" max="7704" width="11.42578125" style="242" bestFit="1" customWidth="1"/>
    <col min="7705" max="7929" width="0.7109375" style="242"/>
    <col min="7930" max="7930" width="10.7109375" style="242" customWidth="1"/>
    <col min="7931" max="7931" width="30.42578125" style="242" customWidth="1"/>
    <col min="7932" max="7932" width="0.42578125" style="242" customWidth="1"/>
    <col min="7933" max="7933" width="12.5703125" style="242" customWidth="1"/>
    <col min="7934" max="7934" width="10.140625" style="242" bestFit="1" customWidth="1"/>
    <col min="7935" max="7936" width="10.140625" style="242" customWidth="1"/>
    <col min="7937" max="7938" width="12" style="242" customWidth="1"/>
    <col min="7939" max="7939" width="0.42578125" style="242" customWidth="1"/>
    <col min="7940" max="7940" width="12.5703125" style="242" customWidth="1"/>
    <col min="7941" max="7941" width="10.140625" style="242" bestFit="1" customWidth="1"/>
    <col min="7942" max="7943" width="10.140625" style="242" customWidth="1"/>
    <col min="7944" max="7944" width="12" style="242" customWidth="1"/>
    <col min="7945" max="7945" width="0.42578125" style="242" customWidth="1"/>
    <col min="7946" max="7946" width="12.5703125" style="242" customWidth="1"/>
    <col min="7947" max="7947" width="10.140625" style="242" bestFit="1" customWidth="1"/>
    <col min="7948" max="7949" width="10.140625" style="242" customWidth="1"/>
    <col min="7950" max="7950" width="12" style="242" customWidth="1"/>
    <col min="7951" max="7951" width="15.140625" style="242" customWidth="1"/>
    <col min="7952" max="7952" width="0.42578125" style="242" customWidth="1"/>
    <col min="7953" max="7953" width="12.5703125" style="242" customWidth="1"/>
    <col min="7954" max="7954" width="10.140625" style="242" bestFit="1" customWidth="1"/>
    <col min="7955" max="7956" width="10.140625" style="242" customWidth="1"/>
    <col min="7957" max="7957" width="12" style="242" customWidth="1"/>
    <col min="7958" max="7958" width="15.140625" style="242" customWidth="1"/>
    <col min="7959" max="7959" width="13.7109375" style="242" customWidth="1"/>
    <col min="7960" max="7960" width="11.42578125" style="242" bestFit="1" customWidth="1"/>
    <col min="7961" max="8185" width="0.7109375" style="242"/>
    <col min="8186" max="8186" width="10.7109375" style="242" customWidth="1"/>
    <col min="8187" max="8187" width="30.42578125" style="242" customWidth="1"/>
    <col min="8188" max="8188" width="0.42578125" style="242" customWidth="1"/>
    <col min="8189" max="8189" width="12.5703125" style="242" customWidth="1"/>
    <col min="8190" max="8190" width="10.140625" style="242" bestFit="1" customWidth="1"/>
    <col min="8191" max="8192" width="10.140625" style="242" customWidth="1"/>
    <col min="8193" max="8194" width="12" style="242" customWidth="1"/>
    <col min="8195" max="8195" width="0.42578125" style="242" customWidth="1"/>
    <col min="8196" max="8196" width="12.5703125" style="242" customWidth="1"/>
    <col min="8197" max="8197" width="10.140625" style="242" bestFit="1" customWidth="1"/>
    <col min="8198" max="8199" width="10.140625" style="242" customWidth="1"/>
    <col min="8200" max="8200" width="12" style="242" customWidth="1"/>
    <col min="8201" max="8201" width="0.42578125" style="242" customWidth="1"/>
    <col min="8202" max="8202" width="12.5703125" style="242" customWidth="1"/>
    <col min="8203" max="8203" width="10.140625" style="242" bestFit="1" customWidth="1"/>
    <col min="8204" max="8205" width="10.140625" style="242" customWidth="1"/>
    <col min="8206" max="8206" width="12" style="242" customWidth="1"/>
    <col min="8207" max="8207" width="15.140625" style="242" customWidth="1"/>
    <col min="8208" max="8208" width="0.42578125" style="242" customWidth="1"/>
    <col min="8209" max="8209" width="12.5703125" style="242" customWidth="1"/>
    <col min="8210" max="8210" width="10.140625" style="242" bestFit="1" customWidth="1"/>
    <col min="8211" max="8212" width="10.140625" style="242" customWidth="1"/>
    <col min="8213" max="8213" width="12" style="242" customWidth="1"/>
    <col min="8214" max="8214" width="15.140625" style="242" customWidth="1"/>
    <col min="8215" max="8215" width="13.7109375" style="242" customWidth="1"/>
    <col min="8216" max="8216" width="11.42578125" style="242" bestFit="1" customWidth="1"/>
    <col min="8217" max="8441" width="0.7109375" style="242"/>
    <col min="8442" max="8442" width="10.7109375" style="242" customWidth="1"/>
    <col min="8443" max="8443" width="30.42578125" style="242" customWidth="1"/>
    <col min="8444" max="8444" width="0.42578125" style="242" customWidth="1"/>
    <col min="8445" max="8445" width="12.5703125" style="242" customWidth="1"/>
    <col min="8446" max="8446" width="10.140625" style="242" bestFit="1" customWidth="1"/>
    <col min="8447" max="8448" width="10.140625" style="242" customWidth="1"/>
    <col min="8449" max="8450" width="12" style="242" customWidth="1"/>
    <col min="8451" max="8451" width="0.42578125" style="242" customWidth="1"/>
    <col min="8452" max="8452" width="12.5703125" style="242" customWidth="1"/>
    <col min="8453" max="8453" width="10.140625" style="242" bestFit="1" customWidth="1"/>
    <col min="8454" max="8455" width="10.140625" style="242" customWidth="1"/>
    <col min="8456" max="8456" width="12" style="242" customWidth="1"/>
    <col min="8457" max="8457" width="0.42578125" style="242" customWidth="1"/>
    <col min="8458" max="8458" width="12.5703125" style="242" customWidth="1"/>
    <col min="8459" max="8459" width="10.140625" style="242" bestFit="1" customWidth="1"/>
    <col min="8460" max="8461" width="10.140625" style="242" customWidth="1"/>
    <col min="8462" max="8462" width="12" style="242" customWidth="1"/>
    <col min="8463" max="8463" width="15.140625" style="242" customWidth="1"/>
    <col min="8464" max="8464" width="0.42578125" style="242" customWidth="1"/>
    <col min="8465" max="8465" width="12.5703125" style="242" customWidth="1"/>
    <col min="8466" max="8466" width="10.140625" style="242" bestFit="1" customWidth="1"/>
    <col min="8467" max="8468" width="10.140625" style="242" customWidth="1"/>
    <col min="8469" max="8469" width="12" style="242" customWidth="1"/>
    <col min="8470" max="8470" width="15.140625" style="242" customWidth="1"/>
    <col min="8471" max="8471" width="13.7109375" style="242" customWidth="1"/>
    <col min="8472" max="8472" width="11.42578125" style="242" bestFit="1" customWidth="1"/>
    <col min="8473" max="8697" width="0.7109375" style="242"/>
    <col min="8698" max="8698" width="10.7109375" style="242" customWidth="1"/>
    <col min="8699" max="8699" width="30.42578125" style="242" customWidth="1"/>
    <col min="8700" max="8700" width="0.42578125" style="242" customWidth="1"/>
    <col min="8701" max="8701" width="12.5703125" style="242" customWidth="1"/>
    <col min="8702" max="8702" width="10.140625" style="242" bestFit="1" customWidth="1"/>
    <col min="8703" max="8704" width="10.140625" style="242" customWidth="1"/>
    <col min="8705" max="8706" width="12" style="242" customWidth="1"/>
    <col min="8707" max="8707" width="0.42578125" style="242" customWidth="1"/>
    <col min="8708" max="8708" width="12.5703125" style="242" customWidth="1"/>
    <col min="8709" max="8709" width="10.140625" style="242" bestFit="1" customWidth="1"/>
    <col min="8710" max="8711" width="10.140625" style="242" customWidth="1"/>
    <col min="8712" max="8712" width="12" style="242" customWidth="1"/>
    <col min="8713" max="8713" width="0.42578125" style="242" customWidth="1"/>
    <col min="8714" max="8714" width="12.5703125" style="242" customWidth="1"/>
    <col min="8715" max="8715" width="10.140625" style="242" bestFit="1" customWidth="1"/>
    <col min="8716" max="8717" width="10.140625" style="242" customWidth="1"/>
    <col min="8718" max="8718" width="12" style="242" customWidth="1"/>
    <col min="8719" max="8719" width="15.140625" style="242" customWidth="1"/>
    <col min="8720" max="8720" width="0.42578125" style="242" customWidth="1"/>
    <col min="8721" max="8721" width="12.5703125" style="242" customWidth="1"/>
    <col min="8722" max="8722" width="10.140625" style="242" bestFit="1" customWidth="1"/>
    <col min="8723" max="8724" width="10.140625" style="242" customWidth="1"/>
    <col min="8725" max="8725" width="12" style="242" customWidth="1"/>
    <col min="8726" max="8726" width="15.140625" style="242" customWidth="1"/>
    <col min="8727" max="8727" width="13.7109375" style="242" customWidth="1"/>
    <col min="8728" max="8728" width="11.42578125" style="242" bestFit="1" customWidth="1"/>
    <col min="8729" max="8953" width="0.7109375" style="242"/>
    <col min="8954" max="8954" width="10.7109375" style="242" customWidth="1"/>
    <col min="8955" max="8955" width="30.42578125" style="242" customWidth="1"/>
    <col min="8956" max="8956" width="0.42578125" style="242" customWidth="1"/>
    <col min="8957" max="8957" width="12.5703125" style="242" customWidth="1"/>
    <col min="8958" max="8958" width="10.140625" style="242" bestFit="1" customWidth="1"/>
    <col min="8959" max="8960" width="10.140625" style="242" customWidth="1"/>
    <col min="8961" max="8962" width="12" style="242" customWidth="1"/>
    <col min="8963" max="8963" width="0.42578125" style="242" customWidth="1"/>
    <col min="8964" max="8964" width="12.5703125" style="242" customWidth="1"/>
    <col min="8965" max="8965" width="10.140625" style="242" bestFit="1" customWidth="1"/>
    <col min="8966" max="8967" width="10.140625" style="242" customWidth="1"/>
    <col min="8968" max="8968" width="12" style="242" customWidth="1"/>
    <col min="8969" max="8969" width="0.42578125" style="242" customWidth="1"/>
    <col min="8970" max="8970" width="12.5703125" style="242" customWidth="1"/>
    <col min="8971" max="8971" width="10.140625" style="242" bestFit="1" customWidth="1"/>
    <col min="8972" max="8973" width="10.140625" style="242" customWidth="1"/>
    <col min="8974" max="8974" width="12" style="242" customWidth="1"/>
    <col min="8975" max="8975" width="15.140625" style="242" customWidth="1"/>
    <col min="8976" max="8976" width="0.42578125" style="242" customWidth="1"/>
    <col min="8977" max="8977" width="12.5703125" style="242" customWidth="1"/>
    <col min="8978" max="8978" width="10.140625" style="242" bestFit="1" customWidth="1"/>
    <col min="8979" max="8980" width="10.140625" style="242" customWidth="1"/>
    <col min="8981" max="8981" width="12" style="242" customWidth="1"/>
    <col min="8982" max="8982" width="15.140625" style="242" customWidth="1"/>
    <col min="8983" max="8983" width="13.7109375" style="242" customWidth="1"/>
    <col min="8984" max="8984" width="11.42578125" style="242" bestFit="1" customWidth="1"/>
    <col min="8985" max="9209" width="0.7109375" style="242"/>
    <col min="9210" max="9210" width="10.7109375" style="242" customWidth="1"/>
    <col min="9211" max="9211" width="30.42578125" style="242" customWidth="1"/>
    <col min="9212" max="9212" width="0.42578125" style="242" customWidth="1"/>
    <col min="9213" max="9213" width="12.5703125" style="242" customWidth="1"/>
    <col min="9214" max="9214" width="10.140625" style="242" bestFit="1" customWidth="1"/>
    <col min="9215" max="9216" width="10.140625" style="242" customWidth="1"/>
    <col min="9217" max="9218" width="12" style="242" customWidth="1"/>
    <col min="9219" max="9219" width="0.42578125" style="242" customWidth="1"/>
    <col min="9220" max="9220" width="12.5703125" style="242" customWidth="1"/>
    <col min="9221" max="9221" width="10.140625" style="242" bestFit="1" customWidth="1"/>
    <col min="9222" max="9223" width="10.140625" style="242" customWidth="1"/>
    <col min="9224" max="9224" width="12" style="242" customWidth="1"/>
    <col min="9225" max="9225" width="0.42578125" style="242" customWidth="1"/>
    <col min="9226" max="9226" width="12.5703125" style="242" customWidth="1"/>
    <col min="9227" max="9227" width="10.140625" style="242" bestFit="1" customWidth="1"/>
    <col min="9228" max="9229" width="10.140625" style="242" customWidth="1"/>
    <col min="9230" max="9230" width="12" style="242" customWidth="1"/>
    <col min="9231" max="9231" width="15.140625" style="242" customWidth="1"/>
    <col min="9232" max="9232" width="0.42578125" style="242" customWidth="1"/>
    <col min="9233" max="9233" width="12.5703125" style="242" customWidth="1"/>
    <col min="9234" max="9234" width="10.140625" style="242" bestFit="1" customWidth="1"/>
    <col min="9235" max="9236" width="10.140625" style="242" customWidth="1"/>
    <col min="9237" max="9237" width="12" style="242" customWidth="1"/>
    <col min="9238" max="9238" width="15.140625" style="242" customWidth="1"/>
    <col min="9239" max="9239" width="13.7109375" style="242" customWidth="1"/>
    <col min="9240" max="9240" width="11.42578125" style="242" bestFit="1" customWidth="1"/>
    <col min="9241" max="9465" width="0.7109375" style="242"/>
    <col min="9466" max="9466" width="10.7109375" style="242" customWidth="1"/>
    <col min="9467" max="9467" width="30.42578125" style="242" customWidth="1"/>
    <col min="9468" max="9468" width="0.42578125" style="242" customWidth="1"/>
    <col min="9469" max="9469" width="12.5703125" style="242" customWidth="1"/>
    <col min="9470" max="9470" width="10.140625" style="242" bestFit="1" customWidth="1"/>
    <col min="9471" max="9472" width="10.140625" style="242" customWidth="1"/>
    <col min="9473" max="9474" width="12" style="242" customWidth="1"/>
    <col min="9475" max="9475" width="0.42578125" style="242" customWidth="1"/>
    <col min="9476" max="9476" width="12.5703125" style="242" customWidth="1"/>
    <col min="9477" max="9477" width="10.140625" style="242" bestFit="1" customWidth="1"/>
    <col min="9478" max="9479" width="10.140625" style="242" customWidth="1"/>
    <col min="9480" max="9480" width="12" style="242" customWidth="1"/>
    <col min="9481" max="9481" width="0.42578125" style="242" customWidth="1"/>
    <col min="9482" max="9482" width="12.5703125" style="242" customWidth="1"/>
    <col min="9483" max="9483" width="10.140625" style="242" bestFit="1" customWidth="1"/>
    <col min="9484" max="9485" width="10.140625" style="242" customWidth="1"/>
    <col min="9486" max="9486" width="12" style="242" customWidth="1"/>
    <col min="9487" max="9487" width="15.140625" style="242" customWidth="1"/>
    <col min="9488" max="9488" width="0.42578125" style="242" customWidth="1"/>
    <col min="9489" max="9489" width="12.5703125" style="242" customWidth="1"/>
    <col min="9490" max="9490" width="10.140625" style="242" bestFit="1" customWidth="1"/>
    <col min="9491" max="9492" width="10.140625" style="242" customWidth="1"/>
    <col min="9493" max="9493" width="12" style="242" customWidth="1"/>
    <col min="9494" max="9494" width="15.140625" style="242" customWidth="1"/>
    <col min="9495" max="9495" width="13.7109375" style="242" customWidth="1"/>
    <col min="9496" max="9496" width="11.42578125" style="242" bestFit="1" customWidth="1"/>
    <col min="9497" max="9721" width="0.7109375" style="242"/>
    <col min="9722" max="9722" width="10.7109375" style="242" customWidth="1"/>
    <col min="9723" max="9723" width="30.42578125" style="242" customWidth="1"/>
    <col min="9724" max="9724" width="0.42578125" style="242" customWidth="1"/>
    <col min="9725" max="9725" width="12.5703125" style="242" customWidth="1"/>
    <col min="9726" max="9726" width="10.140625" style="242" bestFit="1" customWidth="1"/>
    <col min="9727" max="9728" width="10.140625" style="242" customWidth="1"/>
    <col min="9729" max="9730" width="12" style="242" customWidth="1"/>
    <col min="9731" max="9731" width="0.42578125" style="242" customWidth="1"/>
    <col min="9732" max="9732" width="12.5703125" style="242" customWidth="1"/>
    <col min="9733" max="9733" width="10.140625" style="242" bestFit="1" customWidth="1"/>
    <col min="9734" max="9735" width="10.140625" style="242" customWidth="1"/>
    <col min="9736" max="9736" width="12" style="242" customWidth="1"/>
    <col min="9737" max="9737" width="0.42578125" style="242" customWidth="1"/>
    <col min="9738" max="9738" width="12.5703125" style="242" customWidth="1"/>
    <col min="9739" max="9739" width="10.140625" style="242" bestFit="1" customWidth="1"/>
    <col min="9740" max="9741" width="10.140625" style="242" customWidth="1"/>
    <col min="9742" max="9742" width="12" style="242" customWidth="1"/>
    <col min="9743" max="9743" width="15.140625" style="242" customWidth="1"/>
    <col min="9744" max="9744" width="0.42578125" style="242" customWidth="1"/>
    <col min="9745" max="9745" width="12.5703125" style="242" customWidth="1"/>
    <col min="9746" max="9746" width="10.140625" style="242" bestFit="1" customWidth="1"/>
    <col min="9747" max="9748" width="10.140625" style="242" customWidth="1"/>
    <col min="9749" max="9749" width="12" style="242" customWidth="1"/>
    <col min="9750" max="9750" width="15.140625" style="242" customWidth="1"/>
    <col min="9751" max="9751" width="13.7109375" style="242" customWidth="1"/>
    <col min="9752" max="9752" width="11.42578125" style="242" bestFit="1" customWidth="1"/>
    <col min="9753" max="9977" width="0.7109375" style="242"/>
    <col min="9978" max="9978" width="10.7109375" style="242" customWidth="1"/>
    <col min="9979" max="9979" width="30.42578125" style="242" customWidth="1"/>
    <col min="9980" max="9980" width="0.42578125" style="242" customWidth="1"/>
    <col min="9981" max="9981" width="12.5703125" style="242" customWidth="1"/>
    <col min="9982" max="9982" width="10.140625" style="242" bestFit="1" customWidth="1"/>
    <col min="9983" max="9984" width="10.140625" style="242" customWidth="1"/>
    <col min="9985" max="9986" width="12" style="242" customWidth="1"/>
    <col min="9987" max="9987" width="0.42578125" style="242" customWidth="1"/>
    <col min="9988" max="9988" width="12.5703125" style="242" customWidth="1"/>
    <col min="9989" max="9989" width="10.140625" style="242" bestFit="1" customWidth="1"/>
    <col min="9990" max="9991" width="10.140625" style="242" customWidth="1"/>
    <col min="9992" max="9992" width="12" style="242" customWidth="1"/>
    <col min="9993" max="9993" width="0.42578125" style="242" customWidth="1"/>
    <col min="9994" max="9994" width="12.5703125" style="242" customWidth="1"/>
    <col min="9995" max="9995" width="10.140625" style="242" bestFit="1" customWidth="1"/>
    <col min="9996" max="9997" width="10.140625" style="242" customWidth="1"/>
    <col min="9998" max="9998" width="12" style="242" customWidth="1"/>
    <col min="9999" max="9999" width="15.140625" style="242" customWidth="1"/>
    <col min="10000" max="10000" width="0.42578125" style="242" customWidth="1"/>
    <col min="10001" max="10001" width="12.5703125" style="242" customWidth="1"/>
    <col min="10002" max="10002" width="10.140625" style="242" bestFit="1" customWidth="1"/>
    <col min="10003" max="10004" width="10.140625" style="242" customWidth="1"/>
    <col min="10005" max="10005" width="12" style="242" customWidth="1"/>
    <col min="10006" max="10006" width="15.140625" style="242" customWidth="1"/>
    <col min="10007" max="10007" width="13.7109375" style="242" customWidth="1"/>
    <col min="10008" max="10008" width="11.42578125" style="242" bestFit="1" customWidth="1"/>
    <col min="10009" max="10233" width="0.7109375" style="242"/>
    <col min="10234" max="10234" width="10.7109375" style="242" customWidth="1"/>
    <col min="10235" max="10235" width="30.42578125" style="242" customWidth="1"/>
    <col min="10236" max="10236" width="0.42578125" style="242" customWidth="1"/>
    <col min="10237" max="10237" width="12.5703125" style="242" customWidth="1"/>
    <col min="10238" max="10238" width="10.140625" style="242" bestFit="1" customWidth="1"/>
    <col min="10239" max="10240" width="10.140625" style="242" customWidth="1"/>
    <col min="10241" max="10242" width="12" style="242" customWidth="1"/>
    <col min="10243" max="10243" width="0.42578125" style="242" customWidth="1"/>
    <col min="10244" max="10244" width="12.5703125" style="242" customWidth="1"/>
    <col min="10245" max="10245" width="10.140625" style="242" bestFit="1" customWidth="1"/>
    <col min="10246" max="10247" width="10.140625" style="242" customWidth="1"/>
    <col min="10248" max="10248" width="12" style="242" customWidth="1"/>
    <col min="10249" max="10249" width="0.42578125" style="242" customWidth="1"/>
    <col min="10250" max="10250" width="12.5703125" style="242" customWidth="1"/>
    <col min="10251" max="10251" width="10.140625" style="242" bestFit="1" customWidth="1"/>
    <col min="10252" max="10253" width="10.140625" style="242" customWidth="1"/>
    <col min="10254" max="10254" width="12" style="242" customWidth="1"/>
    <col min="10255" max="10255" width="15.140625" style="242" customWidth="1"/>
    <col min="10256" max="10256" width="0.42578125" style="242" customWidth="1"/>
    <col min="10257" max="10257" width="12.5703125" style="242" customWidth="1"/>
    <col min="10258" max="10258" width="10.140625" style="242" bestFit="1" customWidth="1"/>
    <col min="10259" max="10260" width="10.140625" style="242" customWidth="1"/>
    <col min="10261" max="10261" width="12" style="242" customWidth="1"/>
    <col min="10262" max="10262" width="15.140625" style="242" customWidth="1"/>
    <col min="10263" max="10263" width="13.7109375" style="242" customWidth="1"/>
    <col min="10264" max="10264" width="11.42578125" style="242" bestFit="1" customWidth="1"/>
    <col min="10265" max="10489" width="0.7109375" style="242"/>
    <col min="10490" max="10490" width="10.7109375" style="242" customWidth="1"/>
    <col min="10491" max="10491" width="30.42578125" style="242" customWidth="1"/>
    <col min="10492" max="10492" width="0.42578125" style="242" customWidth="1"/>
    <col min="10493" max="10493" width="12.5703125" style="242" customWidth="1"/>
    <col min="10494" max="10494" width="10.140625" style="242" bestFit="1" customWidth="1"/>
    <col min="10495" max="10496" width="10.140625" style="242" customWidth="1"/>
    <col min="10497" max="10498" width="12" style="242" customWidth="1"/>
    <col min="10499" max="10499" width="0.42578125" style="242" customWidth="1"/>
    <col min="10500" max="10500" width="12.5703125" style="242" customWidth="1"/>
    <col min="10501" max="10501" width="10.140625" style="242" bestFit="1" customWidth="1"/>
    <col min="10502" max="10503" width="10.140625" style="242" customWidth="1"/>
    <col min="10504" max="10504" width="12" style="242" customWidth="1"/>
    <col min="10505" max="10505" width="0.42578125" style="242" customWidth="1"/>
    <col min="10506" max="10506" width="12.5703125" style="242" customWidth="1"/>
    <col min="10507" max="10507" width="10.140625" style="242" bestFit="1" customWidth="1"/>
    <col min="10508" max="10509" width="10.140625" style="242" customWidth="1"/>
    <col min="10510" max="10510" width="12" style="242" customWidth="1"/>
    <col min="10511" max="10511" width="15.140625" style="242" customWidth="1"/>
    <col min="10512" max="10512" width="0.42578125" style="242" customWidth="1"/>
    <col min="10513" max="10513" width="12.5703125" style="242" customWidth="1"/>
    <col min="10514" max="10514" width="10.140625" style="242" bestFit="1" customWidth="1"/>
    <col min="10515" max="10516" width="10.140625" style="242" customWidth="1"/>
    <col min="10517" max="10517" width="12" style="242" customWidth="1"/>
    <col min="10518" max="10518" width="15.140625" style="242" customWidth="1"/>
    <col min="10519" max="10519" width="13.7109375" style="242" customWidth="1"/>
    <col min="10520" max="10520" width="11.42578125" style="242" bestFit="1" customWidth="1"/>
    <col min="10521" max="10745" width="0.7109375" style="242"/>
    <col min="10746" max="10746" width="10.7109375" style="242" customWidth="1"/>
    <col min="10747" max="10747" width="30.42578125" style="242" customWidth="1"/>
    <col min="10748" max="10748" width="0.42578125" style="242" customWidth="1"/>
    <col min="10749" max="10749" width="12.5703125" style="242" customWidth="1"/>
    <col min="10750" max="10750" width="10.140625" style="242" bestFit="1" customWidth="1"/>
    <col min="10751" max="10752" width="10.140625" style="242" customWidth="1"/>
    <col min="10753" max="10754" width="12" style="242" customWidth="1"/>
    <col min="10755" max="10755" width="0.42578125" style="242" customWidth="1"/>
    <col min="10756" max="10756" width="12.5703125" style="242" customWidth="1"/>
    <col min="10757" max="10757" width="10.140625" style="242" bestFit="1" customWidth="1"/>
    <col min="10758" max="10759" width="10.140625" style="242" customWidth="1"/>
    <col min="10760" max="10760" width="12" style="242" customWidth="1"/>
    <col min="10761" max="10761" width="0.42578125" style="242" customWidth="1"/>
    <col min="10762" max="10762" width="12.5703125" style="242" customWidth="1"/>
    <col min="10763" max="10763" width="10.140625" style="242" bestFit="1" customWidth="1"/>
    <col min="10764" max="10765" width="10.140625" style="242" customWidth="1"/>
    <col min="10766" max="10766" width="12" style="242" customWidth="1"/>
    <col min="10767" max="10767" width="15.140625" style="242" customWidth="1"/>
    <col min="10768" max="10768" width="0.42578125" style="242" customWidth="1"/>
    <col min="10769" max="10769" width="12.5703125" style="242" customWidth="1"/>
    <col min="10770" max="10770" width="10.140625" style="242" bestFit="1" customWidth="1"/>
    <col min="10771" max="10772" width="10.140625" style="242" customWidth="1"/>
    <col min="10773" max="10773" width="12" style="242" customWidth="1"/>
    <col min="10774" max="10774" width="15.140625" style="242" customWidth="1"/>
    <col min="10775" max="10775" width="13.7109375" style="242" customWidth="1"/>
    <col min="10776" max="10776" width="11.42578125" style="242" bestFit="1" customWidth="1"/>
    <col min="10777" max="11001" width="0.7109375" style="242"/>
    <col min="11002" max="11002" width="10.7109375" style="242" customWidth="1"/>
    <col min="11003" max="11003" width="30.42578125" style="242" customWidth="1"/>
    <col min="11004" max="11004" width="0.42578125" style="242" customWidth="1"/>
    <col min="11005" max="11005" width="12.5703125" style="242" customWidth="1"/>
    <col min="11006" max="11006" width="10.140625" style="242" bestFit="1" customWidth="1"/>
    <col min="11007" max="11008" width="10.140625" style="242" customWidth="1"/>
    <col min="11009" max="11010" width="12" style="242" customWidth="1"/>
    <col min="11011" max="11011" width="0.42578125" style="242" customWidth="1"/>
    <col min="11012" max="11012" width="12.5703125" style="242" customWidth="1"/>
    <col min="11013" max="11013" width="10.140625" style="242" bestFit="1" customWidth="1"/>
    <col min="11014" max="11015" width="10.140625" style="242" customWidth="1"/>
    <col min="11016" max="11016" width="12" style="242" customWidth="1"/>
    <col min="11017" max="11017" width="0.42578125" style="242" customWidth="1"/>
    <col min="11018" max="11018" width="12.5703125" style="242" customWidth="1"/>
    <col min="11019" max="11019" width="10.140625" style="242" bestFit="1" customWidth="1"/>
    <col min="11020" max="11021" width="10.140625" style="242" customWidth="1"/>
    <col min="11022" max="11022" width="12" style="242" customWidth="1"/>
    <col min="11023" max="11023" width="15.140625" style="242" customWidth="1"/>
    <col min="11024" max="11024" width="0.42578125" style="242" customWidth="1"/>
    <col min="11025" max="11025" width="12.5703125" style="242" customWidth="1"/>
    <col min="11026" max="11026" width="10.140625" style="242" bestFit="1" customWidth="1"/>
    <col min="11027" max="11028" width="10.140625" style="242" customWidth="1"/>
    <col min="11029" max="11029" width="12" style="242" customWidth="1"/>
    <col min="11030" max="11030" width="15.140625" style="242" customWidth="1"/>
    <col min="11031" max="11031" width="13.7109375" style="242" customWidth="1"/>
    <col min="11032" max="11032" width="11.42578125" style="242" bestFit="1" customWidth="1"/>
    <col min="11033" max="11257" width="0.7109375" style="242"/>
    <col min="11258" max="11258" width="10.7109375" style="242" customWidth="1"/>
    <col min="11259" max="11259" width="30.42578125" style="242" customWidth="1"/>
    <col min="11260" max="11260" width="0.42578125" style="242" customWidth="1"/>
    <col min="11261" max="11261" width="12.5703125" style="242" customWidth="1"/>
    <col min="11262" max="11262" width="10.140625" style="242" bestFit="1" customWidth="1"/>
    <col min="11263" max="11264" width="10.140625" style="242" customWidth="1"/>
    <col min="11265" max="11266" width="12" style="242" customWidth="1"/>
    <col min="11267" max="11267" width="0.42578125" style="242" customWidth="1"/>
    <col min="11268" max="11268" width="12.5703125" style="242" customWidth="1"/>
    <col min="11269" max="11269" width="10.140625" style="242" bestFit="1" customWidth="1"/>
    <col min="11270" max="11271" width="10.140625" style="242" customWidth="1"/>
    <col min="11272" max="11272" width="12" style="242" customWidth="1"/>
    <col min="11273" max="11273" width="0.42578125" style="242" customWidth="1"/>
    <col min="11274" max="11274" width="12.5703125" style="242" customWidth="1"/>
    <col min="11275" max="11275" width="10.140625" style="242" bestFit="1" customWidth="1"/>
    <col min="11276" max="11277" width="10.140625" style="242" customWidth="1"/>
    <col min="11278" max="11278" width="12" style="242" customWidth="1"/>
    <col min="11279" max="11279" width="15.140625" style="242" customWidth="1"/>
    <col min="11280" max="11280" width="0.42578125" style="242" customWidth="1"/>
    <col min="11281" max="11281" width="12.5703125" style="242" customWidth="1"/>
    <col min="11282" max="11282" width="10.140625" style="242" bestFit="1" customWidth="1"/>
    <col min="11283" max="11284" width="10.140625" style="242" customWidth="1"/>
    <col min="11285" max="11285" width="12" style="242" customWidth="1"/>
    <col min="11286" max="11286" width="15.140625" style="242" customWidth="1"/>
    <col min="11287" max="11287" width="13.7109375" style="242" customWidth="1"/>
    <col min="11288" max="11288" width="11.42578125" style="242" bestFit="1" customWidth="1"/>
    <col min="11289" max="11513" width="0.7109375" style="242"/>
    <col min="11514" max="11514" width="10.7109375" style="242" customWidth="1"/>
    <col min="11515" max="11515" width="30.42578125" style="242" customWidth="1"/>
    <col min="11516" max="11516" width="0.42578125" style="242" customWidth="1"/>
    <col min="11517" max="11517" width="12.5703125" style="242" customWidth="1"/>
    <col min="11518" max="11518" width="10.140625" style="242" bestFit="1" customWidth="1"/>
    <col min="11519" max="11520" width="10.140625" style="242" customWidth="1"/>
    <col min="11521" max="11522" width="12" style="242" customWidth="1"/>
    <col min="11523" max="11523" width="0.42578125" style="242" customWidth="1"/>
    <col min="11524" max="11524" width="12.5703125" style="242" customWidth="1"/>
    <col min="11525" max="11525" width="10.140625" style="242" bestFit="1" customWidth="1"/>
    <col min="11526" max="11527" width="10.140625" style="242" customWidth="1"/>
    <col min="11528" max="11528" width="12" style="242" customWidth="1"/>
    <col min="11529" max="11529" width="0.42578125" style="242" customWidth="1"/>
    <col min="11530" max="11530" width="12.5703125" style="242" customWidth="1"/>
    <col min="11531" max="11531" width="10.140625" style="242" bestFit="1" customWidth="1"/>
    <col min="11532" max="11533" width="10.140625" style="242" customWidth="1"/>
    <col min="11534" max="11534" width="12" style="242" customWidth="1"/>
    <col min="11535" max="11535" width="15.140625" style="242" customWidth="1"/>
    <col min="11536" max="11536" width="0.42578125" style="242" customWidth="1"/>
    <col min="11537" max="11537" width="12.5703125" style="242" customWidth="1"/>
    <col min="11538" max="11538" width="10.140625" style="242" bestFit="1" customWidth="1"/>
    <col min="11539" max="11540" width="10.140625" style="242" customWidth="1"/>
    <col min="11541" max="11541" width="12" style="242" customWidth="1"/>
    <col min="11542" max="11542" width="15.140625" style="242" customWidth="1"/>
    <col min="11543" max="11543" width="13.7109375" style="242" customWidth="1"/>
    <col min="11544" max="11544" width="11.42578125" style="242" bestFit="1" customWidth="1"/>
    <col min="11545" max="11769" width="0.7109375" style="242"/>
    <col min="11770" max="11770" width="10.7109375" style="242" customWidth="1"/>
    <col min="11771" max="11771" width="30.42578125" style="242" customWidth="1"/>
    <col min="11772" max="11772" width="0.42578125" style="242" customWidth="1"/>
    <col min="11773" max="11773" width="12.5703125" style="242" customWidth="1"/>
    <col min="11774" max="11774" width="10.140625" style="242" bestFit="1" customWidth="1"/>
    <col min="11775" max="11776" width="10.140625" style="242" customWidth="1"/>
    <col min="11777" max="11778" width="12" style="242" customWidth="1"/>
    <col min="11779" max="11779" width="0.42578125" style="242" customWidth="1"/>
    <col min="11780" max="11780" width="12.5703125" style="242" customWidth="1"/>
    <col min="11781" max="11781" width="10.140625" style="242" bestFit="1" customWidth="1"/>
    <col min="11782" max="11783" width="10.140625" style="242" customWidth="1"/>
    <col min="11784" max="11784" width="12" style="242" customWidth="1"/>
    <col min="11785" max="11785" width="0.42578125" style="242" customWidth="1"/>
    <col min="11786" max="11786" width="12.5703125" style="242" customWidth="1"/>
    <col min="11787" max="11787" width="10.140625" style="242" bestFit="1" customWidth="1"/>
    <col min="11788" max="11789" width="10.140625" style="242" customWidth="1"/>
    <col min="11790" max="11790" width="12" style="242" customWidth="1"/>
    <col min="11791" max="11791" width="15.140625" style="242" customWidth="1"/>
    <col min="11792" max="11792" width="0.42578125" style="242" customWidth="1"/>
    <col min="11793" max="11793" width="12.5703125" style="242" customWidth="1"/>
    <col min="11794" max="11794" width="10.140625" style="242" bestFit="1" customWidth="1"/>
    <col min="11795" max="11796" width="10.140625" style="242" customWidth="1"/>
    <col min="11797" max="11797" width="12" style="242" customWidth="1"/>
    <col min="11798" max="11798" width="15.140625" style="242" customWidth="1"/>
    <col min="11799" max="11799" width="13.7109375" style="242" customWidth="1"/>
    <col min="11800" max="11800" width="11.42578125" style="242" bestFit="1" customWidth="1"/>
    <col min="11801" max="12025" width="0.7109375" style="242"/>
    <col min="12026" max="12026" width="10.7109375" style="242" customWidth="1"/>
    <col min="12027" max="12027" width="30.42578125" style="242" customWidth="1"/>
    <col min="12028" max="12028" width="0.42578125" style="242" customWidth="1"/>
    <col min="12029" max="12029" width="12.5703125" style="242" customWidth="1"/>
    <col min="12030" max="12030" width="10.140625" style="242" bestFit="1" customWidth="1"/>
    <col min="12031" max="12032" width="10.140625" style="242" customWidth="1"/>
    <col min="12033" max="12034" width="12" style="242" customWidth="1"/>
    <col min="12035" max="12035" width="0.42578125" style="242" customWidth="1"/>
    <col min="12036" max="12036" width="12.5703125" style="242" customWidth="1"/>
    <col min="12037" max="12037" width="10.140625" style="242" bestFit="1" customWidth="1"/>
    <col min="12038" max="12039" width="10.140625" style="242" customWidth="1"/>
    <col min="12040" max="12040" width="12" style="242" customWidth="1"/>
    <col min="12041" max="12041" width="0.42578125" style="242" customWidth="1"/>
    <col min="12042" max="12042" width="12.5703125" style="242" customWidth="1"/>
    <col min="12043" max="12043" width="10.140625" style="242" bestFit="1" customWidth="1"/>
    <col min="12044" max="12045" width="10.140625" style="242" customWidth="1"/>
    <col min="12046" max="12046" width="12" style="242" customWidth="1"/>
    <col min="12047" max="12047" width="15.140625" style="242" customWidth="1"/>
    <col min="12048" max="12048" width="0.42578125" style="242" customWidth="1"/>
    <col min="12049" max="12049" width="12.5703125" style="242" customWidth="1"/>
    <col min="12050" max="12050" width="10.140625" style="242" bestFit="1" customWidth="1"/>
    <col min="12051" max="12052" width="10.140625" style="242" customWidth="1"/>
    <col min="12053" max="12053" width="12" style="242" customWidth="1"/>
    <col min="12054" max="12054" width="15.140625" style="242" customWidth="1"/>
    <col min="12055" max="12055" width="13.7109375" style="242" customWidth="1"/>
    <col min="12056" max="12056" width="11.42578125" style="242" bestFit="1" customWidth="1"/>
    <col min="12057" max="12281" width="0.7109375" style="242"/>
    <col min="12282" max="12282" width="10.7109375" style="242" customWidth="1"/>
    <col min="12283" max="12283" width="30.42578125" style="242" customWidth="1"/>
    <col min="12284" max="12284" width="0.42578125" style="242" customWidth="1"/>
    <col min="12285" max="12285" width="12.5703125" style="242" customWidth="1"/>
    <col min="12286" max="12286" width="10.140625" style="242" bestFit="1" customWidth="1"/>
    <col min="12287" max="12288" width="10.140625" style="242" customWidth="1"/>
    <col min="12289" max="12290" width="12" style="242" customWidth="1"/>
    <col min="12291" max="12291" width="0.42578125" style="242" customWidth="1"/>
    <col min="12292" max="12292" width="12.5703125" style="242" customWidth="1"/>
    <col min="12293" max="12293" width="10.140625" style="242" bestFit="1" customWidth="1"/>
    <col min="12294" max="12295" width="10.140625" style="242" customWidth="1"/>
    <col min="12296" max="12296" width="12" style="242" customWidth="1"/>
    <col min="12297" max="12297" width="0.42578125" style="242" customWidth="1"/>
    <col min="12298" max="12298" width="12.5703125" style="242" customWidth="1"/>
    <col min="12299" max="12299" width="10.140625" style="242" bestFit="1" customWidth="1"/>
    <col min="12300" max="12301" width="10.140625" style="242" customWidth="1"/>
    <col min="12302" max="12302" width="12" style="242" customWidth="1"/>
    <col min="12303" max="12303" width="15.140625" style="242" customWidth="1"/>
    <col min="12304" max="12304" width="0.42578125" style="242" customWidth="1"/>
    <col min="12305" max="12305" width="12.5703125" style="242" customWidth="1"/>
    <col min="12306" max="12306" width="10.140625" style="242" bestFit="1" customWidth="1"/>
    <col min="12307" max="12308" width="10.140625" style="242" customWidth="1"/>
    <col min="12309" max="12309" width="12" style="242" customWidth="1"/>
    <col min="12310" max="12310" width="15.140625" style="242" customWidth="1"/>
    <col min="12311" max="12311" width="13.7109375" style="242" customWidth="1"/>
    <col min="12312" max="12312" width="11.42578125" style="242" bestFit="1" customWidth="1"/>
    <col min="12313" max="12537" width="0.7109375" style="242"/>
    <col min="12538" max="12538" width="10.7109375" style="242" customWidth="1"/>
    <col min="12539" max="12539" width="30.42578125" style="242" customWidth="1"/>
    <col min="12540" max="12540" width="0.42578125" style="242" customWidth="1"/>
    <col min="12541" max="12541" width="12.5703125" style="242" customWidth="1"/>
    <col min="12542" max="12542" width="10.140625" style="242" bestFit="1" customWidth="1"/>
    <col min="12543" max="12544" width="10.140625" style="242" customWidth="1"/>
    <col min="12545" max="12546" width="12" style="242" customWidth="1"/>
    <col min="12547" max="12547" width="0.42578125" style="242" customWidth="1"/>
    <col min="12548" max="12548" width="12.5703125" style="242" customWidth="1"/>
    <col min="12549" max="12549" width="10.140625" style="242" bestFit="1" customWidth="1"/>
    <col min="12550" max="12551" width="10.140625" style="242" customWidth="1"/>
    <col min="12552" max="12552" width="12" style="242" customWidth="1"/>
    <col min="12553" max="12553" width="0.42578125" style="242" customWidth="1"/>
    <col min="12554" max="12554" width="12.5703125" style="242" customWidth="1"/>
    <col min="12555" max="12555" width="10.140625" style="242" bestFit="1" customWidth="1"/>
    <col min="12556" max="12557" width="10.140625" style="242" customWidth="1"/>
    <col min="12558" max="12558" width="12" style="242" customWidth="1"/>
    <col min="12559" max="12559" width="15.140625" style="242" customWidth="1"/>
    <col min="12560" max="12560" width="0.42578125" style="242" customWidth="1"/>
    <col min="12561" max="12561" width="12.5703125" style="242" customWidth="1"/>
    <col min="12562" max="12562" width="10.140625" style="242" bestFit="1" customWidth="1"/>
    <col min="12563" max="12564" width="10.140625" style="242" customWidth="1"/>
    <col min="12565" max="12565" width="12" style="242" customWidth="1"/>
    <col min="12566" max="12566" width="15.140625" style="242" customWidth="1"/>
    <col min="12567" max="12567" width="13.7109375" style="242" customWidth="1"/>
    <col min="12568" max="12568" width="11.42578125" style="242" bestFit="1" customWidth="1"/>
    <col min="12569" max="12793" width="0.7109375" style="242"/>
    <col min="12794" max="12794" width="10.7109375" style="242" customWidth="1"/>
    <col min="12795" max="12795" width="30.42578125" style="242" customWidth="1"/>
    <col min="12796" max="12796" width="0.42578125" style="242" customWidth="1"/>
    <col min="12797" max="12797" width="12.5703125" style="242" customWidth="1"/>
    <col min="12798" max="12798" width="10.140625" style="242" bestFit="1" customWidth="1"/>
    <col min="12799" max="12800" width="10.140625" style="242" customWidth="1"/>
    <col min="12801" max="12802" width="12" style="242" customWidth="1"/>
    <col min="12803" max="12803" width="0.42578125" style="242" customWidth="1"/>
    <col min="12804" max="12804" width="12.5703125" style="242" customWidth="1"/>
    <col min="12805" max="12805" width="10.140625" style="242" bestFit="1" customWidth="1"/>
    <col min="12806" max="12807" width="10.140625" style="242" customWidth="1"/>
    <col min="12808" max="12808" width="12" style="242" customWidth="1"/>
    <col min="12809" max="12809" width="0.42578125" style="242" customWidth="1"/>
    <col min="12810" max="12810" width="12.5703125" style="242" customWidth="1"/>
    <col min="12811" max="12811" width="10.140625" style="242" bestFit="1" customWidth="1"/>
    <col min="12812" max="12813" width="10.140625" style="242" customWidth="1"/>
    <col min="12814" max="12814" width="12" style="242" customWidth="1"/>
    <col min="12815" max="12815" width="15.140625" style="242" customWidth="1"/>
    <col min="12816" max="12816" width="0.42578125" style="242" customWidth="1"/>
    <col min="12817" max="12817" width="12.5703125" style="242" customWidth="1"/>
    <col min="12818" max="12818" width="10.140625" style="242" bestFit="1" customWidth="1"/>
    <col min="12819" max="12820" width="10.140625" style="242" customWidth="1"/>
    <col min="12821" max="12821" width="12" style="242" customWidth="1"/>
    <col min="12822" max="12822" width="15.140625" style="242" customWidth="1"/>
    <col min="12823" max="12823" width="13.7109375" style="242" customWidth="1"/>
    <col min="12824" max="12824" width="11.42578125" style="242" bestFit="1" customWidth="1"/>
    <col min="12825" max="13049" width="0.7109375" style="242"/>
    <col min="13050" max="13050" width="10.7109375" style="242" customWidth="1"/>
    <col min="13051" max="13051" width="30.42578125" style="242" customWidth="1"/>
    <col min="13052" max="13052" width="0.42578125" style="242" customWidth="1"/>
    <col min="13053" max="13053" width="12.5703125" style="242" customWidth="1"/>
    <col min="13054" max="13054" width="10.140625" style="242" bestFit="1" customWidth="1"/>
    <col min="13055" max="13056" width="10.140625" style="242" customWidth="1"/>
    <col min="13057" max="13058" width="12" style="242" customWidth="1"/>
    <col min="13059" max="13059" width="0.42578125" style="242" customWidth="1"/>
    <col min="13060" max="13060" width="12.5703125" style="242" customWidth="1"/>
    <col min="13061" max="13061" width="10.140625" style="242" bestFit="1" customWidth="1"/>
    <col min="13062" max="13063" width="10.140625" style="242" customWidth="1"/>
    <col min="13064" max="13064" width="12" style="242" customWidth="1"/>
    <col min="13065" max="13065" width="0.42578125" style="242" customWidth="1"/>
    <col min="13066" max="13066" width="12.5703125" style="242" customWidth="1"/>
    <col min="13067" max="13067" width="10.140625" style="242" bestFit="1" customWidth="1"/>
    <col min="13068" max="13069" width="10.140625" style="242" customWidth="1"/>
    <col min="13070" max="13070" width="12" style="242" customWidth="1"/>
    <col min="13071" max="13071" width="15.140625" style="242" customWidth="1"/>
    <col min="13072" max="13072" width="0.42578125" style="242" customWidth="1"/>
    <col min="13073" max="13073" width="12.5703125" style="242" customWidth="1"/>
    <col min="13074" max="13074" width="10.140625" style="242" bestFit="1" customWidth="1"/>
    <col min="13075" max="13076" width="10.140625" style="242" customWidth="1"/>
    <col min="13077" max="13077" width="12" style="242" customWidth="1"/>
    <col min="13078" max="13078" width="15.140625" style="242" customWidth="1"/>
    <col min="13079" max="13079" width="13.7109375" style="242" customWidth="1"/>
    <col min="13080" max="13080" width="11.42578125" style="242" bestFit="1" customWidth="1"/>
    <col min="13081" max="13305" width="0.7109375" style="242"/>
    <col min="13306" max="13306" width="10.7109375" style="242" customWidth="1"/>
    <col min="13307" max="13307" width="30.42578125" style="242" customWidth="1"/>
    <col min="13308" max="13308" width="0.42578125" style="242" customWidth="1"/>
    <col min="13309" max="13309" width="12.5703125" style="242" customWidth="1"/>
    <col min="13310" max="13310" width="10.140625" style="242" bestFit="1" customWidth="1"/>
    <col min="13311" max="13312" width="10.140625" style="242" customWidth="1"/>
    <col min="13313" max="13314" width="12" style="242" customWidth="1"/>
    <col min="13315" max="13315" width="0.42578125" style="242" customWidth="1"/>
    <col min="13316" max="13316" width="12.5703125" style="242" customWidth="1"/>
    <col min="13317" max="13317" width="10.140625" style="242" bestFit="1" customWidth="1"/>
    <col min="13318" max="13319" width="10.140625" style="242" customWidth="1"/>
    <col min="13320" max="13320" width="12" style="242" customWidth="1"/>
    <col min="13321" max="13321" width="0.42578125" style="242" customWidth="1"/>
    <col min="13322" max="13322" width="12.5703125" style="242" customWidth="1"/>
    <col min="13323" max="13323" width="10.140625" style="242" bestFit="1" customWidth="1"/>
    <col min="13324" max="13325" width="10.140625" style="242" customWidth="1"/>
    <col min="13326" max="13326" width="12" style="242" customWidth="1"/>
    <col min="13327" max="13327" width="15.140625" style="242" customWidth="1"/>
    <col min="13328" max="13328" width="0.42578125" style="242" customWidth="1"/>
    <col min="13329" max="13329" width="12.5703125" style="242" customWidth="1"/>
    <col min="13330" max="13330" width="10.140625" style="242" bestFit="1" customWidth="1"/>
    <col min="13331" max="13332" width="10.140625" style="242" customWidth="1"/>
    <col min="13333" max="13333" width="12" style="242" customWidth="1"/>
    <col min="13334" max="13334" width="15.140625" style="242" customWidth="1"/>
    <col min="13335" max="13335" width="13.7109375" style="242" customWidth="1"/>
    <col min="13336" max="13336" width="11.42578125" style="242" bestFit="1" customWidth="1"/>
    <col min="13337" max="13561" width="0.7109375" style="242"/>
    <col min="13562" max="13562" width="10.7109375" style="242" customWidth="1"/>
    <col min="13563" max="13563" width="30.42578125" style="242" customWidth="1"/>
    <col min="13564" max="13564" width="0.42578125" style="242" customWidth="1"/>
    <col min="13565" max="13565" width="12.5703125" style="242" customWidth="1"/>
    <col min="13566" max="13566" width="10.140625" style="242" bestFit="1" customWidth="1"/>
    <col min="13567" max="13568" width="10.140625" style="242" customWidth="1"/>
    <col min="13569" max="13570" width="12" style="242" customWidth="1"/>
    <col min="13571" max="13571" width="0.42578125" style="242" customWidth="1"/>
    <col min="13572" max="13572" width="12.5703125" style="242" customWidth="1"/>
    <col min="13573" max="13573" width="10.140625" style="242" bestFit="1" customWidth="1"/>
    <col min="13574" max="13575" width="10.140625" style="242" customWidth="1"/>
    <col min="13576" max="13576" width="12" style="242" customWidth="1"/>
    <col min="13577" max="13577" width="0.42578125" style="242" customWidth="1"/>
    <col min="13578" max="13578" width="12.5703125" style="242" customWidth="1"/>
    <col min="13579" max="13579" width="10.140625" style="242" bestFit="1" customWidth="1"/>
    <col min="13580" max="13581" width="10.140625" style="242" customWidth="1"/>
    <col min="13582" max="13582" width="12" style="242" customWidth="1"/>
    <col min="13583" max="13583" width="15.140625" style="242" customWidth="1"/>
    <col min="13584" max="13584" width="0.42578125" style="242" customWidth="1"/>
    <col min="13585" max="13585" width="12.5703125" style="242" customWidth="1"/>
    <col min="13586" max="13586" width="10.140625" style="242" bestFit="1" customWidth="1"/>
    <col min="13587" max="13588" width="10.140625" style="242" customWidth="1"/>
    <col min="13589" max="13589" width="12" style="242" customWidth="1"/>
    <col min="13590" max="13590" width="15.140625" style="242" customWidth="1"/>
    <col min="13591" max="13591" width="13.7109375" style="242" customWidth="1"/>
    <col min="13592" max="13592" width="11.42578125" style="242" bestFit="1" customWidth="1"/>
    <col min="13593" max="13817" width="0.7109375" style="242"/>
    <col min="13818" max="13818" width="10.7109375" style="242" customWidth="1"/>
    <col min="13819" max="13819" width="30.42578125" style="242" customWidth="1"/>
    <col min="13820" max="13820" width="0.42578125" style="242" customWidth="1"/>
    <col min="13821" max="13821" width="12.5703125" style="242" customWidth="1"/>
    <col min="13822" max="13822" width="10.140625" style="242" bestFit="1" customWidth="1"/>
    <col min="13823" max="13824" width="10.140625" style="242" customWidth="1"/>
    <col min="13825" max="13826" width="12" style="242" customWidth="1"/>
    <col min="13827" max="13827" width="0.42578125" style="242" customWidth="1"/>
    <col min="13828" max="13828" width="12.5703125" style="242" customWidth="1"/>
    <col min="13829" max="13829" width="10.140625" style="242" bestFit="1" customWidth="1"/>
    <col min="13830" max="13831" width="10.140625" style="242" customWidth="1"/>
    <col min="13832" max="13832" width="12" style="242" customWidth="1"/>
    <col min="13833" max="13833" width="0.42578125" style="242" customWidth="1"/>
    <col min="13834" max="13834" width="12.5703125" style="242" customWidth="1"/>
    <col min="13835" max="13835" width="10.140625" style="242" bestFit="1" customWidth="1"/>
    <col min="13836" max="13837" width="10.140625" style="242" customWidth="1"/>
    <col min="13838" max="13838" width="12" style="242" customWidth="1"/>
    <col min="13839" max="13839" width="15.140625" style="242" customWidth="1"/>
    <col min="13840" max="13840" width="0.42578125" style="242" customWidth="1"/>
    <col min="13841" max="13841" width="12.5703125" style="242" customWidth="1"/>
    <col min="13842" max="13842" width="10.140625" style="242" bestFit="1" customWidth="1"/>
    <col min="13843" max="13844" width="10.140625" style="242" customWidth="1"/>
    <col min="13845" max="13845" width="12" style="242" customWidth="1"/>
    <col min="13846" max="13846" width="15.140625" style="242" customWidth="1"/>
    <col min="13847" max="13847" width="13.7109375" style="242" customWidth="1"/>
    <col min="13848" max="13848" width="11.42578125" style="242" bestFit="1" customWidth="1"/>
    <col min="13849" max="14073" width="0.7109375" style="242"/>
    <col min="14074" max="14074" width="10.7109375" style="242" customWidth="1"/>
    <col min="14075" max="14075" width="30.42578125" style="242" customWidth="1"/>
    <col min="14076" max="14076" width="0.42578125" style="242" customWidth="1"/>
    <col min="14077" max="14077" width="12.5703125" style="242" customWidth="1"/>
    <col min="14078" max="14078" width="10.140625" style="242" bestFit="1" customWidth="1"/>
    <col min="14079" max="14080" width="10.140625" style="242" customWidth="1"/>
    <col min="14081" max="14082" width="12" style="242" customWidth="1"/>
    <col min="14083" max="14083" width="0.42578125" style="242" customWidth="1"/>
    <col min="14084" max="14084" width="12.5703125" style="242" customWidth="1"/>
    <col min="14085" max="14085" width="10.140625" style="242" bestFit="1" customWidth="1"/>
    <col min="14086" max="14087" width="10.140625" style="242" customWidth="1"/>
    <col min="14088" max="14088" width="12" style="242" customWidth="1"/>
    <col min="14089" max="14089" width="0.42578125" style="242" customWidth="1"/>
    <col min="14090" max="14090" width="12.5703125" style="242" customWidth="1"/>
    <col min="14091" max="14091" width="10.140625" style="242" bestFit="1" customWidth="1"/>
    <col min="14092" max="14093" width="10.140625" style="242" customWidth="1"/>
    <col min="14094" max="14094" width="12" style="242" customWidth="1"/>
    <col min="14095" max="14095" width="15.140625" style="242" customWidth="1"/>
    <col min="14096" max="14096" width="0.42578125" style="242" customWidth="1"/>
    <col min="14097" max="14097" width="12.5703125" style="242" customWidth="1"/>
    <col min="14098" max="14098" width="10.140625" style="242" bestFit="1" customWidth="1"/>
    <col min="14099" max="14100" width="10.140625" style="242" customWidth="1"/>
    <col min="14101" max="14101" width="12" style="242" customWidth="1"/>
    <col min="14102" max="14102" width="15.140625" style="242" customWidth="1"/>
    <col min="14103" max="14103" width="13.7109375" style="242" customWidth="1"/>
    <col min="14104" max="14104" width="11.42578125" style="242" bestFit="1" customWidth="1"/>
    <col min="14105" max="14329" width="0.7109375" style="242"/>
    <col min="14330" max="14330" width="10.7109375" style="242" customWidth="1"/>
    <col min="14331" max="14331" width="30.42578125" style="242" customWidth="1"/>
    <col min="14332" max="14332" width="0.42578125" style="242" customWidth="1"/>
    <col min="14333" max="14333" width="12.5703125" style="242" customWidth="1"/>
    <col min="14334" max="14334" width="10.140625" style="242" bestFit="1" customWidth="1"/>
    <col min="14335" max="14336" width="10.140625" style="242" customWidth="1"/>
    <col min="14337" max="14338" width="12" style="242" customWidth="1"/>
    <col min="14339" max="14339" width="0.42578125" style="242" customWidth="1"/>
    <col min="14340" max="14340" width="12.5703125" style="242" customWidth="1"/>
    <col min="14341" max="14341" width="10.140625" style="242" bestFit="1" customWidth="1"/>
    <col min="14342" max="14343" width="10.140625" style="242" customWidth="1"/>
    <col min="14344" max="14344" width="12" style="242" customWidth="1"/>
    <col min="14345" max="14345" width="0.42578125" style="242" customWidth="1"/>
    <col min="14346" max="14346" width="12.5703125" style="242" customWidth="1"/>
    <col min="14347" max="14347" width="10.140625" style="242" bestFit="1" customWidth="1"/>
    <col min="14348" max="14349" width="10.140625" style="242" customWidth="1"/>
    <col min="14350" max="14350" width="12" style="242" customWidth="1"/>
    <col min="14351" max="14351" width="15.140625" style="242" customWidth="1"/>
    <col min="14352" max="14352" width="0.42578125" style="242" customWidth="1"/>
    <col min="14353" max="14353" width="12.5703125" style="242" customWidth="1"/>
    <col min="14354" max="14354" width="10.140625" style="242" bestFit="1" customWidth="1"/>
    <col min="14355" max="14356" width="10.140625" style="242" customWidth="1"/>
    <col min="14357" max="14357" width="12" style="242" customWidth="1"/>
    <col min="14358" max="14358" width="15.140625" style="242" customWidth="1"/>
    <col min="14359" max="14359" width="13.7109375" style="242" customWidth="1"/>
    <col min="14360" max="14360" width="11.42578125" style="242" bestFit="1" customWidth="1"/>
    <col min="14361" max="14585" width="0.7109375" style="242"/>
    <col min="14586" max="14586" width="10.7109375" style="242" customWidth="1"/>
    <col min="14587" max="14587" width="30.42578125" style="242" customWidth="1"/>
    <col min="14588" max="14588" width="0.42578125" style="242" customWidth="1"/>
    <col min="14589" max="14589" width="12.5703125" style="242" customWidth="1"/>
    <col min="14590" max="14590" width="10.140625" style="242" bestFit="1" customWidth="1"/>
    <col min="14591" max="14592" width="10.140625" style="242" customWidth="1"/>
    <col min="14593" max="14594" width="12" style="242" customWidth="1"/>
    <col min="14595" max="14595" width="0.42578125" style="242" customWidth="1"/>
    <col min="14596" max="14596" width="12.5703125" style="242" customWidth="1"/>
    <col min="14597" max="14597" width="10.140625" style="242" bestFit="1" customWidth="1"/>
    <col min="14598" max="14599" width="10.140625" style="242" customWidth="1"/>
    <col min="14600" max="14600" width="12" style="242" customWidth="1"/>
    <col min="14601" max="14601" width="0.42578125" style="242" customWidth="1"/>
    <col min="14602" max="14602" width="12.5703125" style="242" customWidth="1"/>
    <col min="14603" max="14603" width="10.140625" style="242" bestFit="1" customWidth="1"/>
    <col min="14604" max="14605" width="10.140625" style="242" customWidth="1"/>
    <col min="14606" max="14606" width="12" style="242" customWidth="1"/>
    <col min="14607" max="14607" width="15.140625" style="242" customWidth="1"/>
    <col min="14608" max="14608" width="0.42578125" style="242" customWidth="1"/>
    <col min="14609" max="14609" width="12.5703125" style="242" customWidth="1"/>
    <col min="14610" max="14610" width="10.140625" style="242" bestFit="1" customWidth="1"/>
    <col min="14611" max="14612" width="10.140625" style="242" customWidth="1"/>
    <col min="14613" max="14613" width="12" style="242" customWidth="1"/>
    <col min="14614" max="14614" width="15.140625" style="242" customWidth="1"/>
    <col min="14615" max="14615" width="13.7109375" style="242" customWidth="1"/>
    <col min="14616" max="14616" width="11.42578125" style="242" bestFit="1" customWidth="1"/>
    <col min="14617" max="14841" width="0.7109375" style="242"/>
    <col min="14842" max="14842" width="10.7109375" style="242" customWidth="1"/>
    <col min="14843" max="14843" width="30.42578125" style="242" customWidth="1"/>
    <col min="14844" max="14844" width="0.42578125" style="242" customWidth="1"/>
    <col min="14845" max="14845" width="12.5703125" style="242" customWidth="1"/>
    <col min="14846" max="14846" width="10.140625" style="242" bestFit="1" customWidth="1"/>
    <col min="14847" max="14848" width="10.140625" style="242" customWidth="1"/>
    <col min="14849" max="14850" width="12" style="242" customWidth="1"/>
    <col min="14851" max="14851" width="0.42578125" style="242" customWidth="1"/>
    <col min="14852" max="14852" width="12.5703125" style="242" customWidth="1"/>
    <col min="14853" max="14853" width="10.140625" style="242" bestFit="1" customWidth="1"/>
    <col min="14854" max="14855" width="10.140625" style="242" customWidth="1"/>
    <col min="14856" max="14856" width="12" style="242" customWidth="1"/>
    <col min="14857" max="14857" width="0.42578125" style="242" customWidth="1"/>
    <col min="14858" max="14858" width="12.5703125" style="242" customWidth="1"/>
    <col min="14859" max="14859" width="10.140625" style="242" bestFit="1" customWidth="1"/>
    <col min="14860" max="14861" width="10.140625" style="242" customWidth="1"/>
    <col min="14862" max="14862" width="12" style="242" customWidth="1"/>
    <col min="14863" max="14863" width="15.140625" style="242" customWidth="1"/>
    <col min="14864" max="14864" width="0.42578125" style="242" customWidth="1"/>
    <col min="14865" max="14865" width="12.5703125" style="242" customWidth="1"/>
    <col min="14866" max="14866" width="10.140625" style="242" bestFit="1" customWidth="1"/>
    <col min="14867" max="14868" width="10.140625" style="242" customWidth="1"/>
    <col min="14869" max="14869" width="12" style="242" customWidth="1"/>
    <col min="14870" max="14870" width="15.140625" style="242" customWidth="1"/>
    <col min="14871" max="14871" width="13.7109375" style="242" customWidth="1"/>
    <col min="14872" max="14872" width="11.42578125" style="242" bestFit="1" customWidth="1"/>
    <col min="14873" max="15097" width="0.7109375" style="242"/>
    <col min="15098" max="15098" width="10.7109375" style="242" customWidth="1"/>
    <col min="15099" max="15099" width="30.42578125" style="242" customWidth="1"/>
    <col min="15100" max="15100" width="0.42578125" style="242" customWidth="1"/>
    <col min="15101" max="15101" width="12.5703125" style="242" customWidth="1"/>
    <col min="15102" max="15102" width="10.140625" style="242" bestFit="1" customWidth="1"/>
    <col min="15103" max="15104" width="10.140625" style="242" customWidth="1"/>
    <col min="15105" max="15106" width="12" style="242" customWidth="1"/>
    <col min="15107" max="15107" width="0.42578125" style="242" customWidth="1"/>
    <col min="15108" max="15108" width="12.5703125" style="242" customWidth="1"/>
    <col min="15109" max="15109" width="10.140625" style="242" bestFit="1" customWidth="1"/>
    <col min="15110" max="15111" width="10.140625" style="242" customWidth="1"/>
    <col min="15112" max="15112" width="12" style="242" customWidth="1"/>
    <col min="15113" max="15113" width="0.42578125" style="242" customWidth="1"/>
    <col min="15114" max="15114" width="12.5703125" style="242" customWidth="1"/>
    <col min="15115" max="15115" width="10.140625" style="242" bestFit="1" customWidth="1"/>
    <col min="15116" max="15117" width="10.140625" style="242" customWidth="1"/>
    <col min="15118" max="15118" width="12" style="242" customWidth="1"/>
    <col min="15119" max="15119" width="15.140625" style="242" customWidth="1"/>
    <col min="15120" max="15120" width="0.42578125" style="242" customWidth="1"/>
    <col min="15121" max="15121" width="12.5703125" style="242" customWidth="1"/>
    <col min="15122" max="15122" width="10.140625" style="242" bestFit="1" customWidth="1"/>
    <col min="15123" max="15124" width="10.140625" style="242" customWidth="1"/>
    <col min="15125" max="15125" width="12" style="242" customWidth="1"/>
    <col min="15126" max="15126" width="15.140625" style="242" customWidth="1"/>
    <col min="15127" max="15127" width="13.7109375" style="242" customWidth="1"/>
    <col min="15128" max="15128" width="11.42578125" style="242" bestFit="1" customWidth="1"/>
    <col min="15129" max="15353" width="0.7109375" style="242"/>
    <col min="15354" max="15354" width="10.7109375" style="242" customWidth="1"/>
    <col min="15355" max="15355" width="30.42578125" style="242" customWidth="1"/>
    <col min="15356" max="15356" width="0.42578125" style="242" customWidth="1"/>
    <col min="15357" max="15357" width="12.5703125" style="242" customWidth="1"/>
    <col min="15358" max="15358" width="10.140625" style="242" bestFit="1" customWidth="1"/>
    <col min="15359" max="15360" width="10.140625" style="242" customWidth="1"/>
    <col min="15361" max="15362" width="12" style="242" customWidth="1"/>
    <col min="15363" max="15363" width="0.42578125" style="242" customWidth="1"/>
    <col min="15364" max="15364" width="12.5703125" style="242" customWidth="1"/>
    <col min="15365" max="15365" width="10.140625" style="242" bestFit="1" customWidth="1"/>
    <col min="15366" max="15367" width="10.140625" style="242" customWidth="1"/>
    <col min="15368" max="15368" width="12" style="242" customWidth="1"/>
    <col min="15369" max="15369" width="0.42578125" style="242" customWidth="1"/>
    <col min="15370" max="15370" width="12.5703125" style="242" customWidth="1"/>
    <col min="15371" max="15371" width="10.140625" style="242" bestFit="1" customWidth="1"/>
    <col min="15372" max="15373" width="10.140625" style="242" customWidth="1"/>
    <col min="15374" max="15374" width="12" style="242" customWidth="1"/>
    <col min="15375" max="15375" width="15.140625" style="242" customWidth="1"/>
    <col min="15376" max="15376" width="0.42578125" style="242" customWidth="1"/>
    <col min="15377" max="15377" width="12.5703125" style="242" customWidth="1"/>
    <col min="15378" max="15378" width="10.140625" style="242" bestFit="1" customWidth="1"/>
    <col min="15379" max="15380" width="10.140625" style="242" customWidth="1"/>
    <col min="15381" max="15381" width="12" style="242" customWidth="1"/>
    <col min="15382" max="15382" width="15.140625" style="242" customWidth="1"/>
    <col min="15383" max="15383" width="13.7109375" style="242" customWidth="1"/>
    <col min="15384" max="15384" width="11.42578125" style="242" bestFit="1" customWidth="1"/>
    <col min="15385" max="15609" width="0.7109375" style="242"/>
    <col min="15610" max="15610" width="10.7109375" style="242" customWidth="1"/>
    <col min="15611" max="15611" width="30.42578125" style="242" customWidth="1"/>
    <col min="15612" max="15612" width="0.42578125" style="242" customWidth="1"/>
    <col min="15613" max="15613" width="12.5703125" style="242" customWidth="1"/>
    <col min="15614" max="15614" width="10.140625" style="242" bestFit="1" customWidth="1"/>
    <col min="15615" max="15616" width="10.140625" style="242" customWidth="1"/>
    <col min="15617" max="15618" width="12" style="242" customWidth="1"/>
    <col min="15619" max="15619" width="0.42578125" style="242" customWidth="1"/>
    <col min="15620" max="15620" width="12.5703125" style="242" customWidth="1"/>
    <col min="15621" max="15621" width="10.140625" style="242" bestFit="1" customWidth="1"/>
    <col min="15622" max="15623" width="10.140625" style="242" customWidth="1"/>
    <col min="15624" max="15624" width="12" style="242" customWidth="1"/>
    <col min="15625" max="15625" width="0.42578125" style="242" customWidth="1"/>
    <col min="15626" max="15626" width="12.5703125" style="242" customWidth="1"/>
    <col min="15627" max="15627" width="10.140625" style="242" bestFit="1" customWidth="1"/>
    <col min="15628" max="15629" width="10.140625" style="242" customWidth="1"/>
    <col min="15630" max="15630" width="12" style="242" customWidth="1"/>
    <col min="15631" max="15631" width="15.140625" style="242" customWidth="1"/>
    <col min="15632" max="15632" width="0.42578125" style="242" customWidth="1"/>
    <col min="15633" max="15633" width="12.5703125" style="242" customWidth="1"/>
    <col min="15634" max="15634" width="10.140625" style="242" bestFit="1" customWidth="1"/>
    <col min="15635" max="15636" width="10.140625" style="242" customWidth="1"/>
    <col min="15637" max="15637" width="12" style="242" customWidth="1"/>
    <col min="15638" max="15638" width="15.140625" style="242" customWidth="1"/>
    <col min="15639" max="15639" width="13.7109375" style="242" customWidth="1"/>
    <col min="15640" max="15640" width="11.42578125" style="242" bestFit="1" customWidth="1"/>
    <col min="15641" max="15865" width="0.7109375" style="242"/>
    <col min="15866" max="15866" width="10.7109375" style="242" customWidth="1"/>
    <col min="15867" max="15867" width="30.42578125" style="242" customWidth="1"/>
    <col min="15868" max="15868" width="0.42578125" style="242" customWidth="1"/>
    <col min="15869" max="15869" width="12.5703125" style="242" customWidth="1"/>
    <col min="15870" max="15870" width="10.140625" style="242" bestFit="1" customWidth="1"/>
    <col min="15871" max="15872" width="10.140625" style="242" customWidth="1"/>
    <col min="15873" max="15874" width="12" style="242" customWidth="1"/>
    <col min="15875" max="15875" width="0.42578125" style="242" customWidth="1"/>
    <col min="15876" max="15876" width="12.5703125" style="242" customWidth="1"/>
    <col min="15877" max="15877" width="10.140625" style="242" bestFit="1" customWidth="1"/>
    <col min="15878" max="15879" width="10.140625" style="242" customWidth="1"/>
    <col min="15880" max="15880" width="12" style="242" customWidth="1"/>
    <col min="15881" max="15881" width="0.42578125" style="242" customWidth="1"/>
    <col min="15882" max="15882" width="12.5703125" style="242" customWidth="1"/>
    <col min="15883" max="15883" width="10.140625" style="242" bestFit="1" customWidth="1"/>
    <col min="15884" max="15885" width="10.140625" style="242" customWidth="1"/>
    <col min="15886" max="15886" width="12" style="242" customWidth="1"/>
    <col min="15887" max="15887" width="15.140625" style="242" customWidth="1"/>
    <col min="15888" max="15888" width="0.42578125" style="242" customWidth="1"/>
    <col min="15889" max="15889" width="12.5703125" style="242" customWidth="1"/>
    <col min="15890" max="15890" width="10.140625" style="242" bestFit="1" customWidth="1"/>
    <col min="15891" max="15892" width="10.140625" style="242" customWidth="1"/>
    <col min="15893" max="15893" width="12" style="242" customWidth="1"/>
    <col min="15894" max="15894" width="15.140625" style="242" customWidth="1"/>
    <col min="15895" max="15895" width="13.7109375" style="242" customWidth="1"/>
    <col min="15896" max="15896" width="11.42578125" style="242" bestFit="1" customWidth="1"/>
    <col min="15897" max="16121" width="0.7109375" style="242"/>
    <col min="16122" max="16122" width="10.7109375" style="242" customWidth="1"/>
    <col min="16123" max="16123" width="30.42578125" style="242" customWidth="1"/>
    <col min="16124" max="16124" width="0.42578125" style="242" customWidth="1"/>
    <col min="16125" max="16125" width="12.5703125" style="242" customWidth="1"/>
    <col min="16126" max="16126" width="10.140625" style="242" bestFit="1" customWidth="1"/>
    <col min="16127" max="16128" width="10.140625" style="242" customWidth="1"/>
    <col min="16129" max="16130" width="12" style="242" customWidth="1"/>
    <col min="16131" max="16131" width="0.42578125" style="242" customWidth="1"/>
    <col min="16132" max="16132" width="12.5703125" style="242" customWidth="1"/>
    <col min="16133" max="16133" width="10.140625" style="242" bestFit="1" customWidth="1"/>
    <col min="16134" max="16135" width="10.140625" style="242" customWidth="1"/>
    <col min="16136" max="16136" width="12" style="242" customWidth="1"/>
    <col min="16137" max="16137" width="0.42578125" style="242" customWidth="1"/>
    <col min="16138" max="16138" width="12.5703125" style="242" customWidth="1"/>
    <col min="16139" max="16139" width="10.140625" style="242" bestFit="1" customWidth="1"/>
    <col min="16140" max="16141" width="10.140625" style="242" customWidth="1"/>
    <col min="16142" max="16142" width="12" style="242" customWidth="1"/>
    <col min="16143" max="16143" width="15.140625" style="242" customWidth="1"/>
    <col min="16144" max="16144" width="0.42578125" style="242" customWidth="1"/>
    <col min="16145" max="16145" width="12.5703125" style="242" customWidth="1"/>
    <col min="16146" max="16146" width="10.140625" style="242" bestFit="1" customWidth="1"/>
    <col min="16147" max="16148" width="10.140625" style="242" customWidth="1"/>
    <col min="16149" max="16149" width="12" style="242" customWidth="1"/>
    <col min="16150" max="16150" width="15.140625" style="242" customWidth="1"/>
    <col min="16151" max="16151" width="13.7109375" style="242" customWidth="1"/>
    <col min="16152" max="16152" width="11.42578125" style="242" bestFit="1" customWidth="1"/>
    <col min="16153" max="16384" width="0.7109375" style="242"/>
  </cols>
  <sheetData>
    <row r="1" spans="1:25" s="240" customFormat="1" ht="27.75" customHeight="1" x14ac:dyDescent="0.35">
      <c r="B1" s="396"/>
      <c r="C1" s="398"/>
      <c r="D1" s="397"/>
      <c r="E1" s="1071">
        <v>2016</v>
      </c>
      <c r="F1" s="1071"/>
      <c r="G1" s="1071"/>
      <c r="H1" s="1071"/>
      <c r="I1" s="397"/>
      <c r="J1" s="1071">
        <v>2017</v>
      </c>
      <c r="K1" s="1071"/>
      <c r="L1" s="1071"/>
      <c r="M1" s="1071"/>
      <c r="N1" s="397"/>
      <c r="O1" s="1071">
        <v>2018</v>
      </c>
      <c r="P1" s="1071"/>
      <c r="Q1" s="1071"/>
      <c r="R1" s="1071"/>
      <c r="S1" s="397"/>
      <c r="T1" s="1071">
        <v>2019</v>
      </c>
      <c r="U1" s="1071"/>
      <c r="V1" s="1071"/>
      <c r="W1" s="1071"/>
      <c r="X1" s="216"/>
      <c r="Y1" s="398"/>
    </row>
    <row r="2" spans="1:25" s="163" customFormat="1" ht="65.25" customHeight="1" x14ac:dyDescent="0.2">
      <c r="A2" s="162" t="s">
        <v>272</v>
      </c>
      <c r="B2" s="162" t="s">
        <v>1</v>
      </c>
      <c r="C2" s="351" t="s">
        <v>4</v>
      </c>
      <c r="D2" s="201"/>
      <c r="E2" s="162" t="s">
        <v>2437</v>
      </c>
      <c r="F2" s="162" t="s">
        <v>392</v>
      </c>
      <c r="G2" s="351" t="s">
        <v>393</v>
      </c>
      <c r="H2" s="162" t="s">
        <v>341</v>
      </c>
      <c r="I2" s="201"/>
      <c r="J2" s="162" t="s">
        <v>2922</v>
      </c>
      <c r="K2" s="162" t="s">
        <v>392</v>
      </c>
      <c r="L2" s="351" t="s">
        <v>393</v>
      </c>
      <c r="M2" s="162" t="s">
        <v>341</v>
      </c>
      <c r="N2" s="201"/>
      <c r="O2" s="162" t="s">
        <v>3062</v>
      </c>
      <c r="P2" s="162" t="s">
        <v>392</v>
      </c>
      <c r="Q2" s="351" t="s">
        <v>393</v>
      </c>
      <c r="R2" s="162" t="s">
        <v>341</v>
      </c>
      <c r="S2" s="201"/>
      <c r="T2" s="1012" t="s">
        <v>3263</v>
      </c>
      <c r="U2" s="162" t="s">
        <v>392</v>
      </c>
      <c r="V2" s="351" t="s">
        <v>393</v>
      </c>
      <c r="W2" s="162" t="s">
        <v>341</v>
      </c>
      <c r="X2" s="162" t="s">
        <v>340</v>
      </c>
      <c r="Y2" s="351" t="s">
        <v>6</v>
      </c>
    </row>
    <row r="3" spans="1:25" s="207" customFormat="1" ht="18.75" customHeight="1" x14ac:dyDescent="0.2">
      <c r="A3" s="204"/>
      <c r="B3" s="204" t="s">
        <v>7</v>
      </c>
      <c r="C3" s="352"/>
      <c r="D3" s="399"/>
      <c r="E3" s="400">
        <f>E51+E4</f>
        <v>47685001</v>
      </c>
      <c r="F3" s="400">
        <f>F51+F4</f>
        <v>4066805.7853580513</v>
      </c>
      <c r="G3" s="400">
        <f>G51+G4</f>
        <v>1392951.7443154454</v>
      </c>
      <c r="H3" s="400">
        <f>H51+H4</f>
        <v>53144758.529673494</v>
      </c>
      <c r="I3" s="399"/>
      <c r="J3" s="400">
        <f>J51+J4</f>
        <v>50168735</v>
      </c>
      <c r="K3" s="400">
        <f>K51+K4</f>
        <v>3211062</v>
      </c>
      <c r="L3" s="400">
        <f>L51+L4</f>
        <v>1536971</v>
      </c>
      <c r="M3" s="400">
        <f>M51+M4</f>
        <v>54916768</v>
      </c>
      <c r="N3" s="399"/>
      <c r="O3" s="400">
        <f>O51+O4</f>
        <v>52091636.009999998</v>
      </c>
      <c r="P3" s="400">
        <f>P51+P4</f>
        <v>3328142.7146557872</v>
      </c>
      <c r="Q3" s="400">
        <f>Q51+Q4</f>
        <v>1533338</v>
      </c>
      <c r="R3" s="400">
        <f>R51+R4</f>
        <v>56953116.724655777</v>
      </c>
      <c r="S3" s="399"/>
      <c r="T3" s="1013">
        <f>T51+T4</f>
        <v>55185925</v>
      </c>
      <c r="U3" s="400">
        <f>U51+U4</f>
        <v>3192287</v>
      </c>
      <c r="V3" s="400">
        <f>V51+V4</f>
        <v>1967568</v>
      </c>
      <c r="W3" s="400">
        <f>W51+W4</f>
        <v>60345780</v>
      </c>
      <c r="X3" s="205"/>
      <c r="Y3" s="352"/>
    </row>
    <row r="4" spans="1:25" s="207" customFormat="1" ht="20.25" customHeight="1" x14ac:dyDescent="0.2">
      <c r="A4" s="204" t="s">
        <v>882</v>
      </c>
      <c r="B4" s="204"/>
      <c r="C4" s="353"/>
      <c r="D4" s="399"/>
      <c r="E4" s="400">
        <f>SUM(E5:E50)</f>
        <v>46209037</v>
      </c>
      <c r="F4" s="400">
        <f>SUM(F5:F50)</f>
        <v>4066805.7853580513</v>
      </c>
      <c r="G4" s="400">
        <f>SUM(G5:G50)</f>
        <v>1242624.7492910784</v>
      </c>
      <c r="H4" s="400">
        <f>SUM(H5:H50)</f>
        <v>51518467.534649126</v>
      </c>
      <c r="I4" s="399"/>
      <c r="J4" s="400">
        <f>SUM(J5:J50)</f>
        <v>48300567</v>
      </c>
      <c r="K4" s="400">
        <f>SUM(K5:K50)</f>
        <v>3211062</v>
      </c>
      <c r="L4" s="400">
        <f>SUM(L5:L50)</f>
        <v>1360109</v>
      </c>
      <c r="M4" s="400">
        <f>SUM(M5:M50)</f>
        <v>52871738</v>
      </c>
      <c r="N4" s="399"/>
      <c r="O4" s="400">
        <f>SUM(O5:O50)</f>
        <v>50115776.009999998</v>
      </c>
      <c r="P4" s="400">
        <f>SUM(P5:P50)</f>
        <v>3328142.7146557872</v>
      </c>
      <c r="Q4" s="400">
        <f>SUM(Q5:Q50)</f>
        <v>1335707</v>
      </c>
      <c r="R4" s="400">
        <f>SUM(R5:R50)</f>
        <v>54779625.724655777</v>
      </c>
      <c r="S4" s="399"/>
      <c r="T4" s="1013">
        <f>SUM(T5:T50)</f>
        <v>53255560</v>
      </c>
      <c r="U4" s="400">
        <f>SUM(U5:U50)</f>
        <v>3192287</v>
      </c>
      <c r="V4" s="400">
        <f>SUM(V5:V50)</f>
        <v>1721698</v>
      </c>
      <c r="W4" s="400">
        <f>SUM(W5:W50)</f>
        <v>58169545</v>
      </c>
      <c r="X4" s="239"/>
      <c r="Y4" s="352"/>
    </row>
    <row r="5" spans="1:25" s="403" customFormat="1" ht="36.75" customHeight="1" x14ac:dyDescent="0.2">
      <c r="A5" s="231">
        <v>520028275</v>
      </c>
      <c r="B5" s="856" t="s">
        <v>883</v>
      </c>
      <c r="C5" s="857" t="s">
        <v>2351</v>
      </c>
      <c r="D5" s="399"/>
      <c r="E5" s="236">
        <f>18336636+578000</f>
        <v>18914636</v>
      </c>
      <c r="F5" s="236"/>
      <c r="G5" s="236"/>
      <c r="H5" s="170">
        <f t="shared" ref="H5:H46" si="0">SUM(E5:G5)</f>
        <v>18914636</v>
      </c>
      <c r="I5" s="399"/>
      <c r="J5" s="236">
        <f>18288000+41250</f>
        <v>18329250</v>
      </c>
      <c r="K5" s="236"/>
      <c r="L5" s="236"/>
      <c r="M5" s="170">
        <f t="shared" ref="M5:M46" si="1">SUM(J5:L5)</f>
        <v>18329250</v>
      </c>
      <c r="N5" s="399"/>
      <c r="O5" s="236">
        <v>19097800</v>
      </c>
      <c r="P5" s="236"/>
      <c r="Q5" s="236"/>
      <c r="R5" s="170">
        <f t="shared" ref="R5:R46" si="2">SUM(O5:Q5)</f>
        <v>19097800</v>
      </c>
      <c r="S5" s="399"/>
      <c r="T5" s="1014">
        <v>20186978</v>
      </c>
      <c r="U5" s="236"/>
      <c r="V5" s="236"/>
      <c r="W5" s="170">
        <f t="shared" ref="W5:W46" si="3">SUM(T5:V5)</f>
        <v>20186978</v>
      </c>
      <c r="X5" s="170" t="s">
        <v>53</v>
      </c>
      <c r="Y5" s="402" t="s">
        <v>53</v>
      </c>
    </row>
    <row r="6" spans="1:25" s="403" customFormat="1" ht="29.25" customHeight="1" x14ac:dyDescent="0.2">
      <c r="A6" s="231">
        <v>510730898</v>
      </c>
      <c r="B6" s="856" t="s">
        <v>884</v>
      </c>
      <c r="C6" s="358"/>
      <c r="D6" s="399"/>
      <c r="E6" s="236">
        <v>1700154</v>
      </c>
      <c r="F6" s="236"/>
      <c r="G6" s="236"/>
      <c r="H6" s="170">
        <f t="shared" si="0"/>
        <v>1700154</v>
      </c>
      <c r="I6" s="399"/>
      <c r="J6" s="236">
        <f>1742606+90293+50625</f>
        <v>1883524</v>
      </c>
      <c r="K6" s="236"/>
      <c r="L6" s="236"/>
      <c r="M6" s="170">
        <f t="shared" si="1"/>
        <v>1883524</v>
      </c>
      <c r="N6" s="399"/>
      <c r="O6" s="236">
        <v>1902600</v>
      </c>
      <c r="P6" s="236"/>
      <c r="Q6" s="236"/>
      <c r="R6" s="170">
        <f t="shared" si="2"/>
        <v>1902600</v>
      </c>
      <c r="S6" s="399"/>
      <c r="T6" s="1014">
        <v>1980218</v>
      </c>
      <c r="U6" s="236"/>
      <c r="V6" s="236"/>
      <c r="W6" s="170">
        <f t="shared" si="3"/>
        <v>1980218</v>
      </c>
      <c r="X6" s="170" t="s">
        <v>43</v>
      </c>
      <c r="Y6" s="358" t="s">
        <v>9</v>
      </c>
    </row>
    <row r="7" spans="1:25" s="403" customFormat="1" ht="48" customHeight="1" x14ac:dyDescent="0.2">
      <c r="A7" s="231">
        <v>580046134</v>
      </c>
      <c r="B7" s="856" t="s">
        <v>885</v>
      </c>
      <c r="C7" s="358"/>
      <c r="D7" s="399"/>
      <c r="E7" s="236">
        <v>1379798</v>
      </c>
      <c r="F7" s="236"/>
      <c r="G7" s="236">
        <v>417110.25306829443</v>
      </c>
      <c r="H7" s="170">
        <f t="shared" si="0"/>
        <v>1796908.2530682944</v>
      </c>
      <c r="I7" s="399"/>
      <c r="J7" s="236">
        <f>1423208+34200+75300</f>
        <v>1532708</v>
      </c>
      <c r="K7" s="236"/>
      <c r="L7" s="236">
        <v>490739</v>
      </c>
      <c r="M7" s="170">
        <f t="shared" si="1"/>
        <v>2023447</v>
      </c>
      <c r="N7" s="399"/>
      <c r="O7" s="236">
        <v>1736393</v>
      </c>
      <c r="P7" s="236"/>
      <c r="Q7" s="236">
        <v>498412</v>
      </c>
      <c r="R7" s="170">
        <f t="shared" si="2"/>
        <v>2234805</v>
      </c>
      <c r="S7" s="399"/>
      <c r="T7" s="1014">
        <v>2385428</v>
      </c>
      <c r="U7" s="236"/>
      <c r="V7" s="236">
        <v>710598</v>
      </c>
      <c r="W7" s="170">
        <f t="shared" si="3"/>
        <v>3096026</v>
      </c>
      <c r="X7" s="170" t="s">
        <v>311</v>
      </c>
      <c r="Y7" s="358" t="s">
        <v>9</v>
      </c>
    </row>
    <row r="8" spans="1:25" s="403" customFormat="1" ht="49.5" customHeight="1" x14ac:dyDescent="0.2">
      <c r="A8" s="231">
        <v>520002320</v>
      </c>
      <c r="B8" s="856" t="s">
        <v>886</v>
      </c>
      <c r="C8" s="402"/>
      <c r="D8" s="399"/>
      <c r="E8" s="236">
        <v>4104565</v>
      </c>
      <c r="F8" s="236"/>
      <c r="G8" s="236"/>
      <c r="H8" s="170">
        <f t="shared" si="0"/>
        <v>4104565</v>
      </c>
      <c r="I8" s="399"/>
      <c r="J8" s="236">
        <f>4071195+168728</f>
        <v>4239923</v>
      </c>
      <c r="K8" s="236"/>
      <c r="L8" s="236"/>
      <c r="M8" s="170">
        <f t="shared" si="1"/>
        <v>4239923</v>
      </c>
      <c r="N8" s="399"/>
      <c r="O8" s="236">
        <v>4433368</v>
      </c>
      <c r="P8" s="236"/>
      <c r="Q8" s="236"/>
      <c r="R8" s="170">
        <f t="shared" si="2"/>
        <v>4433368</v>
      </c>
      <c r="S8" s="399"/>
      <c r="T8" s="1014">
        <v>4929765</v>
      </c>
      <c r="U8" s="236"/>
      <c r="V8" s="236"/>
      <c r="W8" s="170">
        <f t="shared" si="3"/>
        <v>4929765</v>
      </c>
      <c r="X8" s="170" t="s">
        <v>73</v>
      </c>
      <c r="Y8" s="402" t="s">
        <v>136</v>
      </c>
    </row>
    <row r="9" spans="1:25" s="403" customFormat="1" ht="24.95" customHeight="1" x14ac:dyDescent="0.2">
      <c r="A9" s="231">
        <v>520035908</v>
      </c>
      <c r="B9" s="856" t="s">
        <v>887</v>
      </c>
      <c r="C9" s="402"/>
      <c r="D9" s="399"/>
      <c r="E9" s="236">
        <v>1971567</v>
      </c>
      <c r="F9" s="236"/>
      <c r="G9" s="236"/>
      <c r="H9" s="170">
        <f t="shared" si="0"/>
        <v>1971567</v>
      </c>
      <c r="I9" s="399"/>
      <c r="J9" s="236">
        <f>1922582+91874+23625</f>
        <v>2038081</v>
      </c>
      <c r="K9" s="236"/>
      <c r="L9" s="236"/>
      <c r="M9" s="170">
        <f t="shared" si="1"/>
        <v>2038081</v>
      </c>
      <c r="N9" s="399"/>
      <c r="O9" s="236">
        <v>2069513</v>
      </c>
      <c r="P9" s="236"/>
      <c r="Q9" s="236"/>
      <c r="R9" s="170">
        <f t="shared" si="2"/>
        <v>2069513</v>
      </c>
      <c r="S9" s="399"/>
      <c r="T9" s="1014">
        <v>2108959</v>
      </c>
      <c r="U9" s="236"/>
      <c r="V9" s="236"/>
      <c r="W9" s="170">
        <f t="shared" si="3"/>
        <v>2108959</v>
      </c>
      <c r="X9" s="170" t="s">
        <v>73</v>
      </c>
      <c r="Y9" s="402" t="s">
        <v>136</v>
      </c>
    </row>
    <row r="10" spans="1:25" s="403" customFormat="1" ht="24.95" customHeight="1" x14ac:dyDescent="0.2">
      <c r="A10" s="231">
        <v>580087021</v>
      </c>
      <c r="B10" s="856" t="s">
        <v>888</v>
      </c>
      <c r="C10" s="402"/>
      <c r="D10" s="399"/>
      <c r="E10" s="236">
        <v>870475</v>
      </c>
      <c r="F10" s="170">
        <v>616800.56212417281</v>
      </c>
      <c r="G10" s="236"/>
      <c r="H10" s="170">
        <f t="shared" si="0"/>
        <v>1487275.5621241727</v>
      </c>
      <c r="I10" s="399"/>
      <c r="J10" s="236">
        <f>885806+18750+102007</f>
        <v>1006563</v>
      </c>
      <c r="K10" s="170">
        <v>486029</v>
      </c>
      <c r="L10" s="236"/>
      <c r="M10" s="170">
        <f t="shared" si="1"/>
        <v>1492592</v>
      </c>
      <c r="N10" s="399"/>
      <c r="O10" s="236">
        <v>937556</v>
      </c>
      <c r="P10" s="894">
        <v>534033.00838883535</v>
      </c>
      <c r="Q10" s="236"/>
      <c r="R10" s="170">
        <f t="shared" si="2"/>
        <v>1471589.0083888355</v>
      </c>
      <c r="S10" s="399"/>
      <c r="T10" s="1014">
        <v>845207</v>
      </c>
      <c r="U10" s="894">
        <v>493446</v>
      </c>
      <c r="V10" s="236"/>
      <c r="W10" s="170">
        <f t="shared" si="3"/>
        <v>1338653</v>
      </c>
      <c r="X10" s="170" t="s">
        <v>53</v>
      </c>
      <c r="Y10" s="402" t="s">
        <v>53</v>
      </c>
    </row>
    <row r="11" spans="1:25" s="403" customFormat="1" ht="24.95" customHeight="1" x14ac:dyDescent="0.2">
      <c r="A11" s="231">
        <v>580016731</v>
      </c>
      <c r="B11" s="856" t="s">
        <v>889</v>
      </c>
      <c r="C11" s="358"/>
      <c r="D11" s="399"/>
      <c r="E11" s="236">
        <v>1061534</v>
      </c>
      <c r="F11" s="170">
        <v>792734.83383626153</v>
      </c>
      <c r="G11" s="236"/>
      <c r="H11" s="170">
        <f t="shared" si="0"/>
        <v>1854268.8338362616</v>
      </c>
      <c r="I11" s="399"/>
      <c r="J11" s="236">
        <v>1036523</v>
      </c>
      <c r="K11" s="170">
        <v>592707</v>
      </c>
      <c r="L11" s="236"/>
      <c r="M11" s="170">
        <f t="shared" si="1"/>
        <v>1629230</v>
      </c>
      <c r="N11" s="399"/>
      <c r="O11" s="236">
        <v>1036523</v>
      </c>
      <c r="P11" s="894">
        <v>611943.86633245577</v>
      </c>
      <c r="Q11" s="236"/>
      <c r="R11" s="170">
        <f t="shared" si="2"/>
        <v>1648466.8663324558</v>
      </c>
      <c r="S11" s="399"/>
      <c r="T11" s="1014">
        <v>1085134</v>
      </c>
      <c r="U11" s="894">
        <v>565436</v>
      </c>
      <c r="V11" s="236"/>
      <c r="W11" s="170">
        <f t="shared" si="3"/>
        <v>1650570</v>
      </c>
      <c r="X11" s="170" t="s">
        <v>53</v>
      </c>
      <c r="Y11" s="358" t="s">
        <v>53</v>
      </c>
    </row>
    <row r="12" spans="1:25" s="403" customFormat="1" ht="30.75" customHeight="1" x14ac:dyDescent="0.2">
      <c r="A12" s="231">
        <v>510177587</v>
      </c>
      <c r="B12" s="856" t="s">
        <v>890</v>
      </c>
      <c r="C12" s="402"/>
      <c r="D12" s="399"/>
      <c r="E12" s="236">
        <v>352077</v>
      </c>
      <c r="F12" s="170"/>
      <c r="G12" s="236">
        <v>106432.15147954444</v>
      </c>
      <c r="H12" s="170">
        <f t="shared" si="0"/>
        <v>458509.15147954447</v>
      </c>
      <c r="I12" s="399"/>
      <c r="J12" s="236">
        <f>361743+75000+23475</f>
        <v>460218</v>
      </c>
      <c r="K12" s="170"/>
      <c r="L12" s="236">
        <v>125220</v>
      </c>
      <c r="M12" s="170">
        <f t="shared" si="1"/>
        <v>585438</v>
      </c>
      <c r="N12" s="399"/>
      <c r="O12" s="236">
        <v>436513</v>
      </c>
      <c r="P12" s="170"/>
      <c r="Q12" s="836">
        <v>126689</v>
      </c>
      <c r="R12" s="170">
        <f t="shared" si="2"/>
        <v>563202</v>
      </c>
      <c r="S12" s="399"/>
      <c r="T12" s="1014">
        <v>502088</v>
      </c>
      <c r="U12" s="170"/>
      <c r="V12" s="236">
        <v>153469</v>
      </c>
      <c r="W12" s="170">
        <f t="shared" si="3"/>
        <v>655557</v>
      </c>
      <c r="X12" s="170" t="s">
        <v>891</v>
      </c>
      <c r="Y12" s="402" t="s">
        <v>9</v>
      </c>
    </row>
    <row r="13" spans="1:25" s="403" customFormat="1" ht="24.95" customHeight="1" x14ac:dyDescent="0.2">
      <c r="A13" s="231">
        <v>580055929</v>
      </c>
      <c r="B13" s="856" t="s">
        <v>892</v>
      </c>
      <c r="C13" s="358"/>
      <c r="D13" s="399"/>
      <c r="E13" s="236">
        <v>274253</v>
      </c>
      <c r="F13" s="170"/>
      <c r="G13" s="236"/>
      <c r="H13" s="170">
        <f t="shared" si="0"/>
        <v>274253</v>
      </c>
      <c r="I13" s="399"/>
      <c r="J13" s="236">
        <f>286007+5625+14172</f>
        <v>305804</v>
      </c>
      <c r="K13" s="170"/>
      <c r="L13" s="236"/>
      <c r="M13" s="170">
        <f t="shared" si="1"/>
        <v>305804</v>
      </c>
      <c r="N13" s="399"/>
      <c r="O13" s="236">
        <v>336214</v>
      </c>
      <c r="P13" s="170"/>
      <c r="Q13" s="236"/>
      <c r="R13" s="170">
        <f t="shared" si="2"/>
        <v>336214</v>
      </c>
      <c r="S13" s="399"/>
      <c r="T13" s="1014">
        <v>286756</v>
      </c>
      <c r="U13" s="170"/>
      <c r="V13" s="236"/>
      <c r="W13" s="170">
        <f t="shared" si="3"/>
        <v>286756</v>
      </c>
      <c r="X13" s="170" t="s">
        <v>673</v>
      </c>
      <c r="Y13" s="358" t="s">
        <v>9</v>
      </c>
    </row>
    <row r="14" spans="1:25" s="403" customFormat="1" ht="24.95" customHeight="1" x14ac:dyDescent="0.2">
      <c r="A14" s="231">
        <v>580004794</v>
      </c>
      <c r="B14" s="856" t="s">
        <v>893</v>
      </c>
      <c r="C14" s="402"/>
      <c r="D14" s="399"/>
      <c r="E14" s="236">
        <v>262941</v>
      </c>
      <c r="F14" s="170"/>
      <c r="G14" s="236"/>
      <c r="H14" s="170">
        <f t="shared" si="0"/>
        <v>262941</v>
      </c>
      <c r="I14" s="399"/>
      <c r="J14" s="236">
        <v>266026</v>
      </c>
      <c r="K14" s="170"/>
      <c r="L14" s="236"/>
      <c r="M14" s="170">
        <f t="shared" si="1"/>
        <v>266026</v>
      </c>
      <c r="N14" s="399"/>
      <c r="O14" s="236">
        <v>285616</v>
      </c>
      <c r="P14" s="170"/>
      <c r="Q14" s="236"/>
      <c r="R14" s="170">
        <f t="shared" si="2"/>
        <v>285616</v>
      </c>
      <c r="S14" s="399"/>
      <c r="T14" s="1014">
        <v>262337</v>
      </c>
      <c r="U14" s="170"/>
      <c r="V14" s="236"/>
      <c r="W14" s="170">
        <f t="shared" si="3"/>
        <v>262337</v>
      </c>
      <c r="X14" s="170" t="s">
        <v>408</v>
      </c>
      <c r="Y14" s="402" t="s">
        <v>136</v>
      </c>
    </row>
    <row r="15" spans="1:25" s="403" customFormat="1" ht="24.95" customHeight="1" x14ac:dyDescent="0.2">
      <c r="A15" s="231" t="s">
        <v>3069</v>
      </c>
      <c r="B15" s="967" t="s">
        <v>3070</v>
      </c>
      <c r="C15" s="402"/>
      <c r="D15" s="399"/>
      <c r="E15" s="236">
        <v>312010</v>
      </c>
      <c r="F15" s="170">
        <v>255117.84397852339</v>
      </c>
      <c r="G15" s="236"/>
      <c r="H15" s="170">
        <f t="shared" si="0"/>
        <v>567127.84397852339</v>
      </c>
      <c r="I15" s="399"/>
      <c r="J15" s="236">
        <f>310835+16500+232500</f>
        <v>559835</v>
      </c>
      <c r="K15" s="170">
        <v>174211</v>
      </c>
      <c r="L15" s="236"/>
      <c r="M15" s="170">
        <f t="shared" si="1"/>
        <v>734046</v>
      </c>
      <c r="N15" s="399"/>
      <c r="O15" s="236">
        <v>415056</v>
      </c>
      <c r="P15" s="894">
        <v>183511.19241102115</v>
      </c>
      <c r="Q15" s="236"/>
      <c r="R15" s="170">
        <f t="shared" si="2"/>
        <v>598567.1924110211</v>
      </c>
      <c r="S15" s="399"/>
      <c r="T15" s="1014">
        <v>380090</v>
      </c>
      <c r="U15" s="894">
        <v>171215</v>
      </c>
      <c r="V15" s="236"/>
      <c r="W15" s="170">
        <f t="shared" si="3"/>
        <v>551305</v>
      </c>
      <c r="X15" s="170" t="s">
        <v>53</v>
      </c>
      <c r="Y15" s="402" t="s">
        <v>53</v>
      </c>
    </row>
    <row r="16" spans="1:25" s="403" customFormat="1" ht="30" customHeight="1" x14ac:dyDescent="0.2">
      <c r="A16" s="231">
        <v>580039162</v>
      </c>
      <c r="B16" s="979" t="s">
        <v>895</v>
      </c>
      <c r="C16" s="402"/>
      <c r="D16" s="399"/>
      <c r="E16" s="236">
        <v>157317</v>
      </c>
      <c r="F16" s="170"/>
      <c r="G16" s="236"/>
      <c r="H16" s="170">
        <f t="shared" si="0"/>
        <v>157317</v>
      </c>
      <c r="I16" s="399"/>
      <c r="J16" s="236">
        <f>175278+40939+27716</f>
        <v>243933</v>
      </c>
      <c r="K16" s="170"/>
      <c r="L16" s="236"/>
      <c r="M16" s="170">
        <f t="shared" si="1"/>
        <v>243933</v>
      </c>
      <c r="N16" s="399"/>
      <c r="O16" s="236">
        <v>252674</v>
      </c>
      <c r="P16" s="170"/>
      <c r="Q16" s="236"/>
      <c r="R16" s="170">
        <f t="shared" si="2"/>
        <v>252674</v>
      </c>
      <c r="S16" s="399"/>
      <c r="T16" s="1014">
        <v>277459</v>
      </c>
      <c r="U16" s="170"/>
      <c r="V16" s="236"/>
      <c r="W16" s="170">
        <f t="shared" si="3"/>
        <v>277459</v>
      </c>
      <c r="X16" s="170" t="s">
        <v>896</v>
      </c>
      <c r="Y16" s="402" t="s">
        <v>12</v>
      </c>
    </row>
    <row r="17" spans="1:25" s="403" customFormat="1" ht="31.5" customHeight="1" x14ac:dyDescent="0.2">
      <c r="A17" s="231">
        <v>580067338</v>
      </c>
      <c r="B17" s="856" t="s">
        <v>897</v>
      </c>
      <c r="C17" s="402"/>
      <c r="D17" s="399"/>
      <c r="E17" s="236">
        <v>185849</v>
      </c>
      <c r="F17" s="170"/>
      <c r="G17" s="236">
        <v>56181.897780976295</v>
      </c>
      <c r="H17" s="170">
        <f t="shared" si="0"/>
        <v>242030.89778097629</v>
      </c>
      <c r="I17" s="399"/>
      <c r="J17" s="236">
        <v>182610</v>
      </c>
      <c r="K17" s="170"/>
      <c r="L17" s="236">
        <v>66099</v>
      </c>
      <c r="M17" s="170">
        <f t="shared" si="1"/>
        <v>248709</v>
      </c>
      <c r="N17" s="399"/>
      <c r="O17" s="236">
        <v>216638</v>
      </c>
      <c r="P17" s="170"/>
      <c r="Q17" s="236">
        <v>63982</v>
      </c>
      <c r="R17" s="170">
        <f t="shared" si="2"/>
        <v>280620</v>
      </c>
      <c r="S17" s="399"/>
      <c r="T17" s="1014">
        <v>181035</v>
      </c>
      <c r="U17" s="170"/>
      <c r="V17" s="236">
        <v>77985</v>
      </c>
      <c r="W17" s="170">
        <f t="shared" si="3"/>
        <v>259020</v>
      </c>
      <c r="X17" s="170" t="s">
        <v>294</v>
      </c>
      <c r="Y17" s="402" t="s">
        <v>9</v>
      </c>
    </row>
    <row r="18" spans="1:25" s="403" customFormat="1" ht="28.5" x14ac:dyDescent="0.2">
      <c r="A18" s="231">
        <v>510175417</v>
      </c>
      <c r="B18" s="856" t="s">
        <v>898</v>
      </c>
      <c r="C18" s="402"/>
      <c r="D18" s="399"/>
      <c r="E18" s="236">
        <v>197208</v>
      </c>
      <c r="F18" s="170"/>
      <c r="G18" s="236">
        <v>59616</v>
      </c>
      <c r="H18" s="170">
        <f t="shared" si="0"/>
        <v>256824</v>
      </c>
      <c r="I18" s="399"/>
      <c r="J18" s="236">
        <f>239653+28115</f>
        <v>267768</v>
      </c>
      <c r="K18" s="170"/>
      <c r="L18" s="236"/>
      <c r="M18" s="170">
        <f t="shared" si="1"/>
        <v>267768</v>
      </c>
      <c r="N18" s="399"/>
      <c r="O18" s="236">
        <v>244161</v>
      </c>
      <c r="P18" s="170"/>
      <c r="Q18" s="236"/>
      <c r="R18" s="170">
        <f t="shared" si="2"/>
        <v>244161</v>
      </c>
      <c r="S18" s="399"/>
      <c r="T18" s="1014">
        <v>243743</v>
      </c>
      <c r="U18" s="170"/>
      <c r="V18" s="236"/>
      <c r="W18" s="170">
        <f t="shared" si="3"/>
        <v>243743</v>
      </c>
      <c r="X18" s="170" t="s">
        <v>899</v>
      </c>
      <c r="Y18" s="402" t="s">
        <v>9</v>
      </c>
    </row>
    <row r="19" spans="1:25" s="403" customFormat="1" ht="28.5" x14ac:dyDescent="0.2">
      <c r="A19" s="231">
        <v>580292639</v>
      </c>
      <c r="B19" s="856" t="s">
        <v>900</v>
      </c>
      <c r="C19" s="358"/>
      <c r="D19" s="399"/>
      <c r="E19" s="236">
        <v>234100</v>
      </c>
      <c r="F19" s="170"/>
      <c r="G19" s="236"/>
      <c r="H19" s="170">
        <f t="shared" si="0"/>
        <v>234100</v>
      </c>
      <c r="I19" s="399"/>
      <c r="J19" s="236">
        <f>242966+50920+11618</f>
        <v>305504</v>
      </c>
      <c r="K19" s="170"/>
      <c r="L19" s="236"/>
      <c r="M19" s="170">
        <f t="shared" si="1"/>
        <v>305504</v>
      </c>
      <c r="N19" s="399"/>
      <c r="O19" s="236">
        <v>392673</v>
      </c>
      <c r="P19" s="170"/>
      <c r="Q19" s="236"/>
      <c r="R19" s="170">
        <f t="shared" si="2"/>
        <v>392673</v>
      </c>
      <c r="S19" s="399"/>
      <c r="T19" s="1014">
        <v>377962</v>
      </c>
      <c r="U19" s="170"/>
      <c r="V19" s="236"/>
      <c r="W19" s="170">
        <f t="shared" si="3"/>
        <v>377962</v>
      </c>
      <c r="X19" s="170" t="s">
        <v>901</v>
      </c>
      <c r="Y19" s="358" t="s">
        <v>9</v>
      </c>
    </row>
    <row r="20" spans="1:25" s="403" customFormat="1" ht="27.75" customHeight="1" x14ac:dyDescent="0.2">
      <c r="A20" s="231">
        <v>580017499</v>
      </c>
      <c r="B20" s="856" t="s">
        <v>902</v>
      </c>
      <c r="C20" s="404"/>
      <c r="D20" s="399"/>
      <c r="E20" s="236">
        <v>140000</v>
      </c>
      <c r="F20" s="170"/>
      <c r="G20" s="236">
        <v>42322</v>
      </c>
      <c r="H20" s="170">
        <f t="shared" si="0"/>
        <v>182322</v>
      </c>
      <c r="I20" s="399"/>
      <c r="J20" s="236">
        <v>142321</v>
      </c>
      <c r="K20" s="170"/>
      <c r="L20" s="236">
        <v>49792</v>
      </c>
      <c r="M20" s="170">
        <f t="shared" si="1"/>
        <v>192113</v>
      </c>
      <c r="N20" s="399"/>
      <c r="O20" s="236">
        <v>143707</v>
      </c>
      <c r="P20" s="170"/>
      <c r="Q20" s="236">
        <v>49849</v>
      </c>
      <c r="R20" s="170">
        <f t="shared" si="2"/>
        <v>193556</v>
      </c>
      <c r="S20" s="399"/>
      <c r="T20" s="1014">
        <v>177089</v>
      </c>
      <c r="U20" s="170"/>
      <c r="V20" s="236">
        <v>60000</v>
      </c>
      <c r="W20" s="170">
        <f t="shared" si="3"/>
        <v>237089</v>
      </c>
      <c r="X20" s="170" t="s">
        <v>903</v>
      </c>
      <c r="Y20" s="404" t="s">
        <v>9</v>
      </c>
    </row>
    <row r="21" spans="1:25" s="403" customFormat="1" ht="28.5" x14ac:dyDescent="0.2">
      <c r="A21" s="231">
        <v>580022077</v>
      </c>
      <c r="B21" s="856" t="s">
        <v>904</v>
      </c>
      <c r="C21" s="402"/>
      <c r="D21" s="399"/>
      <c r="E21" s="236">
        <v>265329</v>
      </c>
      <c r="F21" s="170">
        <v>185681.90428515436</v>
      </c>
      <c r="G21" s="236"/>
      <c r="H21" s="170">
        <f t="shared" si="0"/>
        <v>451010.90428515436</v>
      </c>
      <c r="I21" s="399"/>
      <c r="J21" s="236">
        <f>250824+40435+52031</f>
        <v>343290</v>
      </c>
      <c r="K21" s="170">
        <v>148146</v>
      </c>
      <c r="L21" s="236"/>
      <c r="M21" s="170">
        <f t="shared" si="1"/>
        <v>491436</v>
      </c>
      <c r="N21" s="399"/>
      <c r="O21" s="236">
        <v>324891</v>
      </c>
      <c r="P21" s="894">
        <v>148081.8161574532</v>
      </c>
      <c r="Q21" s="236"/>
      <c r="R21" s="170">
        <f t="shared" si="2"/>
        <v>472972.81615745323</v>
      </c>
      <c r="S21" s="399"/>
      <c r="T21" s="1014">
        <v>323020</v>
      </c>
      <c r="U21" s="894">
        <v>138160</v>
      </c>
      <c r="V21" s="236"/>
      <c r="W21" s="170">
        <f t="shared" si="3"/>
        <v>461180</v>
      </c>
      <c r="X21" s="170" t="s">
        <v>53</v>
      </c>
      <c r="Y21" s="402" t="s">
        <v>53</v>
      </c>
    </row>
    <row r="22" spans="1:25" s="403" customFormat="1" ht="24.95" customHeight="1" x14ac:dyDescent="0.2">
      <c r="A22" s="231">
        <v>520028168</v>
      </c>
      <c r="B22" s="856" t="s">
        <v>905</v>
      </c>
      <c r="C22" s="402"/>
      <c r="D22" s="399"/>
      <c r="E22" s="236">
        <v>196800</v>
      </c>
      <c r="F22" s="236"/>
      <c r="G22" s="236"/>
      <c r="H22" s="170">
        <f t="shared" si="0"/>
        <v>196800</v>
      </c>
      <c r="I22" s="399"/>
      <c r="J22" s="236">
        <v>200000</v>
      </c>
      <c r="K22" s="236"/>
      <c r="L22" s="236"/>
      <c r="M22" s="170">
        <f t="shared" si="1"/>
        <v>200000</v>
      </c>
      <c r="N22" s="399"/>
      <c r="O22" s="236">
        <v>215783</v>
      </c>
      <c r="P22" s="236"/>
      <c r="Q22" s="236"/>
      <c r="R22" s="170">
        <f t="shared" si="2"/>
        <v>215783</v>
      </c>
      <c r="S22" s="399"/>
      <c r="T22" s="1014">
        <v>221764</v>
      </c>
      <c r="U22" s="236"/>
      <c r="V22" s="236"/>
      <c r="W22" s="170">
        <f t="shared" si="3"/>
        <v>221764</v>
      </c>
      <c r="X22" s="170" t="s">
        <v>306</v>
      </c>
      <c r="Y22" s="402" t="s">
        <v>9</v>
      </c>
    </row>
    <row r="23" spans="1:25" s="403" customFormat="1" ht="24.95" customHeight="1" x14ac:dyDescent="0.2">
      <c r="A23" s="231">
        <v>510697501</v>
      </c>
      <c r="B23" s="856" t="s">
        <v>906</v>
      </c>
      <c r="C23" s="402"/>
      <c r="D23" s="399"/>
      <c r="E23" s="236">
        <v>274517</v>
      </c>
      <c r="F23" s="236"/>
      <c r="G23" s="236"/>
      <c r="H23" s="170">
        <f t="shared" si="0"/>
        <v>274517</v>
      </c>
      <c r="I23" s="399"/>
      <c r="J23" s="236">
        <v>249685</v>
      </c>
      <c r="K23" s="236"/>
      <c r="L23" s="236"/>
      <c r="M23" s="170">
        <f t="shared" si="1"/>
        <v>249685</v>
      </c>
      <c r="N23" s="399"/>
      <c r="O23" s="236">
        <v>242179</v>
      </c>
      <c r="P23" s="236"/>
      <c r="Q23" s="236"/>
      <c r="R23" s="170">
        <f t="shared" si="2"/>
        <v>242179</v>
      </c>
      <c r="S23" s="399"/>
      <c r="T23" s="1014">
        <v>246487</v>
      </c>
      <c r="U23" s="236"/>
      <c r="V23" s="236"/>
      <c r="W23" s="170">
        <f t="shared" si="3"/>
        <v>246487</v>
      </c>
      <c r="X23" s="170" t="s">
        <v>73</v>
      </c>
      <c r="Y23" s="402" t="s">
        <v>136</v>
      </c>
    </row>
    <row r="24" spans="1:25" s="403" customFormat="1" ht="24.95" customHeight="1" x14ac:dyDescent="0.2">
      <c r="A24" s="231">
        <v>580040061</v>
      </c>
      <c r="B24" s="856" t="s">
        <v>907</v>
      </c>
      <c r="C24" s="402"/>
      <c r="D24" s="399"/>
      <c r="E24" s="236">
        <v>328333</v>
      </c>
      <c r="F24" s="236"/>
      <c r="G24" s="236">
        <v>99254.548998169252</v>
      </c>
      <c r="H24" s="170">
        <f t="shared" si="0"/>
        <v>427587.54899816925</v>
      </c>
      <c r="I24" s="399"/>
      <c r="J24" s="236">
        <v>351769</v>
      </c>
      <c r="K24" s="236"/>
      <c r="L24" s="236"/>
      <c r="M24" s="170">
        <f t="shared" si="1"/>
        <v>351769</v>
      </c>
      <c r="N24" s="399"/>
      <c r="O24" s="836">
        <v>523603</v>
      </c>
      <c r="P24" s="236"/>
      <c r="Q24" s="236"/>
      <c r="R24" s="170">
        <f t="shared" si="2"/>
        <v>523603</v>
      </c>
      <c r="S24" s="399"/>
      <c r="T24" s="1014">
        <v>605244</v>
      </c>
      <c r="U24" s="236"/>
      <c r="V24" s="236"/>
      <c r="W24" s="170">
        <f t="shared" si="3"/>
        <v>605244</v>
      </c>
      <c r="X24" s="170" t="s">
        <v>908</v>
      </c>
      <c r="Y24" s="402" t="s">
        <v>32</v>
      </c>
    </row>
    <row r="25" spans="1:25" s="403" customFormat="1" ht="24.95" customHeight="1" x14ac:dyDescent="0.2">
      <c r="A25" s="231">
        <v>580006310</v>
      </c>
      <c r="B25" s="856" t="s">
        <v>909</v>
      </c>
      <c r="C25" s="404"/>
      <c r="D25" s="399"/>
      <c r="E25" s="236">
        <v>131009</v>
      </c>
      <c r="F25" s="236"/>
      <c r="G25" s="236">
        <v>39603.622577222864</v>
      </c>
      <c r="H25" s="170">
        <f t="shared" si="0"/>
        <v>170612.62257722288</v>
      </c>
      <c r="I25" s="399"/>
      <c r="J25" s="236">
        <f>133637+9750+3115</f>
        <v>146502</v>
      </c>
      <c r="K25" s="236"/>
      <c r="L25" s="236">
        <f>42651+3944</f>
        <v>46595</v>
      </c>
      <c r="M25" s="170">
        <f t="shared" si="1"/>
        <v>193097</v>
      </c>
      <c r="N25" s="399"/>
      <c r="O25" s="236">
        <v>164527</v>
      </c>
      <c r="P25" s="236"/>
      <c r="Q25" s="236">
        <v>46805</v>
      </c>
      <c r="R25" s="170">
        <f t="shared" si="2"/>
        <v>211332</v>
      </c>
      <c r="S25" s="399"/>
      <c r="T25" s="1014">
        <v>206597</v>
      </c>
      <c r="U25" s="236"/>
      <c r="V25" s="236">
        <v>57171</v>
      </c>
      <c r="W25" s="170">
        <f t="shared" si="3"/>
        <v>263768</v>
      </c>
      <c r="X25" s="170" t="s">
        <v>910</v>
      </c>
      <c r="Y25" s="404" t="s">
        <v>9</v>
      </c>
    </row>
    <row r="26" spans="1:25" s="403" customFormat="1" ht="24.95" customHeight="1" x14ac:dyDescent="0.2">
      <c r="A26" s="231">
        <v>580005270</v>
      </c>
      <c r="B26" s="856" t="s">
        <v>911</v>
      </c>
      <c r="C26" s="402"/>
      <c r="D26" s="399"/>
      <c r="E26" s="236">
        <v>707610</v>
      </c>
      <c r="F26" s="236"/>
      <c r="G26" s="236">
        <v>213909.00528604153</v>
      </c>
      <c r="H26" s="170">
        <f t="shared" si="0"/>
        <v>921519.00528604153</v>
      </c>
      <c r="I26" s="399"/>
      <c r="J26" s="236">
        <f>695371+18900</f>
        <v>714271</v>
      </c>
      <c r="K26" s="236"/>
      <c r="L26" s="236">
        <v>251669</v>
      </c>
      <c r="M26" s="170">
        <f t="shared" si="1"/>
        <v>965940</v>
      </c>
      <c r="N26" s="399"/>
      <c r="O26" s="236">
        <v>688504</v>
      </c>
      <c r="P26" s="236"/>
      <c r="Q26" s="236">
        <v>243642</v>
      </c>
      <c r="R26" s="170">
        <f t="shared" si="2"/>
        <v>932146</v>
      </c>
      <c r="S26" s="399"/>
      <c r="T26" s="1014">
        <v>719458</v>
      </c>
      <c r="U26" s="236"/>
      <c r="V26" s="236">
        <v>281707</v>
      </c>
      <c r="W26" s="170">
        <f t="shared" si="3"/>
        <v>1001165</v>
      </c>
      <c r="X26" s="170" t="s">
        <v>912</v>
      </c>
      <c r="Y26" s="402" t="s">
        <v>9</v>
      </c>
    </row>
    <row r="27" spans="1:25" s="403" customFormat="1" ht="24.95" customHeight="1" x14ac:dyDescent="0.2">
      <c r="A27" s="231">
        <v>580117521</v>
      </c>
      <c r="B27" s="856" t="s">
        <v>913</v>
      </c>
      <c r="C27" s="402"/>
      <c r="D27" s="399"/>
      <c r="E27" s="236">
        <v>180593</v>
      </c>
      <c r="F27" s="236"/>
      <c r="G27" s="236"/>
      <c r="H27" s="170">
        <f t="shared" si="0"/>
        <v>180593</v>
      </c>
      <c r="I27" s="399"/>
      <c r="J27" s="236">
        <f>212209+17775+18750</f>
        <v>248734</v>
      </c>
      <c r="K27" s="236"/>
      <c r="L27" s="236"/>
      <c r="M27" s="170">
        <f t="shared" si="1"/>
        <v>248734</v>
      </c>
      <c r="N27" s="399"/>
      <c r="O27" s="236">
        <v>266394</v>
      </c>
      <c r="P27" s="236"/>
      <c r="Q27" s="236"/>
      <c r="R27" s="170">
        <f t="shared" si="2"/>
        <v>266394</v>
      </c>
      <c r="S27" s="399"/>
      <c r="T27" s="1014">
        <v>262208</v>
      </c>
      <c r="U27" s="236"/>
      <c r="V27" s="236"/>
      <c r="W27" s="170">
        <f t="shared" si="3"/>
        <v>262208</v>
      </c>
      <c r="X27" s="170" t="s">
        <v>914</v>
      </c>
      <c r="Y27" s="402" t="s">
        <v>9</v>
      </c>
    </row>
    <row r="28" spans="1:25" s="403" customFormat="1" ht="29.25" customHeight="1" x14ac:dyDescent="0.2">
      <c r="A28" s="231">
        <v>580302339</v>
      </c>
      <c r="B28" s="856" t="s">
        <v>2474</v>
      </c>
      <c r="C28" s="402"/>
      <c r="D28" s="399"/>
      <c r="E28" s="236">
        <v>233646</v>
      </c>
      <c r="F28" s="236"/>
      <c r="G28" s="236"/>
      <c r="H28" s="170">
        <f t="shared" si="0"/>
        <v>233646</v>
      </c>
      <c r="I28" s="399"/>
      <c r="J28" s="236">
        <f>236936+21375</f>
        <v>258311</v>
      </c>
      <c r="K28" s="236"/>
      <c r="L28" s="236"/>
      <c r="M28" s="170">
        <f t="shared" si="1"/>
        <v>258311</v>
      </c>
      <c r="N28" s="399"/>
      <c r="O28" s="236">
        <v>252818.01</v>
      </c>
      <c r="P28" s="236"/>
      <c r="Q28" s="236"/>
      <c r="R28" s="170">
        <f t="shared" si="2"/>
        <v>252818.01</v>
      </c>
      <c r="S28" s="399"/>
      <c r="T28" s="1014">
        <v>285733</v>
      </c>
      <c r="U28" s="236"/>
      <c r="V28" s="236"/>
      <c r="W28" s="170">
        <f t="shared" si="3"/>
        <v>285733</v>
      </c>
      <c r="X28" s="170" t="s">
        <v>915</v>
      </c>
      <c r="Y28" s="402" t="s">
        <v>9</v>
      </c>
    </row>
    <row r="29" spans="1:25" s="403" customFormat="1" ht="24.95" customHeight="1" x14ac:dyDescent="0.2">
      <c r="A29" s="231">
        <v>580061802</v>
      </c>
      <c r="B29" s="856" t="s">
        <v>916</v>
      </c>
      <c r="C29" s="402"/>
      <c r="D29" s="399"/>
      <c r="E29" s="236">
        <v>336545</v>
      </c>
      <c r="F29" s="236"/>
      <c r="G29" s="236"/>
      <c r="H29" s="170">
        <f t="shared" si="0"/>
        <v>336545</v>
      </c>
      <c r="I29" s="399"/>
      <c r="J29" s="236">
        <f>351449+43875</f>
        <v>395324</v>
      </c>
      <c r="K29" s="236"/>
      <c r="L29" s="236"/>
      <c r="M29" s="170">
        <f t="shared" si="1"/>
        <v>395324</v>
      </c>
      <c r="N29" s="399"/>
      <c r="O29" s="236">
        <v>434746</v>
      </c>
      <c r="P29" s="236"/>
      <c r="Q29" s="236"/>
      <c r="R29" s="170">
        <f t="shared" si="2"/>
        <v>434746</v>
      </c>
      <c r="S29" s="399"/>
      <c r="T29" s="1014">
        <v>414591</v>
      </c>
      <c r="U29" s="236"/>
      <c r="V29" s="236"/>
      <c r="W29" s="170">
        <f t="shared" si="3"/>
        <v>414591</v>
      </c>
      <c r="X29" s="170" t="s">
        <v>917</v>
      </c>
      <c r="Y29" s="402" t="s">
        <v>9</v>
      </c>
    </row>
    <row r="30" spans="1:25" s="403" customFormat="1" ht="28.5" x14ac:dyDescent="0.2">
      <c r="A30" s="231">
        <v>580255909</v>
      </c>
      <c r="B30" s="856" t="s">
        <v>918</v>
      </c>
      <c r="C30" s="358"/>
      <c r="D30" s="399"/>
      <c r="E30" s="236">
        <v>640637</v>
      </c>
      <c r="F30" s="170">
        <v>430557.80258816673</v>
      </c>
      <c r="G30" s="236"/>
      <c r="H30" s="170">
        <f t="shared" si="0"/>
        <v>1071194.8025881667</v>
      </c>
      <c r="I30" s="399"/>
      <c r="J30" s="236">
        <v>600000</v>
      </c>
      <c r="K30" s="170">
        <v>357699</v>
      </c>
      <c r="L30" s="236"/>
      <c r="M30" s="170">
        <f t="shared" si="1"/>
        <v>957699</v>
      </c>
      <c r="N30" s="399"/>
      <c r="O30" s="236">
        <v>681725</v>
      </c>
      <c r="P30" s="894">
        <v>354228.82058523875</v>
      </c>
      <c r="Q30" s="236"/>
      <c r="R30" s="170">
        <f t="shared" si="2"/>
        <v>1035953.8205852387</v>
      </c>
      <c r="S30" s="399"/>
      <c r="T30" s="1014">
        <v>774559</v>
      </c>
      <c r="U30" s="894">
        <v>350069</v>
      </c>
      <c r="V30" s="236"/>
      <c r="W30" s="170">
        <f t="shared" si="3"/>
        <v>1124628</v>
      </c>
      <c r="X30" s="170" t="s">
        <v>53</v>
      </c>
      <c r="Y30" s="358" t="s">
        <v>53</v>
      </c>
    </row>
    <row r="31" spans="1:25" s="403" customFormat="1" ht="24.95" customHeight="1" x14ac:dyDescent="0.2">
      <c r="A31" s="231">
        <v>580041085</v>
      </c>
      <c r="B31" s="856" t="s">
        <v>919</v>
      </c>
      <c r="C31" s="358"/>
      <c r="D31" s="399"/>
      <c r="E31" s="236">
        <v>86861</v>
      </c>
      <c r="F31" s="236"/>
      <c r="G31" s="236"/>
      <c r="H31" s="170">
        <f t="shared" si="0"/>
        <v>86861</v>
      </c>
      <c r="I31" s="399"/>
      <c r="J31" s="236">
        <v>102911</v>
      </c>
      <c r="K31" s="236"/>
      <c r="L31" s="236">
        <v>30893</v>
      </c>
      <c r="M31" s="170">
        <f t="shared" si="1"/>
        <v>133804</v>
      </c>
      <c r="N31" s="399"/>
      <c r="O31" s="236">
        <v>109818</v>
      </c>
      <c r="P31" s="236"/>
      <c r="Q31" s="836">
        <v>35993</v>
      </c>
      <c r="R31" s="170">
        <f t="shared" si="2"/>
        <v>145811</v>
      </c>
      <c r="S31" s="399"/>
      <c r="T31" s="1014">
        <v>105717</v>
      </c>
      <c r="U31" s="236"/>
      <c r="V31" s="236">
        <v>46446</v>
      </c>
      <c r="W31" s="170">
        <f t="shared" si="3"/>
        <v>152163</v>
      </c>
      <c r="X31" s="170" t="s">
        <v>920</v>
      </c>
      <c r="Y31" s="358" t="s">
        <v>9</v>
      </c>
    </row>
    <row r="32" spans="1:25" s="403" customFormat="1" ht="49.5" customHeight="1" x14ac:dyDescent="0.2">
      <c r="A32" s="231">
        <v>580015717</v>
      </c>
      <c r="B32" s="856" t="s">
        <v>921</v>
      </c>
      <c r="C32" s="402"/>
      <c r="D32" s="399"/>
      <c r="E32" s="236">
        <v>3407378</v>
      </c>
      <c r="F32" s="236"/>
      <c r="G32" s="236"/>
      <c r="H32" s="170">
        <f t="shared" si="0"/>
        <v>3407378</v>
      </c>
      <c r="I32" s="399"/>
      <c r="J32" s="236">
        <f>3768706+30375</f>
        <v>3799081</v>
      </c>
      <c r="K32" s="236"/>
      <c r="L32" s="236"/>
      <c r="M32" s="170">
        <f t="shared" si="1"/>
        <v>3799081</v>
      </c>
      <c r="N32" s="399"/>
      <c r="O32" s="236">
        <v>3805629</v>
      </c>
      <c r="P32" s="236"/>
      <c r="Q32" s="236"/>
      <c r="R32" s="170">
        <f t="shared" si="2"/>
        <v>3805629</v>
      </c>
      <c r="S32" s="399"/>
      <c r="T32" s="1014">
        <v>3656649</v>
      </c>
      <c r="U32" s="236"/>
      <c r="V32" s="236"/>
      <c r="W32" s="170">
        <f t="shared" si="3"/>
        <v>3656649</v>
      </c>
      <c r="X32" s="170" t="s">
        <v>43</v>
      </c>
      <c r="Y32" s="402" t="s">
        <v>9</v>
      </c>
    </row>
    <row r="33" spans="1:25" s="403" customFormat="1" ht="28.5" x14ac:dyDescent="0.2">
      <c r="A33" s="231">
        <v>500701628</v>
      </c>
      <c r="B33" s="856" t="s">
        <v>922</v>
      </c>
      <c r="C33" s="358"/>
      <c r="D33" s="399"/>
      <c r="E33" s="236">
        <v>548930</v>
      </c>
      <c r="F33" s="236"/>
      <c r="G33" s="236"/>
      <c r="H33" s="170">
        <f t="shared" si="0"/>
        <v>548930</v>
      </c>
      <c r="I33" s="399"/>
      <c r="J33" s="236">
        <v>547078</v>
      </c>
      <c r="K33" s="236"/>
      <c r="L33" s="236"/>
      <c r="M33" s="170">
        <f t="shared" si="1"/>
        <v>547078</v>
      </c>
      <c r="N33" s="399"/>
      <c r="O33" s="236">
        <v>547078</v>
      </c>
      <c r="P33" s="236"/>
      <c r="Q33" s="236"/>
      <c r="R33" s="170">
        <f t="shared" si="2"/>
        <v>547078</v>
      </c>
      <c r="S33" s="399"/>
      <c r="T33" s="1014">
        <v>522018</v>
      </c>
      <c r="U33" s="236"/>
      <c r="V33" s="236"/>
      <c r="W33" s="170">
        <f t="shared" si="3"/>
        <v>522018</v>
      </c>
      <c r="X33" s="170" t="s">
        <v>43</v>
      </c>
      <c r="Y33" s="358" t="s">
        <v>9</v>
      </c>
    </row>
    <row r="34" spans="1:25" s="403" customFormat="1" ht="24.95" customHeight="1" x14ac:dyDescent="0.2">
      <c r="A34" s="231">
        <v>580077964</v>
      </c>
      <c r="B34" s="856" t="s">
        <v>923</v>
      </c>
      <c r="C34" s="402"/>
      <c r="D34" s="399"/>
      <c r="E34" s="236">
        <v>415264</v>
      </c>
      <c r="F34" s="236"/>
      <c r="G34" s="236">
        <v>125533.55866662893</v>
      </c>
      <c r="H34" s="170">
        <f t="shared" si="0"/>
        <v>540797.5586666289</v>
      </c>
      <c r="I34" s="399"/>
      <c r="J34" s="236">
        <v>450000</v>
      </c>
      <c r="K34" s="236"/>
      <c r="L34" s="236">
        <v>147693</v>
      </c>
      <c r="M34" s="170">
        <f t="shared" si="1"/>
        <v>597693</v>
      </c>
      <c r="N34" s="399"/>
      <c r="O34" s="236">
        <v>460049</v>
      </c>
      <c r="P34" s="236"/>
      <c r="Q34" s="236">
        <v>157516</v>
      </c>
      <c r="R34" s="170">
        <f t="shared" si="2"/>
        <v>617565</v>
      </c>
      <c r="S34" s="399"/>
      <c r="T34" s="1014">
        <v>494317</v>
      </c>
      <c r="U34" s="236"/>
      <c r="V34" s="236">
        <v>194573</v>
      </c>
      <c r="W34" s="170">
        <f t="shared" si="3"/>
        <v>688890</v>
      </c>
      <c r="X34" s="170" t="s">
        <v>924</v>
      </c>
      <c r="Y34" s="402" t="s">
        <v>9</v>
      </c>
    </row>
    <row r="35" spans="1:25" s="403" customFormat="1" ht="24.95" customHeight="1" x14ac:dyDescent="0.2">
      <c r="A35" s="231">
        <v>580446128</v>
      </c>
      <c r="B35" s="856" t="s">
        <v>925</v>
      </c>
      <c r="C35" s="402"/>
      <c r="D35" s="399"/>
      <c r="E35" s="236">
        <v>80550</v>
      </c>
      <c r="F35" s="236"/>
      <c r="G35" s="236"/>
      <c r="H35" s="170">
        <f t="shared" si="0"/>
        <v>80550</v>
      </c>
      <c r="I35" s="399"/>
      <c r="J35" s="236">
        <v>82384</v>
      </c>
      <c r="K35" s="236"/>
      <c r="L35" s="236"/>
      <c r="M35" s="170">
        <f t="shared" si="1"/>
        <v>82384</v>
      </c>
      <c r="N35" s="399"/>
      <c r="O35" s="236">
        <v>148973</v>
      </c>
      <c r="P35" s="236"/>
      <c r="Q35" s="236"/>
      <c r="R35" s="170">
        <f t="shared" si="2"/>
        <v>148973</v>
      </c>
      <c r="S35" s="399"/>
      <c r="T35" s="1014">
        <v>125755</v>
      </c>
      <c r="U35" s="236"/>
      <c r="V35" s="236"/>
      <c r="W35" s="170">
        <f t="shared" si="3"/>
        <v>125755</v>
      </c>
      <c r="X35" s="170" t="s">
        <v>926</v>
      </c>
      <c r="Y35" s="402" t="s">
        <v>12</v>
      </c>
    </row>
    <row r="36" spans="1:25" s="403" customFormat="1" ht="28.5" x14ac:dyDescent="0.2">
      <c r="A36" s="231">
        <v>580213023</v>
      </c>
      <c r="B36" s="856" t="s">
        <v>927</v>
      </c>
      <c r="C36" s="402"/>
      <c r="D36" s="399"/>
      <c r="E36" s="236">
        <v>2416651</v>
      </c>
      <c r="F36" s="170">
        <v>1669812.6329457338</v>
      </c>
      <c r="G36" s="236"/>
      <c r="H36" s="170">
        <f t="shared" si="0"/>
        <v>4086463.6329457341</v>
      </c>
      <c r="I36" s="399"/>
      <c r="J36" s="236">
        <v>2352512</v>
      </c>
      <c r="K36" s="170">
        <v>1349336</v>
      </c>
      <c r="L36" s="236"/>
      <c r="M36" s="170">
        <f t="shared" si="1"/>
        <v>3701848</v>
      </c>
      <c r="N36" s="399"/>
      <c r="O36" s="236">
        <v>2518177</v>
      </c>
      <c r="P36" s="894">
        <v>1388879.2519543688</v>
      </c>
      <c r="Q36" s="236"/>
      <c r="R36" s="170">
        <f t="shared" si="2"/>
        <v>3907056.2519543688</v>
      </c>
      <c r="S36" s="399"/>
      <c r="T36" s="1014">
        <v>2663366</v>
      </c>
      <c r="U36" s="894">
        <v>1373696</v>
      </c>
      <c r="V36" s="236"/>
      <c r="W36" s="170">
        <f t="shared" si="3"/>
        <v>4037062</v>
      </c>
      <c r="X36" s="170" t="s">
        <v>53</v>
      </c>
      <c r="Y36" s="402" t="s">
        <v>53</v>
      </c>
    </row>
    <row r="37" spans="1:25" s="403" customFormat="1" ht="28.5" x14ac:dyDescent="0.2">
      <c r="A37" s="231">
        <v>580067551</v>
      </c>
      <c r="B37" s="856" t="s">
        <v>928</v>
      </c>
      <c r="C37" s="402"/>
      <c r="D37" s="399"/>
      <c r="E37" s="236">
        <v>384079</v>
      </c>
      <c r="F37" s="236"/>
      <c r="G37" s="236"/>
      <c r="H37" s="170">
        <f t="shared" si="0"/>
        <v>384079</v>
      </c>
      <c r="I37" s="399"/>
      <c r="J37" s="236">
        <f>415846+10575+59670</f>
        <v>486091</v>
      </c>
      <c r="K37" s="236"/>
      <c r="L37" s="236"/>
      <c r="M37" s="170">
        <f t="shared" si="1"/>
        <v>486091</v>
      </c>
      <c r="N37" s="399"/>
      <c r="O37" s="236">
        <v>426923</v>
      </c>
      <c r="P37" s="236"/>
      <c r="Q37" s="236"/>
      <c r="R37" s="170">
        <f t="shared" si="2"/>
        <v>426923</v>
      </c>
      <c r="S37" s="399"/>
      <c r="T37" s="1014">
        <v>412824</v>
      </c>
      <c r="U37" s="236"/>
      <c r="V37" s="236"/>
      <c r="W37" s="170">
        <f t="shared" si="3"/>
        <v>412824</v>
      </c>
      <c r="X37" s="170" t="s">
        <v>73</v>
      </c>
      <c r="Y37" s="402" t="s">
        <v>136</v>
      </c>
    </row>
    <row r="38" spans="1:25" s="405" customFormat="1" ht="45.75" customHeight="1" x14ac:dyDescent="0.2">
      <c r="A38" s="231">
        <v>580335818</v>
      </c>
      <c r="B38" s="856" t="s">
        <v>929</v>
      </c>
      <c r="C38" s="402"/>
      <c r="D38" s="399"/>
      <c r="E38" s="236">
        <v>703412</v>
      </c>
      <c r="F38" s="236"/>
      <c r="G38" s="236"/>
      <c r="H38" s="170">
        <f t="shared" si="0"/>
        <v>703412</v>
      </c>
      <c r="I38" s="399"/>
      <c r="J38" s="236">
        <v>717515</v>
      </c>
      <c r="K38" s="236"/>
      <c r="L38" s="236"/>
      <c r="M38" s="170">
        <f t="shared" si="1"/>
        <v>717515</v>
      </c>
      <c r="N38" s="399"/>
      <c r="O38" s="236">
        <v>717515</v>
      </c>
      <c r="P38" s="236"/>
      <c r="Q38" s="236"/>
      <c r="R38" s="170">
        <f t="shared" si="2"/>
        <v>717515</v>
      </c>
      <c r="S38" s="399"/>
      <c r="T38" s="1014">
        <v>670438</v>
      </c>
      <c r="U38" s="236"/>
      <c r="V38" s="236"/>
      <c r="W38" s="170">
        <f t="shared" si="3"/>
        <v>670438</v>
      </c>
      <c r="X38" s="170" t="s">
        <v>327</v>
      </c>
      <c r="Y38" s="402" t="s">
        <v>12</v>
      </c>
    </row>
    <row r="39" spans="1:25" s="405" customFormat="1" ht="26.25" customHeight="1" x14ac:dyDescent="0.2">
      <c r="A39" s="231">
        <v>580340834</v>
      </c>
      <c r="B39" s="856" t="s">
        <v>930</v>
      </c>
      <c r="C39" s="857" t="s">
        <v>2352</v>
      </c>
      <c r="D39" s="399"/>
      <c r="E39" s="236">
        <v>173646</v>
      </c>
      <c r="F39" s="236"/>
      <c r="G39" s="236">
        <v>52493</v>
      </c>
      <c r="H39" s="170">
        <f t="shared" si="0"/>
        <v>226139</v>
      </c>
      <c r="I39" s="399"/>
      <c r="J39" s="236">
        <f>202515+14625</f>
        <v>217140</v>
      </c>
      <c r="K39" s="236"/>
      <c r="L39" s="236">
        <v>61759</v>
      </c>
      <c r="M39" s="170">
        <f t="shared" si="1"/>
        <v>278899</v>
      </c>
      <c r="N39" s="399"/>
      <c r="O39" s="236">
        <v>290456</v>
      </c>
      <c r="P39" s="236"/>
      <c r="Q39" s="236">
        <v>70840</v>
      </c>
      <c r="R39" s="170">
        <f t="shared" si="2"/>
        <v>361296</v>
      </c>
      <c r="S39" s="399"/>
      <c r="T39" s="1014">
        <v>250669</v>
      </c>
      <c r="U39" s="236"/>
      <c r="V39" s="236">
        <v>86485</v>
      </c>
      <c r="W39" s="170">
        <f t="shared" si="3"/>
        <v>337154</v>
      </c>
      <c r="X39" s="170" t="s">
        <v>891</v>
      </c>
      <c r="Y39" s="402" t="s">
        <v>9</v>
      </c>
    </row>
    <row r="40" spans="1:25" s="405" customFormat="1" ht="30.75" customHeight="1" x14ac:dyDescent="0.2">
      <c r="A40" s="231">
        <v>510796527</v>
      </c>
      <c r="B40" s="856" t="s">
        <v>931</v>
      </c>
      <c r="C40" s="402"/>
      <c r="D40" s="399"/>
      <c r="E40" s="236">
        <v>190000</v>
      </c>
      <c r="F40" s="236"/>
      <c r="G40" s="236"/>
      <c r="H40" s="170">
        <f t="shared" si="0"/>
        <v>190000</v>
      </c>
      <c r="I40" s="399"/>
      <c r="J40" s="236">
        <f>215527+30713</f>
        <v>246240</v>
      </c>
      <c r="K40" s="236"/>
      <c r="L40" s="236"/>
      <c r="M40" s="170">
        <f t="shared" si="1"/>
        <v>246240</v>
      </c>
      <c r="N40" s="399"/>
      <c r="O40" s="236">
        <v>260832</v>
      </c>
      <c r="P40" s="236"/>
      <c r="Q40" s="236"/>
      <c r="R40" s="170">
        <f t="shared" si="2"/>
        <v>260832</v>
      </c>
      <c r="S40" s="399"/>
      <c r="T40" s="1014">
        <v>288066</v>
      </c>
      <c r="U40" s="236"/>
      <c r="V40" s="236"/>
      <c r="W40" s="170">
        <f t="shared" si="3"/>
        <v>288066</v>
      </c>
      <c r="X40" s="170" t="s">
        <v>706</v>
      </c>
      <c r="Y40" s="402" t="s">
        <v>12</v>
      </c>
    </row>
    <row r="41" spans="1:25" s="405" customFormat="1" ht="24.95" customHeight="1" x14ac:dyDescent="0.2">
      <c r="A41" s="231">
        <v>580036887</v>
      </c>
      <c r="B41" s="856" t="s">
        <v>932</v>
      </c>
      <c r="C41" s="402"/>
      <c r="D41" s="399"/>
      <c r="E41" s="236">
        <v>184354</v>
      </c>
      <c r="F41" s="170">
        <v>116100.20560003848</v>
      </c>
      <c r="G41" s="236"/>
      <c r="H41" s="170">
        <f t="shared" si="0"/>
        <v>300454.20560003846</v>
      </c>
      <c r="I41" s="399"/>
      <c r="J41" s="236">
        <f>182026+26250+38126</f>
        <v>246402</v>
      </c>
      <c r="K41" s="170">
        <v>102934</v>
      </c>
      <c r="L41" s="236"/>
      <c r="M41" s="170">
        <f t="shared" si="1"/>
        <v>349336</v>
      </c>
      <c r="N41" s="399"/>
      <c r="O41" s="236">
        <v>292300</v>
      </c>
      <c r="P41" s="894">
        <v>107464.75882641443</v>
      </c>
      <c r="Q41" s="236"/>
      <c r="R41" s="170">
        <f t="shared" si="2"/>
        <v>399764.75882641441</v>
      </c>
      <c r="S41" s="399"/>
      <c r="T41" s="1014">
        <v>260414</v>
      </c>
      <c r="U41" s="894">
        <v>100265</v>
      </c>
      <c r="V41" s="236"/>
      <c r="W41" s="170">
        <f t="shared" si="3"/>
        <v>360679</v>
      </c>
      <c r="X41" s="170" t="s">
        <v>53</v>
      </c>
      <c r="Y41" s="402" t="s">
        <v>53</v>
      </c>
    </row>
    <row r="42" spans="1:25" s="405" customFormat="1" ht="28.5" customHeight="1" x14ac:dyDescent="0.2">
      <c r="A42" s="231">
        <v>580082733</v>
      </c>
      <c r="B42" s="856" t="s">
        <v>933</v>
      </c>
      <c r="C42" s="402"/>
      <c r="D42" s="399"/>
      <c r="E42" s="236">
        <v>223074</v>
      </c>
      <c r="F42" s="236"/>
      <c r="G42" s="236"/>
      <c r="H42" s="170">
        <f t="shared" si="0"/>
        <v>223074</v>
      </c>
      <c r="I42" s="399"/>
      <c r="J42" s="236">
        <v>200562</v>
      </c>
      <c r="K42" s="236"/>
      <c r="L42" s="236"/>
      <c r="M42" s="170">
        <f t="shared" si="1"/>
        <v>200562</v>
      </c>
      <c r="N42" s="399"/>
      <c r="O42" s="236"/>
      <c r="P42" s="236"/>
      <c r="Q42" s="236"/>
      <c r="R42" s="170">
        <f t="shared" si="2"/>
        <v>0</v>
      </c>
      <c r="S42" s="399"/>
      <c r="T42" s="1014">
        <v>0</v>
      </c>
      <c r="U42" s="236"/>
      <c r="V42" s="236"/>
      <c r="W42" s="170">
        <f t="shared" si="3"/>
        <v>0</v>
      </c>
      <c r="X42" s="170" t="s">
        <v>408</v>
      </c>
      <c r="Y42" s="402" t="s">
        <v>136</v>
      </c>
    </row>
    <row r="43" spans="1:25" s="403" customFormat="1" ht="42.75" x14ac:dyDescent="0.2">
      <c r="A43" s="231">
        <v>511757114</v>
      </c>
      <c r="B43" s="856" t="s">
        <v>934</v>
      </c>
      <c r="C43" s="402"/>
      <c r="D43" s="399"/>
      <c r="E43" s="236">
        <v>453323</v>
      </c>
      <c r="F43" s="236"/>
      <c r="G43" s="236"/>
      <c r="H43" s="170">
        <f t="shared" si="0"/>
        <v>453323</v>
      </c>
      <c r="I43" s="399"/>
      <c r="J43" s="236">
        <f>486149+17250</f>
        <v>503399</v>
      </c>
      <c r="K43" s="236"/>
      <c r="L43" s="236"/>
      <c r="M43" s="170">
        <f t="shared" si="1"/>
        <v>503399</v>
      </c>
      <c r="N43" s="399"/>
      <c r="O43" s="236">
        <v>486149</v>
      </c>
      <c r="P43" s="236"/>
      <c r="Q43" s="236"/>
      <c r="R43" s="170">
        <f t="shared" si="2"/>
        <v>486149</v>
      </c>
      <c r="S43" s="399"/>
      <c r="T43" s="1014">
        <v>454650</v>
      </c>
      <c r="U43" s="236"/>
      <c r="V43" s="236"/>
      <c r="W43" s="170">
        <f t="shared" si="3"/>
        <v>454650</v>
      </c>
      <c r="X43" s="170" t="s">
        <v>461</v>
      </c>
      <c r="Y43" s="402" t="s">
        <v>12</v>
      </c>
    </row>
    <row r="44" spans="1:25" s="405" customFormat="1" ht="32.25" customHeight="1" x14ac:dyDescent="0.2">
      <c r="A44" s="195">
        <v>580468692</v>
      </c>
      <c r="B44" s="980" t="s">
        <v>935</v>
      </c>
      <c r="C44" s="402"/>
      <c r="D44" s="399"/>
      <c r="E44" s="236">
        <v>99798</v>
      </c>
      <c r="F44" s="236"/>
      <c r="G44" s="236">
        <v>30168.711434200584</v>
      </c>
      <c r="H44" s="170">
        <f t="shared" si="0"/>
        <v>129966.71143420058</v>
      </c>
      <c r="I44" s="399"/>
      <c r="J44" s="236">
        <f>120056+101250+37523</f>
        <v>258829</v>
      </c>
      <c r="K44" s="236"/>
      <c r="L44" s="236">
        <v>35000</v>
      </c>
      <c r="M44" s="170">
        <f t="shared" si="1"/>
        <v>293829</v>
      </c>
      <c r="N44" s="399"/>
      <c r="O44" s="236">
        <v>171389</v>
      </c>
      <c r="P44" s="236"/>
      <c r="Q44" s="236">
        <v>41979</v>
      </c>
      <c r="R44" s="170">
        <f t="shared" si="2"/>
        <v>213368</v>
      </c>
      <c r="S44" s="399"/>
      <c r="T44" s="1014">
        <v>153827</v>
      </c>
      <c r="U44" s="236"/>
      <c r="V44" s="236">
        <v>53264</v>
      </c>
      <c r="W44" s="170">
        <f t="shared" si="3"/>
        <v>207091</v>
      </c>
      <c r="X44" s="170" t="s">
        <v>936</v>
      </c>
      <c r="Y44" s="402" t="s">
        <v>9</v>
      </c>
    </row>
    <row r="45" spans="1:25" s="405" customFormat="1" ht="32.25" customHeight="1" x14ac:dyDescent="0.2">
      <c r="A45" s="111">
        <v>580002780</v>
      </c>
      <c r="B45" s="981" t="s">
        <v>937</v>
      </c>
      <c r="C45" s="164"/>
      <c r="D45" s="399"/>
      <c r="E45" s="236">
        <v>412500</v>
      </c>
      <c r="F45" s="236"/>
      <c r="G45" s="236"/>
      <c r="H45" s="170">
        <f t="shared" si="0"/>
        <v>412500</v>
      </c>
      <c r="I45" s="399"/>
      <c r="J45" s="236">
        <v>477381</v>
      </c>
      <c r="K45" s="236"/>
      <c r="L45" s="236"/>
      <c r="M45" s="170">
        <f t="shared" si="1"/>
        <v>477381</v>
      </c>
      <c r="N45" s="399"/>
      <c r="O45" s="236">
        <v>641297</v>
      </c>
      <c r="P45" s="236"/>
      <c r="Q45" s="236"/>
      <c r="R45" s="170">
        <f t="shared" si="2"/>
        <v>641297</v>
      </c>
      <c r="S45" s="399"/>
      <c r="T45" s="1014">
        <v>656710</v>
      </c>
      <c r="U45" s="236"/>
      <c r="V45" s="236"/>
      <c r="W45" s="170">
        <f t="shared" si="3"/>
        <v>656710</v>
      </c>
      <c r="X45" s="170" t="s">
        <v>309</v>
      </c>
      <c r="Y45" s="164" t="s">
        <v>12</v>
      </c>
    </row>
    <row r="46" spans="1:25" s="405" customFormat="1" ht="59.25" customHeight="1" x14ac:dyDescent="0.2">
      <c r="A46" s="111">
        <v>512287350</v>
      </c>
      <c r="B46" s="981" t="s">
        <v>2475</v>
      </c>
      <c r="C46" s="402"/>
      <c r="D46" s="399"/>
      <c r="E46" s="236">
        <f>154510+418552</f>
        <v>573062</v>
      </c>
      <c r="F46" s="236"/>
      <c r="G46" s="236"/>
      <c r="H46" s="170">
        <f t="shared" si="0"/>
        <v>573062</v>
      </c>
      <c r="I46" s="399"/>
      <c r="J46" s="236">
        <f>458793+232756+19500+25875+44465</f>
        <v>781389</v>
      </c>
      <c r="K46" s="236"/>
      <c r="L46" s="236"/>
      <c r="M46" s="170">
        <f t="shared" si="1"/>
        <v>781389</v>
      </c>
      <c r="N46" s="399"/>
      <c r="O46" s="236">
        <v>751163</v>
      </c>
      <c r="P46" s="236"/>
      <c r="Q46" s="236"/>
      <c r="R46" s="170">
        <f t="shared" si="2"/>
        <v>751163</v>
      </c>
      <c r="S46" s="399"/>
      <c r="T46" s="1014">
        <v>693998</v>
      </c>
      <c r="U46" s="236"/>
      <c r="V46" s="236"/>
      <c r="W46" s="170">
        <f t="shared" si="3"/>
        <v>693998</v>
      </c>
      <c r="X46" s="170" t="s">
        <v>426</v>
      </c>
      <c r="Y46" s="402" t="s">
        <v>136</v>
      </c>
    </row>
    <row r="47" spans="1:25" s="405" customFormat="1" ht="36" customHeight="1" x14ac:dyDescent="0.2">
      <c r="A47" s="231">
        <v>580175644</v>
      </c>
      <c r="B47" s="856" t="s">
        <v>2343</v>
      </c>
      <c r="C47" s="857" t="s">
        <v>2353</v>
      </c>
      <c r="D47" s="399"/>
      <c r="E47" s="236">
        <v>188163</v>
      </c>
      <c r="F47" s="236"/>
      <c r="G47" s="236"/>
      <c r="H47" s="170">
        <f>SUM(E47:G47)</f>
        <v>188163</v>
      </c>
      <c r="I47" s="399"/>
      <c r="J47" s="236">
        <f>198372+30750</f>
        <v>229122</v>
      </c>
      <c r="K47" s="236"/>
      <c r="L47" s="236">
        <v>54650</v>
      </c>
      <c r="M47" s="170">
        <f>SUM(J47:L47)</f>
        <v>283772</v>
      </c>
      <c r="N47" s="399"/>
      <c r="O47" s="236">
        <v>281550</v>
      </c>
      <c r="P47" s="236"/>
      <c r="Q47" s="236"/>
      <c r="R47" s="170">
        <f>SUM(O47:Q47)</f>
        <v>281550</v>
      </c>
      <c r="S47" s="399"/>
      <c r="T47" s="1014">
        <v>299487</v>
      </c>
      <c r="U47" s="236"/>
      <c r="V47" s="236"/>
      <c r="W47" s="170">
        <f>SUM(T47:V47)</f>
        <v>299487</v>
      </c>
      <c r="X47" s="170" t="s">
        <v>938</v>
      </c>
      <c r="Y47" s="402" t="s">
        <v>32</v>
      </c>
    </row>
    <row r="48" spans="1:25" s="405" customFormat="1" ht="34.5" customHeight="1" x14ac:dyDescent="0.2">
      <c r="A48" s="231" t="s">
        <v>3068</v>
      </c>
      <c r="B48" s="856" t="s">
        <v>3067</v>
      </c>
      <c r="C48" s="857"/>
      <c r="D48" s="399"/>
      <c r="E48" s="236"/>
      <c r="F48" s="236"/>
      <c r="G48" s="236"/>
      <c r="H48" s="170"/>
      <c r="I48" s="399"/>
      <c r="J48" s="236"/>
      <c r="K48" s="236"/>
      <c r="L48" s="236"/>
      <c r="M48" s="170"/>
      <c r="N48" s="399"/>
      <c r="O48" s="236">
        <v>91314</v>
      </c>
      <c r="P48" s="236"/>
      <c r="Q48" s="236"/>
      <c r="R48" s="170">
        <f>SUM(O48:Q48)</f>
        <v>91314</v>
      </c>
      <c r="S48" s="399"/>
      <c r="T48" s="1014">
        <v>134274</v>
      </c>
      <c r="U48" s="236"/>
      <c r="V48" s="236"/>
      <c r="W48" s="170">
        <f>SUM(T48:V48)</f>
        <v>134274</v>
      </c>
      <c r="X48" s="170" t="s">
        <v>1484</v>
      </c>
      <c r="Y48" s="402" t="s">
        <v>282</v>
      </c>
    </row>
    <row r="49" spans="1:25" s="405" customFormat="1" ht="34.5" customHeight="1" x14ac:dyDescent="0.2">
      <c r="A49" s="231">
        <v>510237894</v>
      </c>
      <c r="B49" s="856" t="s">
        <v>3269</v>
      </c>
      <c r="C49" s="857"/>
      <c r="D49" s="399"/>
      <c r="E49" s="236"/>
      <c r="F49" s="236"/>
      <c r="G49" s="236"/>
      <c r="H49" s="170"/>
      <c r="I49" s="399"/>
      <c r="J49" s="236"/>
      <c r="K49" s="236"/>
      <c r="L49" s="236"/>
      <c r="M49" s="170"/>
      <c r="N49" s="399"/>
      <c r="O49" s="236"/>
      <c r="P49" s="236"/>
      <c r="Q49" s="236"/>
      <c r="R49" s="170"/>
      <c r="S49" s="399"/>
      <c r="T49" s="1014">
        <v>707747</v>
      </c>
      <c r="U49" s="236"/>
      <c r="V49" s="236"/>
      <c r="W49" s="170">
        <f>SUM(T49:V49)</f>
        <v>707747</v>
      </c>
      <c r="X49" s="170" t="s">
        <v>400</v>
      </c>
      <c r="Y49" s="402" t="s">
        <v>32</v>
      </c>
    </row>
    <row r="50" spans="1:25" s="405" customFormat="1" ht="38.25" customHeight="1" x14ac:dyDescent="0.2">
      <c r="A50" s="231" t="s">
        <v>2349</v>
      </c>
      <c r="B50" s="856" t="s">
        <v>2350</v>
      </c>
      <c r="C50" s="402"/>
      <c r="D50" s="399"/>
      <c r="E50" s="236">
        <v>254489</v>
      </c>
      <c r="F50" s="236"/>
      <c r="G50" s="236"/>
      <c r="H50" s="170">
        <f>SUM(E50:G50)</f>
        <v>254489</v>
      </c>
      <c r="I50" s="399"/>
      <c r="J50" s="236">
        <v>294054</v>
      </c>
      <c r="K50" s="236"/>
      <c r="L50" s="236"/>
      <c r="M50" s="170">
        <f>SUM(J50:L50)</f>
        <v>294054</v>
      </c>
      <c r="N50" s="399"/>
      <c r="O50" s="236">
        <v>382989</v>
      </c>
      <c r="P50" s="236"/>
      <c r="Q50" s="236"/>
      <c r="R50" s="170">
        <f>SUM(O50:Q50)</f>
        <v>382989</v>
      </c>
      <c r="S50" s="399"/>
      <c r="T50" s="1014">
        <v>434725</v>
      </c>
      <c r="U50" s="236"/>
      <c r="V50" s="236"/>
      <c r="W50" s="170">
        <f>SUM(T50:V50)</f>
        <v>434725</v>
      </c>
      <c r="X50" s="170" t="s">
        <v>416</v>
      </c>
      <c r="Y50" s="358" t="s">
        <v>136</v>
      </c>
    </row>
    <row r="51" spans="1:25" s="207" customFormat="1" ht="18" x14ac:dyDescent="0.25">
      <c r="A51" s="854" t="s">
        <v>475</v>
      </c>
      <c r="B51" s="982"/>
      <c r="C51" s="408"/>
      <c r="D51" s="399"/>
      <c r="E51" s="407">
        <f>SUM(E52:E58)</f>
        <v>1475964</v>
      </c>
      <c r="F51" s="407">
        <f>SUM(F52:F58)</f>
        <v>0</v>
      </c>
      <c r="G51" s="407">
        <f>SUM(G52:G58)</f>
        <v>150326.99502436706</v>
      </c>
      <c r="H51" s="407">
        <f>SUM(H52:H58)</f>
        <v>1626290.9950243672</v>
      </c>
      <c r="I51" s="399"/>
      <c r="J51" s="407">
        <f>SUM(J52:J58)</f>
        <v>1868168</v>
      </c>
      <c r="K51" s="407">
        <f>SUM(K52:K58)</f>
        <v>0</v>
      </c>
      <c r="L51" s="407">
        <f>SUM(L52:L58)</f>
        <v>176862</v>
      </c>
      <c r="M51" s="407">
        <f>SUM(M52:M58)</f>
        <v>2045030</v>
      </c>
      <c r="N51" s="399"/>
      <c r="O51" s="407">
        <f>SUM(O52:O58)</f>
        <v>1975860</v>
      </c>
      <c r="P51" s="407">
        <f>SUM(P52:P58)</f>
        <v>0</v>
      </c>
      <c r="Q51" s="407">
        <f>SUM(Q52:Q58)</f>
        <v>197631</v>
      </c>
      <c r="R51" s="407">
        <f>SUM(R52:R58)</f>
        <v>2173491</v>
      </c>
      <c r="S51" s="399"/>
      <c r="T51" s="1015">
        <f>SUM(T52:T58)</f>
        <v>1930365</v>
      </c>
      <c r="U51" s="1015">
        <f t="shared" ref="U51:V51" si="4">SUM(U52:U58)</f>
        <v>0</v>
      </c>
      <c r="V51" s="1015">
        <f t="shared" si="4"/>
        <v>245870</v>
      </c>
      <c r="W51" s="1015">
        <f>SUM(W52:W58)</f>
        <v>2176235</v>
      </c>
      <c r="X51" s="408"/>
      <c r="Y51" s="408"/>
    </row>
    <row r="52" spans="1:25" s="403" customFormat="1" ht="36.75" customHeight="1" x14ac:dyDescent="0.2">
      <c r="A52" s="231">
        <v>500223078</v>
      </c>
      <c r="B52" s="856" t="s">
        <v>939</v>
      </c>
      <c r="C52" s="402"/>
      <c r="D52" s="399"/>
      <c r="E52" s="236">
        <v>140000</v>
      </c>
      <c r="G52" s="170">
        <v>42321.718620299922</v>
      </c>
      <c r="H52" s="170">
        <f t="shared" ref="H52:H58" si="5">SUM(E52:G52)</f>
        <v>182321.71862029991</v>
      </c>
      <c r="I52" s="399"/>
      <c r="J52" s="236">
        <v>144485</v>
      </c>
      <c r="L52" s="170">
        <v>49792</v>
      </c>
      <c r="M52" s="170">
        <f t="shared" ref="M52:M58" si="6">SUM(J52:L52)</f>
        <v>194277</v>
      </c>
      <c r="N52" s="399"/>
      <c r="O52" s="236">
        <v>183163</v>
      </c>
      <c r="Q52" s="170">
        <v>50599</v>
      </c>
      <c r="R52" s="170">
        <f t="shared" ref="R52:R58" si="7">SUM(O52:Q52)</f>
        <v>233762</v>
      </c>
      <c r="S52" s="399"/>
      <c r="T52" s="1014">
        <v>169040</v>
      </c>
      <c r="V52" s="170">
        <v>62264</v>
      </c>
      <c r="W52" s="170">
        <f t="shared" ref="W52:W58" si="8">SUM(T52:V52)</f>
        <v>231304</v>
      </c>
      <c r="X52" s="170" t="s">
        <v>940</v>
      </c>
      <c r="Y52" s="402" t="s">
        <v>9</v>
      </c>
    </row>
    <row r="53" spans="1:25" s="403" customFormat="1" ht="28.5" x14ac:dyDescent="0.2">
      <c r="A53" s="231">
        <v>500200282</v>
      </c>
      <c r="B53" s="856" t="s">
        <v>941</v>
      </c>
      <c r="C53" s="402"/>
      <c r="D53" s="399"/>
      <c r="E53" s="236"/>
      <c r="F53" s="236"/>
      <c r="G53" s="358"/>
      <c r="H53" s="170">
        <f t="shared" si="5"/>
        <v>0</v>
      </c>
      <c r="I53" s="399"/>
      <c r="J53" s="236">
        <v>34177</v>
      </c>
      <c r="K53" s="236"/>
      <c r="L53" s="358"/>
      <c r="M53" s="170">
        <f t="shared" si="6"/>
        <v>34177</v>
      </c>
      <c r="N53" s="399"/>
      <c r="O53" s="236">
        <v>50936</v>
      </c>
      <c r="P53" s="236"/>
      <c r="Q53" s="358"/>
      <c r="R53" s="170">
        <f t="shared" si="7"/>
        <v>50936</v>
      </c>
      <c r="S53" s="399"/>
      <c r="T53" s="1014">
        <v>67962</v>
      </c>
      <c r="U53" s="236"/>
      <c r="V53" s="358"/>
      <c r="W53" s="170">
        <f t="shared" si="8"/>
        <v>67962</v>
      </c>
      <c r="X53" s="170" t="s">
        <v>942</v>
      </c>
      <c r="Y53" s="402" t="s">
        <v>12</v>
      </c>
    </row>
    <row r="54" spans="1:25" s="405" customFormat="1" ht="28.5" x14ac:dyDescent="0.2">
      <c r="A54" s="231">
        <v>500279005</v>
      </c>
      <c r="B54" s="856" t="s">
        <v>943</v>
      </c>
      <c r="C54" s="402"/>
      <c r="D54" s="399"/>
      <c r="E54" s="236">
        <v>226715</v>
      </c>
      <c r="F54" s="236"/>
      <c r="G54" s="358"/>
      <c r="H54" s="170">
        <f t="shared" si="5"/>
        <v>226715</v>
      </c>
      <c r="I54" s="399"/>
      <c r="J54" s="236">
        <v>269858</v>
      </c>
      <c r="K54" s="236"/>
      <c r="L54" s="358"/>
      <c r="M54" s="170">
        <f t="shared" si="6"/>
        <v>269858</v>
      </c>
      <c r="N54" s="399"/>
      <c r="O54" s="236">
        <v>275840</v>
      </c>
      <c r="P54" s="236"/>
      <c r="Q54" s="358"/>
      <c r="R54" s="170">
        <f t="shared" si="7"/>
        <v>275840</v>
      </c>
      <c r="S54" s="399"/>
      <c r="T54" s="1014">
        <v>307527</v>
      </c>
      <c r="U54" s="236"/>
      <c r="V54" s="358"/>
      <c r="W54" s="170">
        <f t="shared" si="8"/>
        <v>307527</v>
      </c>
      <c r="X54" s="170" t="s">
        <v>944</v>
      </c>
      <c r="Y54" s="402" t="s">
        <v>136</v>
      </c>
    </row>
    <row r="55" spans="1:25" s="405" customFormat="1" ht="24.95" customHeight="1" x14ac:dyDescent="0.2">
      <c r="A55" s="231">
        <v>500279005</v>
      </c>
      <c r="B55" s="856" t="s">
        <v>945</v>
      </c>
      <c r="C55" s="404"/>
      <c r="D55" s="399"/>
      <c r="E55" s="236">
        <v>397884</v>
      </c>
      <c r="F55" s="236"/>
      <c r="G55" s="358"/>
      <c r="H55" s="170">
        <f t="shared" si="5"/>
        <v>397884</v>
      </c>
      <c r="I55" s="399"/>
      <c r="J55" s="236">
        <f>420633+36817+15000</f>
        <v>472450</v>
      </c>
      <c r="K55" s="236"/>
      <c r="L55" s="358"/>
      <c r="M55" s="170">
        <f t="shared" si="6"/>
        <v>472450</v>
      </c>
      <c r="N55" s="399"/>
      <c r="O55" s="236">
        <v>457961</v>
      </c>
      <c r="P55" s="236"/>
      <c r="Q55" s="358"/>
      <c r="R55" s="170">
        <f t="shared" si="7"/>
        <v>457961</v>
      </c>
      <c r="S55" s="399"/>
      <c r="T55" s="1014">
        <v>487063</v>
      </c>
      <c r="U55" s="236"/>
      <c r="V55" s="358"/>
      <c r="W55" s="170">
        <f t="shared" si="8"/>
        <v>487063</v>
      </c>
      <c r="X55" s="170" t="s">
        <v>944</v>
      </c>
      <c r="Y55" s="404" t="s">
        <v>136</v>
      </c>
    </row>
    <row r="56" spans="1:25" s="403" customFormat="1" ht="24.95" customHeight="1" x14ac:dyDescent="0.2">
      <c r="A56" s="231">
        <v>500221015</v>
      </c>
      <c r="B56" s="856" t="s">
        <v>947</v>
      </c>
      <c r="C56" s="402"/>
      <c r="D56" s="399"/>
      <c r="E56" s="236">
        <v>169075</v>
      </c>
      <c r="G56" s="170">
        <v>51110.932723401806</v>
      </c>
      <c r="H56" s="170">
        <f t="shared" si="5"/>
        <v>220185.93272340181</v>
      </c>
      <c r="I56" s="399"/>
      <c r="J56" s="236">
        <f>202298+22050</f>
        <v>224348</v>
      </c>
      <c r="L56" s="170">
        <v>60133</v>
      </c>
      <c r="M56" s="170">
        <f t="shared" si="6"/>
        <v>284481</v>
      </c>
      <c r="N56" s="399"/>
      <c r="O56" s="236">
        <v>242129</v>
      </c>
      <c r="Q56" s="170">
        <v>70748</v>
      </c>
      <c r="R56" s="170">
        <f t="shared" si="7"/>
        <v>312877</v>
      </c>
      <c r="S56" s="399"/>
      <c r="T56" s="1014">
        <v>209756</v>
      </c>
      <c r="V56" s="170">
        <v>88225</v>
      </c>
      <c r="W56" s="170">
        <f t="shared" si="8"/>
        <v>297981</v>
      </c>
      <c r="X56" s="170" t="s">
        <v>948</v>
      </c>
      <c r="Y56" s="402" t="s">
        <v>9</v>
      </c>
    </row>
    <row r="57" spans="1:25" s="403" customFormat="1" ht="24.95" customHeight="1" x14ac:dyDescent="0.2">
      <c r="A57" s="231">
        <v>500283007</v>
      </c>
      <c r="B57" s="856" t="s">
        <v>949</v>
      </c>
      <c r="C57" s="358"/>
      <c r="D57" s="399"/>
      <c r="E57" s="236">
        <v>354084</v>
      </c>
      <c r="G57" s="358"/>
      <c r="H57" s="170">
        <f t="shared" si="5"/>
        <v>354084</v>
      </c>
      <c r="I57" s="399"/>
      <c r="J57" s="236">
        <f>359002+53250+63750</f>
        <v>476002</v>
      </c>
      <c r="L57" s="358"/>
      <c r="M57" s="170">
        <f t="shared" si="6"/>
        <v>476002</v>
      </c>
      <c r="N57" s="399"/>
      <c r="O57" s="236">
        <v>432427</v>
      </c>
      <c r="Q57" s="358"/>
      <c r="R57" s="170">
        <f t="shared" si="7"/>
        <v>432427</v>
      </c>
      <c r="S57" s="399"/>
      <c r="T57" s="1014">
        <v>444371</v>
      </c>
      <c r="V57" s="358"/>
      <c r="W57" s="170">
        <f t="shared" si="8"/>
        <v>444371</v>
      </c>
      <c r="X57" s="170" t="s">
        <v>950</v>
      </c>
      <c r="Y57" s="358" t="s">
        <v>136</v>
      </c>
    </row>
    <row r="58" spans="1:25" ht="24" customHeight="1" x14ac:dyDescent="0.2">
      <c r="A58" s="231">
        <v>500290002</v>
      </c>
      <c r="B58" s="983" t="s">
        <v>951</v>
      </c>
      <c r="C58" s="358"/>
      <c r="E58" s="236">
        <v>188206</v>
      </c>
      <c r="G58" s="170">
        <v>56894.343680665326</v>
      </c>
      <c r="H58" s="170">
        <f t="shared" si="5"/>
        <v>245100.34368066533</v>
      </c>
      <c r="J58" s="236">
        <f>218066+28782</f>
        <v>246848</v>
      </c>
      <c r="L58" s="170">
        <v>66937</v>
      </c>
      <c r="M58" s="170">
        <f t="shared" si="6"/>
        <v>313785</v>
      </c>
      <c r="O58" s="236">
        <v>333404</v>
      </c>
      <c r="Q58" s="170">
        <v>76284</v>
      </c>
      <c r="R58" s="170">
        <f t="shared" si="7"/>
        <v>409688</v>
      </c>
      <c r="T58" s="1014">
        <v>244646</v>
      </c>
      <c r="V58" s="841">
        <v>95381</v>
      </c>
      <c r="W58" s="170">
        <f t="shared" si="8"/>
        <v>340027</v>
      </c>
      <c r="X58" s="170" t="s">
        <v>400</v>
      </c>
      <c r="Y58" s="358" t="s">
        <v>32</v>
      </c>
    </row>
    <row r="59" spans="1:25" x14ac:dyDescent="0.2">
      <c r="B59" s="241"/>
      <c r="C59" s="402"/>
      <c r="X59" s="170"/>
      <c r="Y59" s="402"/>
    </row>
    <row r="60" spans="1:25" x14ac:dyDescent="0.2">
      <c r="B60" s="241"/>
      <c r="C60" s="402"/>
      <c r="X60" s="170"/>
      <c r="Y60" s="402"/>
    </row>
    <row r="61" spans="1:25" x14ac:dyDescent="0.2">
      <c r="B61" s="241"/>
      <c r="C61" s="402"/>
      <c r="H61" s="164"/>
      <c r="M61" s="164"/>
      <c r="R61" s="164"/>
      <c r="W61" s="164"/>
      <c r="X61" s="170"/>
      <c r="Y61" s="402"/>
    </row>
    <row r="62" spans="1:25" x14ac:dyDescent="0.2">
      <c r="B62" s="241"/>
      <c r="C62" s="402"/>
      <c r="X62" s="170"/>
      <c r="Y62" s="402"/>
    </row>
    <row r="63" spans="1:25" x14ac:dyDescent="0.2">
      <c r="B63" s="241"/>
      <c r="C63" s="402"/>
      <c r="X63" s="170"/>
      <c r="Y63" s="402"/>
    </row>
    <row r="64" spans="1:25" x14ac:dyDescent="0.2">
      <c r="B64" s="241"/>
      <c r="C64" s="402"/>
      <c r="X64" s="170"/>
      <c r="Y64" s="402"/>
    </row>
    <row r="65" spans="2:25" x14ac:dyDescent="0.2">
      <c r="B65" s="241"/>
      <c r="C65" s="358"/>
      <c r="X65" s="170"/>
      <c r="Y65" s="358"/>
    </row>
    <row r="66" spans="2:25" x14ac:dyDescent="0.2">
      <c r="B66" s="241"/>
      <c r="C66" s="358"/>
      <c r="X66" s="170"/>
      <c r="Y66" s="358"/>
    </row>
    <row r="67" spans="2:25" x14ac:dyDescent="0.2">
      <c r="B67" s="241"/>
      <c r="C67" s="402"/>
      <c r="X67" s="170"/>
      <c r="Y67" s="402"/>
    </row>
    <row r="68" spans="2:25" x14ac:dyDescent="0.2">
      <c r="B68" s="241"/>
      <c r="C68" s="402"/>
      <c r="X68" s="170"/>
      <c r="Y68" s="402"/>
    </row>
    <row r="69" spans="2:25" x14ac:dyDescent="0.2">
      <c r="B69" s="241"/>
      <c r="C69" s="402"/>
      <c r="X69" s="170"/>
      <c r="Y69" s="402"/>
    </row>
    <row r="70" spans="2:25" x14ac:dyDescent="0.2">
      <c r="C70" s="402"/>
      <c r="X70" s="170"/>
      <c r="Y70" s="402"/>
    </row>
    <row r="71" spans="2:25" x14ac:dyDescent="0.2">
      <c r="C71" s="402"/>
      <c r="X71" s="170"/>
      <c r="Y71" s="402"/>
    </row>
    <row r="72" spans="2:25" x14ac:dyDescent="0.2">
      <c r="C72" s="358"/>
      <c r="X72" s="170"/>
      <c r="Y72" s="358"/>
    </row>
    <row r="73" spans="2:25" x14ac:dyDescent="0.2">
      <c r="C73" s="402"/>
      <c r="X73" s="170"/>
      <c r="Y73" s="402"/>
    </row>
    <row r="74" spans="2:25" x14ac:dyDescent="0.2">
      <c r="C74" s="402"/>
      <c r="X74" s="170"/>
      <c r="Y74" s="402"/>
    </row>
    <row r="75" spans="2:25" x14ac:dyDescent="0.2">
      <c r="C75" s="402"/>
      <c r="X75" s="170"/>
      <c r="Y75" s="402"/>
    </row>
    <row r="76" spans="2:25" x14ac:dyDescent="0.2">
      <c r="C76" s="358"/>
      <c r="X76" s="170"/>
      <c r="Y76" s="358"/>
    </row>
    <row r="77" spans="2:25" x14ac:dyDescent="0.2">
      <c r="C77" s="402"/>
      <c r="X77" s="170"/>
      <c r="Y77" s="402"/>
    </row>
    <row r="78" spans="2:25" x14ac:dyDescent="0.2">
      <c r="C78" s="402"/>
      <c r="X78" s="170"/>
      <c r="Y78" s="402"/>
    </row>
    <row r="79" spans="2:25" x14ac:dyDescent="0.2">
      <c r="C79" s="402"/>
      <c r="X79" s="170"/>
      <c r="Y79" s="402"/>
    </row>
    <row r="80" spans="2:25" x14ac:dyDescent="0.2">
      <c r="C80" s="402"/>
      <c r="X80" s="170"/>
      <c r="Y80" s="402"/>
    </row>
    <row r="81" spans="3:25" x14ac:dyDescent="0.2">
      <c r="C81" s="402"/>
      <c r="X81" s="170"/>
      <c r="Y81" s="402"/>
    </row>
    <row r="82" spans="3:25" x14ac:dyDescent="0.2">
      <c r="C82" s="402"/>
      <c r="X82" s="170"/>
      <c r="Y82" s="402"/>
    </row>
    <row r="83" spans="3:25" x14ac:dyDescent="0.2">
      <c r="C83" s="402"/>
      <c r="X83" s="170"/>
      <c r="Y83" s="402"/>
    </row>
    <row r="84" spans="3:25" x14ac:dyDescent="0.2">
      <c r="C84" s="402"/>
      <c r="X84" s="170"/>
      <c r="Y84" s="402"/>
    </row>
    <row r="85" spans="3:25" x14ac:dyDescent="0.2">
      <c r="C85" s="402"/>
      <c r="X85" s="170"/>
      <c r="Y85" s="402"/>
    </row>
    <row r="86" spans="3:25" x14ac:dyDescent="0.2">
      <c r="C86" s="402"/>
      <c r="X86" s="170"/>
      <c r="Y86" s="402"/>
    </row>
    <row r="87" spans="3:25" x14ac:dyDescent="0.2">
      <c r="C87" s="402"/>
      <c r="X87" s="170"/>
      <c r="Y87" s="402"/>
    </row>
    <row r="88" spans="3:25" x14ac:dyDescent="0.2">
      <c r="C88" s="402"/>
      <c r="X88" s="170"/>
      <c r="Y88" s="402"/>
    </row>
    <row r="89" spans="3:25" ht="15" x14ac:dyDescent="0.2">
      <c r="C89" s="369"/>
      <c r="X89" s="370"/>
      <c r="Y89" s="369"/>
    </row>
    <row r="90" spans="3:25" x14ac:dyDescent="0.2">
      <c r="C90" s="402"/>
      <c r="X90" s="170"/>
      <c r="Y90" s="402"/>
    </row>
    <row r="91" spans="3:25" x14ac:dyDescent="0.2">
      <c r="C91" s="402"/>
      <c r="X91" s="170"/>
      <c r="Y91" s="402"/>
    </row>
    <row r="92" spans="3:25" x14ac:dyDescent="0.2">
      <c r="C92" s="402"/>
      <c r="X92" s="170"/>
      <c r="Y92" s="402"/>
    </row>
    <row r="93" spans="3:25" x14ac:dyDescent="0.2">
      <c r="C93" s="402"/>
      <c r="X93" s="170"/>
      <c r="Y93" s="402"/>
    </row>
    <row r="94" spans="3:25" x14ac:dyDescent="0.2">
      <c r="C94" s="402"/>
      <c r="X94" s="170"/>
      <c r="Y94" s="402"/>
    </row>
    <row r="95" spans="3:25" x14ac:dyDescent="0.2">
      <c r="C95" s="402"/>
      <c r="X95" s="170"/>
      <c r="Y95" s="402"/>
    </row>
    <row r="96" spans="3:25" x14ac:dyDescent="0.2">
      <c r="C96" s="402"/>
      <c r="X96" s="170"/>
      <c r="Y96" s="402"/>
    </row>
    <row r="97" spans="3:25" x14ac:dyDescent="0.2">
      <c r="C97" s="402"/>
      <c r="X97" s="170"/>
      <c r="Y97" s="402"/>
    </row>
    <row r="98" spans="3:25" x14ac:dyDescent="0.2">
      <c r="C98" s="402"/>
      <c r="X98" s="170"/>
      <c r="Y98" s="402"/>
    </row>
    <row r="99" spans="3:25" x14ac:dyDescent="0.2">
      <c r="C99" s="402"/>
      <c r="X99" s="170"/>
      <c r="Y99" s="402"/>
    </row>
    <row r="100" spans="3:25" x14ac:dyDescent="0.2">
      <c r="C100" s="402"/>
      <c r="X100" s="170"/>
      <c r="Y100" s="402"/>
    </row>
    <row r="101" spans="3:25" x14ac:dyDescent="0.2">
      <c r="C101" s="402"/>
      <c r="X101" s="170"/>
      <c r="Y101" s="402"/>
    </row>
    <row r="102" spans="3:25" x14ac:dyDescent="0.2">
      <c r="C102" s="402"/>
      <c r="X102" s="170"/>
      <c r="Y102" s="402"/>
    </row>
  </sheetData>
  <mergeCells count="4">
    <mergeCell ref="E1:H1"/>
    <mergeCell ref="J1:M1"/>
    <mergeCell ref="O1:R1"/>
    <mergeCell ref="T1:W1"/>
  </mergeCells>
  <pageMargins left="0" right="0.15748031496062992" top="1.1023622047244095" bottom="0.39370078740157483" header="0.74803149606299213" footer="0.19685039370078741"/>
  <pageSetup paperSize="9" scale="61" fitToHeight="3" orientation="landscape" r:id="rId1"/>
  <headerFooter alignWithMargins="0">
    <oddHeader>&amp;L&amp;D&amp;C&amp;"Arial,מודגש"מינהל התרבות
&amp;11תקציב על שינויו 2016-2019 בש"ח בהתאם להחלטת ועדת התמיכות&amp;R&amp;"Arial,מודגש"&amp;14תקנה 42-02-18 - מוזיאונים</oddHeader>
    <oddFooter>&amp;L&amp;F&amp;C&amp;P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A1:AD75"/>
  <sheetViews>
    <sheetView rightToLeft="1" zoomScale="90" zoomScaleNormal="90" workbookViewId="0">
      <pane xSplit="2" ySplit="3" topLeftCell="M4" activePane="bottomRight" state="frozen"/>
      <selection activeCell="S19" sqref="S19"/>
      <selection pane="topRight" activeCell="S19" sqref="S19"/>
      <selection pane="bottomLeft" activeCell="S19" sqref="S19"/>
      <selection pane="bottomRight" activeCell="AB1" sqref="AB1:AC1048576"/>
    </sheetView>
  </sheetViews>
  <sheetFormatPr defaultRowHeight="12.75" x14ac:dyDescent="0.2"/>
  <cols>
    <col min="1" max="1" width="11.140625" style="342" bestFit="1" customWidth="1"/>
    <col min="2" max="2" width="31.28515625" style="154" customWidth="1"/>
    <col min="3" max="3" width="0.7109375" style="344" customWidth="1"/>
    <col min="4" max="4" width="11.28515625" style="163" bestFit="1" customWidth="1"/>
    <col min="5" max="7" width="11.140625" style="163" customWidth="1"/>
    <col min="8" max="8" width="0.85546875" style="344" customWidth="1"/>
    <col min="9" max="9" width="12.5703125" style="163" bestFit="1" customWidth="1"/>
    <col min="10" max="14" width="11.140625" style="163" customWidth="1"/>
    <col min="15" max="15" width="0.85546875" style="344" customWidth="1"/>
    <col min="16" max="16" width="12.5703125" style="163" bestFit="1" customWidth="1"/>
    <col min="17" max="20" width="11.140625" style="163" customWidth="1"/>
    <col min="21" max="21" width="0.85546875" style="344" customWidth="1"/>
    <col min="22" max="22" width="12.5703125" style="163" bestFit="1" customWidth="1"/>
    <col min="23" max="25" width="11.140625" style="163" customWidth="1"/>
    <col min="26" max="26" width="10.28515625" style="163" customWidth="1"/>
    <col min="27" max="27" width="11.140625" style="163" customWidth="1"/>
    <col min="28" max="29" width="11.28515625" style="163" hidden="1" customWidth="1"/>
    <col min="30" max="30" width="11" style="163" bestFit="1" customWidth="1"/>
    <col min="31" max="255" width="9.140625" style="163"/>
    <col min="256" max="256" width="14.140625" style="163" bestFit="1" customWidth="1"/>
    <col min="257" max="257" width="31.28515625" style="163" customWidth="1"/>
    <col min="258" max="258" width="0.85546875" style="163" customWidth="1"/>
    <col min="259" max="259" width="11.28515625" style="163" bestFit="1" customWidth="1"/>
    <col min="260" max="262" width="11.140625" style="163" customWidth="1"/>
    <col min="263" max="263" width="9.85546875" style="163" customWidth="1"/>
    <col min="264" max="265" width="11.140625" style="163" customWidth="1"/>
    <col min="266" max="266" width="0.85546875" style="163" customWidth="1"/>
    <col min="267" max="267" width="11.28515625" style="163" bestFit="1" customWidth="1"/>
    <col min="268" max="269" width="11.140625" style="163" customWidth="1"/>
    <col min="270" max="270" width="9.85546875" style="163" customWidth="1"/>
    <col min="271" max="271" width="11.140625" style="163" customWidth="1"/>
    <col min="272" max="272" width="0.85546875" style="163" customWidth="1"/>
    <col min="273" max="273" width="11.28515625" style="163" bestFit="1" customWidth="1"/>
    <col min="274" max="275" width="11.140625" style="163" customWidth="1"/>
    <col min="276" max="276" width="9.85546875" style="163" customWidth="1"/>
    <col min="277" max="277" width="11.140625" style="163" customWidth="1"/>
    <col min="278" max="278" width="0.85546875" style="163" customWidth="1"/>
    <col min="279" max="279" width="11.28515625" style="163" bestFit="1" customWidth="1"/>
    <col min="280" max="281" width="11.140625" style="163" customWidth="1"/>
    <col min="282" max="282" width="9.85546875" style="163" customWidth="1"/>
    <col min="283" max="283" width="11.140625" style="163" customWidth="1"/>
    <col min="284" max="285" width="11.28515625" style="163" bestFit="1" customWidth="1"/>
    <col min="286" max="286" width="11" style="163" bestFit="1" customWidth="1"/>
    <col min="287" max="511" width="9.140625" style="163"/>
    <col min="512" max="512" width="14.140625" style="163" bestFit="1" customWidth="1"/>
    <col min="513" max="513" width="31.28515625" style="163" customWidth="1"/>
    <col min="514" max="514" width="0.85546875" style="163" customWidth="1"/>
    <col min="515" max="515" width="11.28515625" style="163" bestFit="1" customWidth="1"/>
    <col min="516" max="518" width="11.140625" style="163" customWidth="1"/>
    <col min="519" max="519" width="9.85546875" style="163" customWidth="1"/>
    <col min="520" max="521" width="11.140625" style="163" customWidth="1"/>
    <col min="522" max="522" width="0.85546875" style="163" customWidth="1"/>
    <col min="523" max="523" width="11.28515625" style="163" bestFit="1" customWidth="1"/>
    <col min="524" max="525" width="11.140625" style="163" customWidth="1"/>
    <col min="526" max="526" width="9.85546875" style="163" customWidth="1"/>
    <col min="527" max="527" width="11.140625" style="163" customWidth="1"/>
    <col min="528" max="528" width="0.85546875" style="163" customWidth="1"/>
    <col min="529" max="529" width="11.28515625" style="163" bestFit="1" customWidth="1"/>
    <col min="530" max="531" width="11.140625" style="163" customWidth="1"/>
    <col min="532" max="532" width="9.85546875" style="163" customWidth="1"/>
    <col min="533" max="533" width="11.140625" style="163" customWidth="1"/>
    <col min="534" max="534" width="0.85546875" style="163" customWidth="1"/>
    <col min="535" max="535" width="11.28515625" style="163" bestFit="1" customWidth="1"/>
    <col min="536" max="537" width="11.140625" style="163" customWidth="1"/>
    <col min="538" max="538" width="9.85546875" style="163" customWidth="1"/>
    <col min="539" max="539" width="11.140625" style="163" customWidth="1"/>
    <col min="540" max="541" width="11.28515625" style="163" bestFit="1" customWidth="1"/>
    <col min="542" max="542" width="11" style="163" bestFit="1" customWidth="1"/>
    <col min="543" max="767" width="9.140625" style="163"/>
    <col min="768" max="768" width="14.140625" style="163" bestFit="1" customWidth="1"/>
    <col min="769" max="769" width="31.28515625" style="163" customWidth="1"/>
    <col min="770" max="770" width="0.85546875" style="163" customWidth="1"/>
    <col min="771" max="771" width="11.28515625" style="163" bestFit="1" customWidth="1"/>
    <col min="772" max="774" width="11.140625" style="163" customWidth="1"/>
    <col min="775" max="775" width="9.85546875" style="163" customWidth="1"/>
    <col min="776" max="777" width="11.140625" style="163" customWidth="1"/>
    <col min="778" max="778" width="0.85546875" style="163" customWidth="1"/>
    <col min="779" max="779" width="11.28515625" style="163" bestFit="1" customWidth="1"/>
    <col min="780" max="781" width="11.140625" style="163" customWidth="1"/>
    <col min="782" max="782" width="9.85546875" style="163" customWidth="1"/>
    <col min="783" max="783" width="11.140625" style="163" customWidth="1"/>
    <col min="784" max="784" width="0.85546875" style="163" customWidth="1"/>
    <col min="785" max="785" width="11.28515625" style="163" bestFit="1" customWidth="1"/>
    <col min="786" max="787" width="11.140625" style="163" customWidth="1"/>
    <col min="788" max="788" width="9.85546875" style="163" customWidth="1"/>
    <col min="789" max="789" width="11.140625" style="163" customWidth="1"/>
    <col min="790" max="790" width="0.85546875" style="163" customWidth="1"/>
    <col min="791" max="791" width="11.28515625" style="163" bestFit="1" customWidth="1"/>
    <col min="792" max="793" width="11.140625" style="163" customWidth="1"/>
    <col min="794" max="794" width="9.85546875" style="163" customWidth="1"/>
    <col min="795" max="795" width="11.140625" style="163" customWidth="1"/>
    <col min="796" max="797" width="11.28515625" style="163" bestFit="1" customWidth="1"/>
    <col min="798" max="798" width="11" style="163" bestFit="1" customWidth="1"/>
    <col min="799" max="1023" width="9.140625" style="163"/>
    <col min="1024" max="1024" width="14.140625" style="163" bestFit="1" customWidth="1"/>
    <col min="1025" max="1025" width="31.28515625" style="163" customWidth="1"/>
    <col min="1026" max="1026" width="0.85546875" style="163" customWidth="1"/>
    <col min="1027" max="1027" width="11.28515625" style="163" bestFit="1" customWidth="1"/>
    <col min="1028" max="1030" width="11.140625" style="163" customWidth="1"/>
    <col min="1031" max="1031" width="9.85546875" style="163" customWidth="1"/>
    <col min="1032" max="1033" width="11.140625" style="163" customWidth="1"/>
    <col min="1034" max="1034" width="0.85546875" style="163" customWidth="1"/>
    <col min="1035" max="1035" width="11.28515625" style="163" bestFit="1" customWidth="1"/>
    <col min="1036" max="1037" width="11.140625" style="163" customWidth="1"/>
    <col min="1038" max="1038" width="9.85546875" style="163" customWidth="1"/>
    <col min="1039" max="1039" width="11.140625" style="163" customWidth="1"/>
    <col min="1040" max="1040" width="0.85546875" style="163" customWidth="1"/>
    <col min="1041" max="1041" width="11.28515625" style="163" bestFit="1" customWidth="1"/>
    <col min="1042" max="1043" width="11.140625" style="163" customWidth="1"/>
    <col min="1044" max="1044" width="9.85546875" style="163" customWidth="1"/>
    <col min="1045" max="1045" width="11.140625" style="163" customWidth="1"/>
    <col min="1046" max="1046" width="0.85546875" style="163" customWidth="1"/>
    <col min="1047" max="1047" width="11.28515625" style="163" bestFit="1" customWidth="1"/>
    <col min="1048" max="1049" width="11.140625" style="163" customWidth="1"/>
    <col min="1050" max="1050" width="9.85546875" style="163" customWidth="1"/>
    <col min="1051" max="1051" width="11.140625" style="163" customWidth="1"/>
    <col min="1052" max="1053" width="11.28515625" style="163" bestFit="1" customWidth="1"/>
    <col min="1054" max="1054" width="11" style="163" bestFit="1" customWidth="1"/>
    <col min="1055" max="1279" width="9.140625" style="163"/>
    <col min="1280" max="1280" width="14.140625" style="163" bestFit="1" customWidth="1"/>
    <col min="1281" max="1281" width="31.28515625" style="163" customWidth="1"/>
    <col min="1282" max="1282" width="0.85546875" style="163" customWidth="1"/>
    <col min="1283" max="1283" width="11.28515625" style="163" bestFit="1" customWidth="1"/>
    <col min="1284" max="1286" width="11.140625" style="163" customWidth="1"/>
    <col min="1287" max="1287" width="9.85546875" style="163" customWidth="1"/>
    <col min="1288" max="1289" width="11.140625" style="163" customWidth="1"/>
    <col min="1290" max="1290" width="0.85546875" style="163" customWidth="1"/>
    <col min="1291" max="1291" width="11.28515625" style="163" bestFit="1" customWidth="1"/>
    <col min="1292" max="1293" width="11.140625" style="163" customWidth="1"/>
    <col min="1294" max="1294" width="9.85546875" style="163" customWidth="1"/>
    <col min="1295" max="1295" width="11.140625" style="163" customWidth="1"/>
    <col min="1296" max="1296" width="0.85546875" style="163" customWidth="1"/>
    <col min="1297" max="1297" width="11.28515625" style="163" bestFit="1" customWidth="1"/>
    <col min="1298" max="1299" width="11.140625" style="163" customWidth="1"/>
    <col min="1300" max="1300" width="9.85546875" style="163" customWidth="1"/>
    <col min="1301" max="1301" width="11.140625" style="163" customWidth="1"/>
    <col min="1302" max="1302" width="0.85546875" style="163" customWidth="1"/>
    <col min="1303" max="1303" width="11.28515625" style="163" bestFit="1" customWidth="1"/>
    <col min="1304" max="1305" width="11.140625" style="163" customWidth="1"/>
    <col min="1306" max="1306" width="9.85546875" style="163" customWidth="1"/>
    <col min="1307" max="1307" width="11.140625" style="163" customWidth="1"/>
    <col min="1308" max="1309" width="11.28515625" style="163" bestFit="1" customWidth="1"/>
    <col min="1310" max="1310" width="11" style="163" bestFit="1" customWidth="1"/>
    <col min="1311" max="1535" width="9.140625" style="163"/>
    <col min="1536" max="1536" width="14.140625" style="163" bestFit="1" customWidth="1"/>
    <col min="1537" max="1537" width="31.28515625" style="163" customWidth="1"/>
    <col min="1538" max="1538" width="0.85546875" style="163" customWidth="1"/>
    <col min="1539" max="1539" width="11.28515625" style="163" bestFit="1" customWidth="1"/>
    <col min="1540" max="1542" width="11.140625" style="163" customWidth="1"/>
    <col min="1543" max="1543" width="9.85546875" style="163" customWidth="1"/>
    <col min="1544" max="1545" width="11.140625" style="163" customWidth="1"/>
    <col min="1546" max="1546" width="0.85546875" style="163" customWidth="1"/>
    <col min="1547" max="1547" width="11.28515625" style="163" bestFit="1" customWidth="1"/>
    <col min="1548" max="1549" width="11.140625" style="163" customWidth="1"/>
    <col min="1550" max="1550" width="9.85546875" style="163" customWidth="1"/>
    <col min="1551" max="1551" width="11.140625" style="163" customWidth="1"/>
    <col min="1552" max="1552" width="0.85546875" style="163" customWidth="1"/>
    <col min="1553" max="1553" width="11.28515625" style="163" bestFit="1" customWidth="1"/>
    <col min="1554" max="1555" width="11.140625" style="163" customWidth="1"/>
    <col min="1556" max="1556" width="9.85546875" style="163" customWidth="1"/>
    <col min="1557" max="1557" width="11.140625" style="163" customWidth="1"/>
    <col min="1558" max="1558" width="0.85546875" style="163" customWidth="1"/>
    <col min="1559" max="1559" width="11.28515625" style="163" bestFit="1" customWidth="1"/>
    <col min="1560" max="1561" width="11.140625" style="163" customWidth="1"/>
    <col min="1562" max="1562" width="9.85546875" style="163" customWidth="1"/>
    <col min="1563" max="1563" width="11.140625" style="163" customWidth="1"/>
    <col min="1564" max="1565" width="11.28515625" style="163" bestFit="1" customWidth="1"/>
    <col min="1566" max="1566" width="11" style="163" bestFit="1" customWidth="1"/>
    <col min="1567" max="1791" width="9.140625" style="163"/>
    <col min="1792" max="1792" width="14.140625" style="163" bestFit="1" customWidth="1"/>
    <col min="1793" max="1793" width="31.28515625" style="163" customWidth="1"/>
    <col min="1794" max="1794" width="0.85546875" style="163" customWidth="1"/>
    <col min="1795" max="1795" width="11.28515625" style="163" bestFit="1" customWidth="1"/>
    <col min="1796" max="1798" width="11.140625" style="163" customWidth="1"/>
    <col min="1799" max="1799" width="9.85546875" style="163" customWidth="1"/>
    <col min="1800" max="1801" width="11.140625" style="163" customWidth="1"/>
    <col min="1802" max="1802" width="0.85546875" style="163" customWidth="1"/>
    <col min="1803" max="1803" width="11.28515625" style="163" bestFit="1" customWidth="1"/>
    <col min="1804" max="1805" width="11.140625" style="163" customWidth="1"/>
    <col min="1806" max="1806" width="9.85546875" style="163" customWidth="1"/>
    <col min="1807" max="1807" width="11.140625" style="163" customWidth="1"/>
    <col min="1808" max="1808" width="0.85546875" style="163" customWidth="1"/>
    <col min="1809" max="1809" width="11.28515625" style="163" bestFit="1" customWidth="1"/>
    <col min="1810" max="1811" width="11.140625" style="163" customWidth="1"/>
    <col min="1812" max="1812" width="9.85546875" style="163" customWidth="1"/>
    <col min="1813" max="1813" width="11.140625" style="163" customWidth="1"/>
    <col min="1814" max="1814" width="0.85546875" style="163" customWidth="1"/>
    <col min="1815" max="1815" width="11.28515625" style="163" bestFit="1" customWidth="1"/>
    <col min="1816" max="1817" width="11.140625" style="163" customWidth="1"/>
    <col min="1818" max="1818" width="9.85546875" style="163" customWidth="1"/>
    <col min="1819" max="1819" width="11.140625" style="163" customWidth="1"/>
    <col min="1820" max="1821" width="11.28515625" style="163" bestFit="1" customWidth="1"/>
    <col min="1822" max="1822" width="11" style="163" bestFit="1" customWidth="1"/>
    <col min="1823" max="2047" width="9.140625" style="163"/>
    <col min="2048" max="2048" width="14.140625" style="163" bestFit="1" customWidth="1"/>
    <col min="2049" max="2049" width="31.28515625" style="163" customWidth="1"/>
    <col min="2050" max="2050" width="0.85546875" style="163" customWidth="1"/>
    <col min="2051" max="2051" width="11.28515625" style="163" bestFit="1" customWidth="1"/>
    <col min="2052" max="2054" width="11.140625" style="163" customWidth="1"/>
    <col min="2055" max="2055" width="9.85546875" style="163" customWidth="1"/>
    <col min="2056" max="2057" width="11.140625" style="163" customWidth="1"/>
    <col min="2058" max="2058" width="0.85546875" style="163" customWidth="1"/>
    <col min="2059" max="2059" width="11.28515625" style="163" bestFit="1" customWidth="1"/>
    <col min="2060" max="2061" width="11.140625" style="163" customWidth="1"/>
    <col min="2062" max="2062" width="9.85546875" style="163" customWidth="1"/>
    <col min="2063" max="2063" width="11.140625" style="163" customWidth="1"/>
    <col min="2064" max="2064" width="0.85546875" style="163" customWidth="1"/>
    <col min="2065" max="2065" width="11.28515625" style="163" bestFit="1" customWidth="1"/>
    <col min="2066" max="2067" width="11.140625" style="163" customWidth="1"/>
    <col min="2068" max="2068" width="9.85546875" style="163" customWidth="1"/>
    <col min="2069" max="2069" width="11.140625" style="163" customWidth="1"/>
    <col min="2070" max="2070" width="0.85546875" style="163" customWidth="1"/>
    <col min="2071" max="2071" width="11.28515625" style="163" bestFit="1" customWidth="1"/>
    <col min="2072" max="2073" width="11.140625" style="163" customWidth="1"/>
    <col min="2074" max="2074" width="9.85546875" style="163" customWidth="1"/>
    <col min="2075" max="2075" width="11.140625" style="163" customWidth="1"/>
    <col min="2076" max="2077" width="11.28515625" style="163" bestFit="1" customWidth="1"/>
    <col min="2078" max="2078" width="11" style="163" bestFit="1" customWidth="1"/>
    <col min="2079" max="2303" width="9.140625" style="163"/>
    <col min="2304" max="2304" width="14.140625" style="163" bestFit="1" customWidth="1"/>
    <col min="2305" max="2305" width="31.28515625" style="163" customWidth="1"/>
    <col min="2306" max="2306" width="0.85546875" style="163" customWidth="1"/>
    <col min="2307" max="2307" width="11.28515625" style="163" bestFit="1" customWidth="1"/>
    <col min="2308" max="2310" width="11.140625" style="163" customWidth="1"/>
    <col min="2311" max="2311" width="9.85546875" style="163" customWidth="1"/>
    <col min="2312" max="2313" width="11.140625" style="163" customWidth="1"/>
    <col min="2314" max="2314" width="0.85546875" style="163" customWidth="1"/>
    <col min="2315" max="2315" width="11.28515625" style="163" bestFit="1" customWidth="1"/>
    <col min="2316" max="2317" width="11.140625" style="163" customWidth="1"/>
    <col min="2318" max="2318" width="9.85546875" style="163" customWidth="1"/>
    <col min="2319" max="2319" width="11.140625" style="163" customWidth="1"/>
    <col min="2320" max="2320" width="0.85546875" style="163" customWidth="1"/>
    <col min="2321" max="2321" width="11.28515625" style="163" bestFit="1" customWidth="1"/>
    <col min="2322" max="2323" width="11.140625" style="163" customWidth="1"/>
    <col min="2324" max="2324" width="9.85546875" style="163" customWidth="1"/>
    <col min="2325" max="2325" width="11.140625" style="163" customWidth="1"/>
    <col min="2326" max="2326" width="0.85546875" style="163" customWidth="1"/>
    <col min="2327" max="2327" width="11.28515625" style="163" bestFit="1" customWidth="1"/>
    <col min="2328" max="2329" width="11.140625" style="163" customWidth="1"/>
    <col min="2330" max="2330" width="9.85546875" style="163" customWidth="1"/>
    <col min="2331" max="2331" width="11.140625" style="163" customWidth="1"/>
    <col min="2332" max="2333" width="11.28515625" style="163" bestFit="1" customWidth="1"/>
    <col min="2334" max="2334" width="11" style="163" bestFit="1" customWidth="1"/>
    <col min="2335" max="2559" width="9.140625" style="163"/>
    <col min="2560" max="2560" width="14.140625" style="163" bestFit="1" customWidth="1"/>
    <col min="2561" max="2561" width="31.28515625" style="163" customWidth="1"/>
    <col min="2562" max="2562" width="0.85546875" style="163" customWidth="1"/>
    <col min="2563" max="2563" width="11.28515625" style="163" bestFit="1" customWidth="1"/>
    <col min="2564" max="2566" width="11.140625" style="163" customWidth="1"/>
    <col min="2567" max="2567" width="9.85546875" style="163" customWidth="1"/>
    <col min="2568" max="2569" width="11.140625" style="163" customWidth="1"/>
    <col min="2570" max="2570" width="0.85546875" style="163" customWidth="1"/>
    <col min="2571" max="2571" width="11.28515625" style="163" bestFit="1" customWidth="1"/>
    <col min="2572" max="2573" width="11.140625" style="163" customWidth="1"/>
    <col min="2574" max="2574" width="9.85546875" style="163" customWidth="1"/>
    <col min="2575" max="2575" width="11.140625" style="163" customWidth="1"/>
    <col min="2576" max="2576" width="0.85546875" style="163" customWidth="1"/>
    <col min="2577" max="2577" width="11.28515625" style="163" bestFit="1" customWidth="1"/>
    <col min="2578" max="2579" width="11.140625" style="163" customWidth="1"/>
    <col min="2580" max="2580" width="9.85546875" style="163" customWidth="1"/>
    <col min="2581" max="2581" width="11.140625" style="163" customWidth="1"/>
    <col min="2582" max="2582" width="0.85546875" style="163" customWidth="1"/>
    <col min="2583" max="2583" width="11.28515625" style="163" bestFit="1" customWidth="1"/>
    <col min="2584" max="2585" width="11.140625" style="163" customWidth="1"/>
    <col min="2586" max="2586" width="9.85546875" style="163" customWidth="1"/>
    <col min="2587" max="2587" width="11.140625" style="163" customWidth="1"/>
    <col min="2588" max="2589" width="11.28515625" style="163" bestFit="1" customWidth="1"/>
    <col min="2590" max="2590" width="11" style="163" bestFit="1" customWidth="1"/>
    <col min="2591" max="2815" width="9.140625" style="163"/>
    <col min="2816" max="2816" width="14.140625" style="163" bestFit="1" customWidth="1"/>
    <col min="2817" max="2817" width="31.28515625" style="163" customWidth="1"/>
    <col min="2818" max="2818" width="0.85546875" style="163" customWidth="1"/>
    <col min="2819" max="2819" width="11.28515625" style="163" bestFit="1" customWidth="1"/>
    <col min="2820" max="2822" width="11.140625" style="163" customWidth="1"/>
    <col min="2823" max="2823" width="9.85546875" style="163" customWidth="1"/>
    <col min="2824" max="2825" width="11.140625" style="163" customWidth="1"/>
    <col min="2826" max="2826" width="0.85546875" style="163" customWidth="1"/>
    <col min="2827" max="2827" width="11.28515625" style="163" bestFit="1" customWidth="1"/>
    <col min="2828" max="2829" width="11.140625" style="163" customWidth="1"/>
    <col min="2830" max="2830" width="9.85546875" style="163" customWidth="1"/>
    <col min="2831" max="2831" width="11.140625" style="163" customWidth="1"/>
    <col min="2832" max="2832" width="0.85546875" style="163" customWidth="1"/>
    <col min="2833" max="2833" width="11.28515625" style="163" bestFit="1" customWidth="1"/>
    <col min="2834" max="2835" width="11.140625" style="163" customWidth="1"/>
    <col min="2836" max="2836" width="9.85546875" style="163" customWidth="1"/>
    <col min="2837" max="2837" width="11.140625" style="163" customWidth="1"/>
    <col min="2838" max="2838" width="0.85546875" style="163" customWidth="1"/>
    <col min="2839" max="2839" width="11.28515625" style="163" bestFit="1" customWidth="1"/>
    <col min="2840" max="2841" width="11.140625" style="163" customWidth="1"/>
    <col min="2842" max="2842" width="9.85546875" style="163" customWidth="1"/>
    <col min="2843" max="2843" width="11.140625" style="163" customWidth="1"/>
    <col min="2844" max="2845" width="11.28515625" style="163" bestFit="1" customWidth="1"/>
    <col min="2846" max="2846" width="11" style="163" bestFit="1" customWidth="1"/>
    <col min="2847" max="3071" width="9.140625" style="163"/>
    <col min="3072" max="3072" width="14.140625" style="163" bestFit="1" customWidth="1"/>
    <col min="3073" max="3073" width="31.28515625" style="163" customWidth="1"/>
    <col min="3074" max="3074" width="0.85546875" style="163" customWidth="1"/>
    <col min="3075" max="3075" width="11.28515625" style="163" bestFit="1" customWidth="1"/>
    <col min="3076" max="3078" width="11.140625" style="163" customWidth="1"/>
    <col min="3079" max="3079" width="9.85546875" style="163" customWidth="1"/>
    <col min="3080" max="3081" width="11.140625" style="163" customWidth="1"/>
    <col min="3082" max="3082" width="0.85546875" style="163" customWidth="1"/>
    <col min="3083" max="3083" width="11.28515625" style="163" bestFit="1" customWidth="1"/>
    <col min="3084" max="3085" width="11.140625" style="163" customWidth="1"/>
    <col min="3086" max="3086" width="9.85546875" style="163" customWidth="1"/>
    <col min="3087" max="3087" width="11.140625" style="163" customWidth="1"/>
    <col min="3088" max="3088" width="0.85546875" style="163" customWidth="1"/>
    <col min="3089" max="3089" width="11.28515625" style="163" bestFit="1" customWidth="1"/>
    <col min="3090" max="3091" width="11.140625" style="163" customWidth="1"/>
    <col min="3092" max="3092" width="9.85546875" style="163" customWidth="1"/>
    <col min="3093" max="3093" width="11.140625" style="163" customWidth="1"/>
    <col min="3094" max="3094" width="0.85546875" style="163" customWidth="1"/>
    <col min="3095" max="3095" width="11.28515625" style="163" bestFit="1" customWidth="1"/>
    <col min="3096" max="3097" width="11.140625" style="163" customWidth="1"/>
    <col min="3098" max="3098" width="9.85546875" style="163" customWidth="1"/>
    <col min="3099" max="3099" width="11.140625" style="163" customWidth="1"/>
    <col min="3100" max="3101" width="11.28515625" style="163" bestFit="1" customWidth="1"/>
    <col min="3102" max="3102" width="11" style="163" bestFit="1" customWidth="1"/>
    <col min="3103" max="3327" width="9.140625" style="163"/>
    <col min="3328" max="3328" width="14.140625" style="163" bestFit="1" customWidth="1"/>
    <col min="3329" max="3329" width="31.28515625" style="163" customWidth="1"/>
    <col min="3330" max="3330" width="0.85546875" style="163" customWidth="1"/>
    <col min="3331" max="3331" width="11.28515625" style="163" bestFit="1" customWidth="1"/>
    <col min="3332" max="3334" width="11.140625" style="163" customWidth="1"/>
    <col min="3335" max="3335" width="9.85546875" style="163" customWidth="1"/>
    <col min="3336" max="3337" width="11.140625" style="163" customWidth="1"/>
    <col min="3338" max="3338" width="0.85546875" style="163" customWidth="1"/>
    <col min="3339" max="3339" width="11.28515625" style="163" bestFit="1" customWidth="1"/>
    <col min="3340" max="3341" width="11.140625" style="163" customWidth="1"/>
    <col min="3342" max="3342" width="9.85546875" style="163" customWidth="1"/>
    <col min="3343" max="3343" width="11.140625" style="163" customWidth="1"/>
    <col min="3344" max="3344" width="0.85546875" style="163" customWidth="1"/>
    <col min="3345" max="3345" width="11.28515625" style="163" bestFit="1" customWidth="1"/>
    <col min="3346" max="3347" width="11.140625" style="163" customWidth="1"/>
    <col min="3348" max="3348" width="9.85546875" style="163" customWidth="1"/>
    <col min="3349" max="3349" width="11.140625" style="163" customWidth="1"/>
    <col min="3350" max="3350" width="0.85546875" style="163" customWidth="1"/>
    <col min="3351" max="3351" width="11.28515625" style="163" bestFit="1" customWidth="1"/>
    <col min="3352" max="3353" width="11.140625" style="163" customWidth="1"/>
    <col min="3354" max="3354" width="9.85546875" style="163" customWidth="1"/>
    <col min="3355" max="3355" width="11.140625" style="163" customWidth="1"/>
    <col min="3356" max="3357" width="11.28515625" style="163" bestFit="1" customWidth="1"/>
    <col min="3358" max="3358" width="11" style="163" bestFit="1" customWidth="1"/>
    <col min="3359" max="3583" width="9.140625" style="163"/>
    <col min="3584" max="3584" width="14.140625" style="163" bestFit="1" customWidth="1"/>
    <col min="3585" max="3585" width="31.28515625" style="163" customWidth="1"/>
    <col min="3586" max="3586" width="0.85546875" style="163" customWidth="1"/>
    <col min="3587" max="3587" width="11.28515625" style="163" bestFit="1" customWidth="1"/>
    <col min="3588" max="3590" width="11.140625" style="163" customWidth="1"/>
    <col min="3591" max="3591" width="9.85546875" style="163" customWidth="1"/>
    <col min="3592" max="3593" width="11.140625" style="163" customWidth="1"/>
    <col min="3594" max="3594" width="0.85546875" style="163" customWidth="1"/>
    <col min="3595" max="3595" width="11.28515625" style="163" bestFit="1" customWidth="1"/>
    <col min="3596" max="3597" width="11.140625" style="163" customWidth="1"/>
    <col min="3598" max="3598" width="9.85546875" style="163" customWidth="1"/>
    <col min="3599" max="3599" width="11.140625" style="163" customWidth="1"/>
    <col min="3600" max="3600" width="0.85546875" style="163" customWidth="1"/>
    <col min="3601" max="3601" width="11.28515625" style="163" bestFit="1" customWidth="1"/>
    <col min="3602" max="3603" width="11.140625" style="163" customWidth="1"/>
    <col min="3604" max="3604" width="9.85546875" style="163" customWidth="1"/>
    <col min="3605" max="3605" width="11.140625" style="163" customWidth="1"/>
    <col min="3606" max="3606" width="0.85546875" style="163" customWidth="1"/>
    <col min="3607" max="3607" width="11.28515625" style="163" bestFit="1" customWidth="1"/>
    <col min="3608" max="3609" width="11.140625" style="163" customWidth="1"/>
    <col min="3610" max="3610" width="9.85546875" style="163" customWidth="1"/>
    <col min="3611" max="3611" width="11.140625" style="163" customWidth="1"/>
    <col min="3612" max="3613" width="11.28515625" style="163" bestFit="1" customWidth="1"/>
    <col min="3614" max="3614" width="11" style="163" bestFit="1" customWidth="1"/>
    <col min="3615" max="3839" width="9.140625" style="163"/>
    <col min="3840" max="3840" width="14.140625" style="163" bestFit="1" customWidth="1"/>
    <col min="3841" max="3841" width="31.28515625" style="163" customWidth="1"/>
    <col min="3842" max="3842" width="0.85546875" style="163" customWidth="1"/>
    <col min="3843" max="3843" width="11.28515625" style="163" bestFit="1" customWidth="1"/>
    <col min="3844" max="3846" width="11.140625" style="163" customWidth="1"/>
    <col min="3847" max="3847" width="9.85546875" style="163" customWidth="1"/>
    <col min="3848" max="3849" width="11.140625" style="163" customWidth="1"/>
    <col min="3850" max="3850" width="0.85546875" style="163" customWidth="1"/>
    <col min="3851" max="3851" width="11.28515625" style="163" bestFit="1" customWidth="1"/>
    <col min="3852" max="3853" width="11.140625" style="163" customWidth="1"/>
    <col min="3854" max="3854" width="9.85546875" style="163" customWidth="1"/>
    <col min="3855" max="3855" width="11.140625" style="163" customWidth="1"/>
    <col min="3856" max="3856" width="0.85546875" style="163" customWidth="1"/>
    <col min="3857" max="3857" width="11.28515625" style="163" bestFit="1" customWidth="1"/>
    <col min="3858" max="3859" width="11.140625" style="163" customWidth="1"/>
    <col min="3860" max="3860" width="9.85546875" style="163" customWidth="1"/>
    <col min="3861" max="3861" width="11.140625" style="163" customWidth="1"/>
    <col min="3862" max="3862" width="0.85546875" style="163" customWidth="1"/>
    <col min="3863" max="3863" width="11.28515625" style="163" bestFit="1" customWidth="1"/>
    <col min="3864" max="3865" width="11.140625" style="163" customWidth="1"/>
    <col min="3866" max="3866" width="9.85546875" style="163" customWidth="1"/>
    <col min="3867" max="3867" width="11.140625" style="163" customWidth="1"/>
    <col min="3868" max="3869" width="11.28515625" style="163" bestFit="1" customWidth="1"/>
    <col min="3870" max="3870" width="11" style="163" bestFit="1" customWidth="1"/>
    <col min="3871" max="4095" width="9.140625" style="163"/>
    <col min="4096" max="4096" width="14.140625" style="163" bestFit="1" customWidth="1"/>
    <col min="4097" max="4097" width="31.28515625" style="163" customWidth="1"/>
    <col min="4098" max="4098" width="0.85546875" style="163" customWidth="1"/>
    <col min="4099" max="4099" width="11.28515625" style="163" bestFit="1" customWidth="1"/>
    <col min="4100" max="4102" width="11.140625" style="163" customWidth="1"/>
    <col min="4103" max="4103" width="9.85546875" style="163" customWidth="1"/>
    <col min="4104" max="4105" width="11.140625" style="163" customWidth="1"/>
    <col min="4106" max="4106" width="0.85546875" style="163" customWidth="1"/>
    <col min="4107" max="4107" width="11.28515625" style="163" bestFit="1" customWidth="1"/>
    <col min="4108" max="4109" width="11.140625" style="163" customWidth="1"/>
    <col min="4110" max="4110" width="9.85546875" style="163" customWidth="1"/>
    <col min="4111" max="4111" width="11.140625" style="163" customWidth="1"/>
    <col min="4112" max="4112" width="0.85546875" style="163" customWidth="1"/>
    <col min="4113" max="4113" width="11.28515625" style="163" bestFit="1" customWidth="1"/>
    <col min="4114" max="4115" width="11.140625" style="163" customWidth="1"/>
    <col min="4116" max="4116" width="9.85546875" style="163" customWidth="1"/>
    <col min="4117" max="4117" width="11.140625" style="163" customWidth="1"/>
    <col min="4118" max="4118" width="0.85546875" style="163" customWidth="1"/>
    <col min="4119" max="4119" width="11.28515625" style="163" bestFit="1" customWidth="1"/>
    <col min="4120" max="4121" width="11.140625" style="163" customWidth="1"/>
    <col min="4122" max="4122" width="9.85546875" style="163" customWidth="1"/>
    <col min="4123" max="4123" width="11.140625" style="163" customWidth="1"/>
    <col min="4124" max="4125" width="11.28515625" style="163" bestFit="1" customWidth="1"/>
    <col min="4126" max="4126" width="11" style="163" bestFit="1" customWidth="1"/>
    <col min="4127" max="4351" width="9.140625" style="163"/>
    <col min="4352" max="4352" width="14.140625" style="163" bestFit="1" customWidth="1"/>
    <col min="4353" max="4353" width="31.28515625" style="163" customWidth="1"/>
    <col min="4354" max="4354" width="0.85546875" style="163" customWidth="1"/>
    <col min="4355" max="4355" width="11.28515625" style="163" bestFit="1" customWidth="1"/>
    <col min="4356" max="4358" width="11.140625" style="163" customWidth="1"/>
    <col min="4359" max="4359" width="9.85546875" style="163" customWidth="1"/>
    <col min="4360" max="4361" width="11.140625" style="163" customWidth="1"/>
    <col min="4362" max="4362" width="0.85546875" style="163" customWidth="1"/>
    <col min="4363" max="4363" width="11.28515625" style="163" bestFit="1" customWidth="1"/>
    <col min="4364" max="4365" width="11.140625" style="163" customWidth="1"/>
    <col min="4366" max="4366" width="9.85546875" style="163" customWidth="1"/>
    <col min="4367" max="4367" width="11.140625" style="163" customWidth="1"/>
    <col min="4368" max="4368" width="0.85546875" style="163" customWidth="1"/>
    <col min="4369" max="4369" width="11.28515625" style="163" bestFit="1" customWidth="1"/>
    <col min="4370" max="4371" width="11.140625" style="163" customWidth="1"/>
    <col min="4372" max="4372" width="9.85546875" style="163" customWidth="1"/>
    <col min="4373" max="4373" width="11.140625" style="163" customWidth="1"/>
    <col min="4374" max="4374" width="0.85546875" style="163" customWidth="1"/>
    <col min="4375" max="4375" width="11.28515625" style="163" bestFit="1" customWidth="1"/>
    <col min="4376" max="4377" width="11.140625" style="163" customWidth="1"/>
    <col min="4378" max="4378" width="9.85546875" style="163" customWidth="1"/>
    <col min="4379" max="4379" width="11.140625" style="163" customWidth="1"/>
    <col min="4380" max="4381" width="11.28515625" style="163" bestFit="1" customWidth="1"/>
    <col min="4382" max="4382" width="11" style="163" bestFit="1" customWidth="1"/>
    <col min="4383" max="4607" width="9.140625" style="163"/>
    <col min="4608" max="4608" width="14.140625" style="163" bestFit="1" customWidth="1"/>
    <col min="4609" max="4609" width="31.28515625" style="163" customWidth="1"/>
    <col min="4610" max="4610" width="0.85546875" style="163" customWidth="1"/>
    <col min="4611" max="4611" width="11.28515625" style="163" bestFit="1" customWidth="1"/>
    <col min="4612" max="4614" width="11.140625" style="163" customWidth="1"/>
    <col min="4615" max="4615" width="9.85546875" style="163" customWidth="1"/>
    <col min="4616" max="4617" width="11.140625" style="163" customWidth="1"/>
    <col min="4618" max="4618" width="0.85546875" style="163" customWidth="1"/>
    <col min="4619" max="4619" width="11.28515625" style="163" bestFit="1" customWidth="1"/>
    <col min="4620" max="4621" width="11.140625" style="163" customWidth="1"/>
    <col min="4622" max="4622" width="9.85546875" style="163" customWidth="1"/>
    <col min="4623" max="4623" width="11.140625" style="163" customWidth="1"/>
    <col min="4624" max="4624" width="0.85546875" style="163" customWidth="1"/>
    <col min="4625" max="4625" width="11.28515625" style="163" bestFit="1" customWidth="1"/>
    <col min="4626" max="4627" width="11.140625" style="163" customWidth="1"/>
    <col min="4628" max="4628" width="9.85546875" style="163" customWidth="1"/>
    <col min="4629" max="4629" width="11.140625" style="163" customWidth="1"/>
    <col min="4630" max="4630" width="0.85546875" style="163" customWidth="1"/>
    <col min="4631" max="4631" width="11.28515625" style="163" bestFit="1" customWidth="1"/>
    <col min="4632" max="4633" width="11.140625" style="163" customWidth="1"/>
    <col min="4634" max="4634" width="9.85546875" style="163" customWidth="1"/>
    <col min="4635" max="4635" width="11.140625" style="163" customWidth="1"/>
    <col min="4636" max="4637" width="11.28515625" style="163" bestFit="1" customWidth="1"/>
    <col min="4638" max="4638" width="11" style="163" bestFit="1" customWidth="1"/>
    <col min="4639" max="4863" width="9.140625" style="163"/>
    <col min="4864" max="4864" width="14.140625" style="163" bestFit="1" customWidth="1"/>
    <col min="4865" max="4865" width="31.28515625" style="163" customWidth="1"/>
    <col min="4866" max="4866" width="0.85546875" style="163" customWidth="1"/>
    <col min="4867" max="4867" width="11.28515625" style="163" bestFit="1" customWidth="1"/>
    <col min="4868" max="4870" width="11.140625" style="163" customWidth="1"/>
    <col min="4871" max="4871" width="9.85546875" style="163" customWidth="1"/>
    <col min="4872" max="4873" width="11.140625" style="163" customWidth="1"/>
    <col min="4874" max="4874" width="0.85546875" style="163" customWidth="1"/>
    <col min="4875" max="4875" width="11.28515625" style="163" bestFit="1" customWidth="1"/>
    <col min="4876" max="4877" width="11.140625" style="163" customWidth="1"/>
    <col min="4878" max="4878" width="9.85546875" style="163" customWidth="1"/>
    <col min="4879" max="4879" width="11.140625" style="163" customWidth="1"/>
    <col min="4880" max="4880" width="0.85546875" style="163" customWidth="1"/>
    <col min="4881" max="4881" width="11.28515625" style="163" bestFit="1" customWidth="1"/>
    <col min="4882" max="4883" width="11.140625" style="163" customWidth="1"/>
    <col min="4884" max="4884" width="9.85546875" style="163" customWidth="1"/>
    <col min="4885" max="4885" width="11.140625" style="163" customWidth="1"/>
    <col min="4886" max="4886" width="0.85546875" style="163" customWidth="1"/>
    <col min="4887" max="4887" width="11.28515625" style="163" bestFit="1" customWidth="1"/>
    <col min="4888" max="4889" width="11.140625" style="163" customWidth="1"/>
    <col min="4890" max="4890" width="9.85546875" style="163" customWidth="1"/>
    <col min="4891" max="4891" width="11.140625" style="163" customWidth="1"/>
    <col min="4892" max="4893" width="11.28515625" style="163" bestFit="1" customWidth="1"/>
    <col min="4894" max="4894" width="11" style="163" bestFit="1" customWidth="1"/>
    <col min="4895" max="5119" width="9.140625" style="163"/>
    <col min="5120" max="5120" width="14.140625" style="163" bestFit="1" customWidth="1"/>
    <col min="5121" max="5121" width="31.28515625" style="163" customWidth="1"/>
    <col min="5122" max="5122" width="0.85546875" style="163" customWidth="1"/>
    <col min="5123" max="5123" width="11.28515625" style="163" bestFit="1" customWidth="1"/>
    <col min="5124" max="5126" width="11.140625" style="163" customWidth="1"/>
    <col min="5127" max="5127" width="9.85546875" style="163" customWidth="1"/>
    <col min="5128" max="5129" width="11.140625" style="163" customWidth="1"/>
    <col min="5130" max="5130" width="0.85546875" style="163" customWidth="1"/>
    <col min="5131" max="5131" width="11.28515625" style="163" bestFit="1" customWidth="1"/>
    <col min="5132" max="5133" width="11.140625" style="163" customWidth="1"/>
    <col min="5134" max="5134" width="9.85546875" style="163" customWidth="1"/>
    <col min="5135" max="5135" width="11.140625" style="163" customWidth="1"/>
    <col min="5136" max="5136" width="0.85546875" style="163" customWidth="1"/>
    <col min="5137" max="5137" width="11.28515625" style="163" bestFit="1" customWidth="1"/>
    <col min="5138" max="5139" width="11.140625" style="163" customWidth="1"/>
    <col min="5140" max="5140" width="9.85546875" style="163" customWidth="1"/>
    <col min="5141" max="5141" width="11.140625" style="163" customWidth="1"/>
    <col min="5142" max="5142" width="0.85546875" style="163" customWidth="1"/>
    <col min="5143" max="5143" width="11.28515625" style="163" bestFit="1" customWidth="1"/>
    <col min="5144" max="5145" width="11.140625" style="163" customWidth="1"/>
    <col min="5146" max="5146" width="9.85546875" style="163" customWidth="1"/>
    <col min="5147" max="5147" width="11.140625" style="163" customWidth="1"/>
    <col min="5148" max="5149" width="11.28515625" style="163" bestFit="1" customWidth="1"/>
    <col min="5150" max="5150" width="11" style="163" bestFit="1" customWidth="1"/>
    <col min="5151" max="5375" width="9.140625" style="163"/>
    <col min="5376" max="5376" width="14.140625" style="163" bestFit="1" customWidth="1"/>
    <col min="5377" max="5377" width="31.28515625" style="163" customWidth="1"/>
    <col min="5378" max="5378" width="0.85546875" style="163" customWidth="1"/>
    <col min="5379" max="5379" width="11.28515625" style="163" bestFit="1" customWidth="1"/>
    <col min="5380" max="5382" width="11.140625" style="163" customWidth="1"/>
    <col min="5383" max="5383" width="9.85546875" style="163" customWidth="1"/>
    <col min="5384" max="5385" width="11.140625" style="163" customWidth="1"/>
    <col min="5386" max="5386" width="0.85546875" style="163" customWidth="1"/>
    <col min="5387" max="5387" width="11.28515625" style="163" bestFit="1" customWidth="1"/>
    <col min="5388" max="5389" width="11.140625" style="163" customWidth="1"/>
    <col min="5390" max="5390" width="9.85546875" style="163" customWidth="1"/>
    <col min="5391" max="5391" width="11.140625" style="163" customWidth="1"/>
    <col min="5392" max="5392" width="0.85546875" style="163" customWidth="1"/>
    <col min="5393" max="5393" width="11.28515625" style="163" bestFit="1" customWidth="1"/>
    <col min="5394" max="5395" width="11.140625" style="163" customWidth="1"/>
    <col min="5396" max="5396" width="9.85546875" style="163" customWidth="1"/>
    <col min="5397" max="5397" width="11.140625" style="163" customWidth="1"/>
    <col min="5398" max="5398" width="0.85546875" style="163" customWidth="1"/>
    <col min="5399" max="5399" width="11.28515625" style="163" bestFit="1" customWidth="1"/>
    <col min="5400" max="5401" width="11.140625" style="163" customWidth="1"/>
    <col min="5402" max="5402" width="9.85546875" style="163" customWidth="1"/>
    <col min="5403" max="5403" width="11.140625" style="163" customWidth="1"/>
    <col min="5404" max="5405" width="11.28515625" style="163" bestFit="1" customWidth="1"/>
    <col min="5406" max="5406" width="11" style="163" bestFit="1" customWidth="1"/>
    <col min="5407" max="5631" width="9.140625" style="163"/>
    <col min="5632" max="5632" width="14.140625" style="163" bestFit="1" customWidth="1"/>
    <col min="5633" max="5633" width="31.28515625" style="163" customWidth="1"/>
    <col min="5634" max="5634" width="0.85546875" style="163" customWidth="1"/>
    <col min="5635" max="5635" width="11.28515625" style="163" bestFit="1" customWidth="1"/>
    <col min="5636" max="5638" width="11.140625" style="163" customWidth="1"/>
    <col min="5639" max="5639" width="9.85546875" style="163" customWidth="1"/>
    <col min="5640" max="5641" width="11.140625" style="163" customWidth="1"/>
    <col min="5642" max="5642" width="0.85546875" style="163" customWidth="1"/>
    <col min="5643" max="5643" width="11.28515625" style="163" bestFit="1" customWidth="1"/>
    <col min="5644" max="5645" width="11.140625" style="163" customWidth="1"/>
    <col min="5646" max="5646" width="9.85546875" style="163" customWidth="1"/>
    <col min="5647" max="5647" width="11.140625" style="163" customWidth="1"/>
    <col min="5648" max="5648" width="0.85546875" style="163" customWidth="1"/>
    <col min="5649" max="5649" width="11.28515625" style="163" bestFit="1" customWidth="1"/>
    <col min="5650" max="5651" width="11.140625" style="163" customWidth="1"/>
    <col min="5652" max="5652" width="9.85546875" style="163" customWidth="1"/>
    <col min="5653" max="5653" width="11.140625" style="163" customWidth="1"/>
    <col min="5654" max="5654" width="0.85546875" style="163" customWidth="1"/>
    <col min="5655" max="5655" width="11.28515625" style="163" bestFit="1" customWidth="1"/>
    <col min="5656" max="5657" width="11.140625" style="163" customWidth="1"/>
    <col min="5658" max="5658" width="9.85546875" style="163" customWidth="1"/>
    <col min="5659" max="5659" width="11.140625" style="163" customWidth="1"/>
    <col min="5660" max="5661" width="11.28515625" style="163" bestFit="1" customWidth="1"/>
    <col min="5662" max="5662" width="11" style="163" bestFit="1" customWidth="1"/>
    <col min="5663" max="5887" width="9.140625" style="163"/>
    <col min="5888" max="5888" width="14.140625" style="163" bestFit="1" customWidth="1"/>
    <col min="5889" max="5889" width="31.28515625" style="163" customWidth="1"/>
    <col min="5890" max="5890" width="0.85546875" style="163" customWidth="1"/>
    <col min="5891" max="5891" width="11.28515625" style="163" bestFit="1" customWidth="1"/>
    <col min="5892" max="5894" width="11.140625" style="163" customWidth="1"/>
    <col min="5895" max="5895" width="9.85546875" style="163" customWidth="1"/>
    <col min="5896" max="5897" width="11.140625" style="163" customWidth="1"/>
    <col min="5898" max="5898" width="0.85546875" style="163" customWidth="1"/>
    <col min="5899" max="5899" width="11.28515625" style="163" bestFit="1" customWidth="1"/>
    <col min="5900" max="5901" width="11.140625" style="163" customWidth="1"/>
    <col min="5902" max="5902" width="9.85546875" style="163" customWidth="1"/>
    <col min="5903" max="5903" width="11.140625" style="163" customWidth="1"/>
    <col min="5904" max="5904" width="0.85546875" style="163" customWidth="1"/>
    <col min="5905" max="5905" width="11.28515625" style="163" bestFit="1" customWidth="1"/>
    <col min="5906" max="5907" width="11.140625" style="163" customWidth="1"/>
    <col min="5908" max="5908" width="9.85546875" style="163" customWidth="1"/>
    <col min="5909" max="5909" width="11.140625" style="163" customWidth="1"/>
    <col min="5910" max="5910" width="0.85546875" style="163" customWidth="1"/>
    <col min="5911" max="5911" width="11.28515625" style="163" bestFit="1" customWidth="1"/>
    <col min="5912" max="5913" width="11.140625" style="163" customWidth="1"/>
    <col min="5914" max="5914" width="9.85546875" style="163" customWidth="1"/>
    <col min="5915" max="5915" width="11.140625" style="163" customWidth="1"/>
    <col min="5916" max="5917" width="11.28515625" style="163" bestFit="1" customWidth="1"/>
    <col min="5918" max="5918" width="11" style="163" bestFit="1" customWidth="1"/>
    <col min="5919" max="6143" width="9.140625" style="163"/>
    <col min="6144" max="6144" width="14.140625" style="163" bestFit="1" customWidth="1"/>
    <col min="6145" max="6145" width="31.28515625" style="163" customWidth="1"/>
    <col min="6146" max="6146" width="0.85546875" style="163" customWidth="1"/>
    <col min="6147" max="6147" width="11.28515625" style="163" bestFit="1" customWidth="1"/>
    <col min="6148" max="6150" width="11.140625" style="163" customWidth="1"/>
    <col min="6151" max="6151" width="9.85546875" style="163" customWidth="1"/>
    <col min="6152" max="6153" width="11.140625" style="163" customWidth="1"/>
    <col min="6154" max="6154" width="0.85546875" style="163" customWidth="1"/>
    <col min="6155" max="6155" width="11.28515625" style="163" bestFit="1" customWidth="1"/>
    <col min="6156" max="6157" width="11.140625" style="163" customWidth="1"/>
    <col min="6158" max="6158" width="9.85546875" style="163" customWidth="1"/>
    <col min="6159" max="6159" width="11.140625" style="163" customWidth="1"/>
    <col min="6160" max="6160" width="0.85546875" style="163" customWidth="1"/>
    <col min="6161" max="6161" width="11.28515625" style="163" bestFit="1" customWidth="1"/>
    <col min="6162" max="6163" width="11.140625" style="163" customWidth="1"/>
    <col min="6164" max="6164" width="9.85546875" style="163" customWidth="1"/>
    <col min="6165" max="6165" width="11.140625" style="163" customWidth="1"/>
    <col min="6166" max="6166" width="0.85546875" style="163" customWidth="1"/>
    <col min="6167" max="6167" width="11.28515625" style="163" bestFit="1" customWidth="1"/>
    <col min="6168" max="6169" width="11.140625" style="163" customWidth="1"/>
    <col min="6170" max="6170" width="9.85546875" style="163" customWidth="1"/>
    <col min="6171" max="6171" width="11.140625" style="163" customWidth="1"/>
    <col min="6172" max="6173" width="11.28515625" style="163" bestFit="1" customWidth="1"/>
    <col min="6174" max="6174" width="11" style="163" bestFit="1" customWidth="1"/>
    <col min="6175" max="6399" width="9.140625" style="163"/>
    <col min="6400" max="6400" width="14.140625" style="163" bestFit="1" customWidth="1"/>
    <col min="6401" max="6401" width="31.28515625" style="163" customWidth="1"/>
    <col min="6402" max="6402" width="0.85546875" style="163" customWidth="1"/>
    <col min="6403" max="6403" width="11.28515625" style="163" bestFit="1" customWidth="1"/>
    <col min="6404" max="6406" width="11.140625" style="163" customWidth="1"/>
    <col min="6407" max="6407" width="9.85546875" style="163" customWidth="1"/>
    <col min="6408" max="6409" width="11.140625" style="163" customWidth="1"/>
    <col min="6410" max="6410" width="0.85546875" style="163" customWidth="1"/>
    <col min="6411" max="6411" width="11.28515625" style="163" bestFit="1" customWidth="1"/>
    <col min="6412" max="6413" width="11.140625" style="163" customWidth="1"/>
    <col min="6414" max="6414" width="9.85546875" style="163" customWidth="1"/>
    <col min="6415" max="6415" width="11.140625" style="163" customWidth="1"/>
    <col min="6416" max="6416" width="0.85546875" style="163" customWidth="1"/>
    <col min="6417" max="6417" width="11.28515625" style="163" bestFit="1" customWidth="1"/>
    <col min="6418" max="6419" width="11.140625" style="163" customWidth="1"/>
    <col min="6420" max="6420" width="9.85546875" style="163" customWidth="1"/>
    <col min="6421" max="6421" width="11.140625" style="163" customWidth="1"/>
    <col min="6422" max="6422" width="0.85546875" style="163" customWidth="1"/>
    <col min="6423" max="6423" width="11.28515625" style="163" bestFit="1" customWidth="1"/>
    <col min="6424" max="6425" width="11.140625" style="163" customWidth="1"/>
    <col min="6426" max="6426" width="9.85546875" style="163" customWidth="1"/>
    <col min="6427" max="6427" width="11.140625" style="163" customWidth="1"/>
    <col min="6428" max="6429" width="11.28515625" style="163" bestFit="1" customWidth="1"/>
    <col min="6430" max="6430" width="11" style="163" bestFit="1" customWidth="1"/>
    <col min="6431" max="6655" width="9.140625" style="163"/>
    <col min="6656" max="6656" width="14.140625" style="163" bestFit="1" customWidth="1"/>
    <col min="6657" max="6657" width="31.28515625" style="163" customWidth="1"/>
    <col min="6658" max="6658" width="0.85546875" style="163" customWidth="1"/>
    <col min="6659" max="6659" width="11.28515625" style="163" bestFit="1" customWidth="1"/>
    <col min="6660" max="6662" width="11.140625" style="163" customWidth="1"/>
    <col min="6663" max="6663" width="9.85546875" style="163" customWidth="1"/>
    <col min="6664" max="6665" width="11.140625" style="163" customWidth="1"/>
    <col min="6666" max="6666" width="0.85546875" style="163" customWidth="1"/>
    <col min="6667" max="6667" width="11.28515625" style="163" bestFit="1" customWidth="1"/>
    <col min="6668" max="6669" width="11.140625" style="163" customWidth="1"/>
    <col min="6670" max="6670" width="9.85546875" style="163" customWidth="1"/>
    <col min="6671" max="6671" width="11.140625" style="163" customWidth="1"/>
    <col min="6672" max="6672" width="0.85546875" style="163" customWidth="1"/>
    <col min="6673" max="6673" width="11.28515625" style="163" bestFit="1" customWidth="1"/>
    <col min="6674" max="6675" width="11.140625" style="163" customWidth="1"/>
    <col min="6676" max="6676" width="9.85546875" style="163" customWidth="1"/>
    <col min="6677" max="6677" width="11.140625" style="163" customWidth="1"/>
    <col min="6678" max="6678" width="0.85546875" style="163" customWidth="1"/>
    <col min="6679" max="6679" width="11.28515625" style="163" bestFit="1" customWidth="1"/>
    <col min="6680" max="6681" width="11.140625" style="163" customWidth="1"/>
    <col min="6682" max="6682" width="9.85546875" style="163" customWidth="1"/>
    <col min="6683" max="6683" width="11.140625" style="163" customWidth="1"/>
    <col min="6684" max="6685" width="11.28515625" style="163" bestFit="1" customWidth="1"/>
    <col min="6686" max="6686" width="11" style="163" bestFit="1" customWidth="1"/>
    <col min="6687" max="6911" width="9.140625" style="163"/>
    <col min="6912" max="6912" width="14.140625" style="163" bestFit="1" customWidth="1"/>
    <col min="6913" max="6913" width="31.28515625" style="163" customWidth="1"/>
    <col min="6914" max="6914" width="0.85546875" style="163" customWidth="1"/>
    <col min="6915" max="6915" width="11.28515625" style="163" bestFit="1" customWidth="1"/>
    <col min="6916" max="6918" width="11.140625" style="163" customWidth="1"/>
    <col min="6919" max="6919" width="9.85546875" style="163" customWidth="1"/>
    <col min="6920" max="6921" width="11.140625" style="163" customWidth="1"/>
    <col min="6922" max="6922" width="0.85546875" style="163" customWidth="1"/>
    <col min="6923" max="6923" width="11.28515625" style="163" bestFit="1" customWidth="1"/>
    <col min="6924" max="6925" width="11.140625" style="163" customWidth="1"/>
    <col min="6926" max="6926" width="9.85546875" style="163" customWidth="1"/>
    <col min="6927" max="6927" width="11.140625" style="163" customWidth="1"/>
    <col min="6928" max="6928" width="0.85546875" style="163" customWidth="1"/>
    <col min="6929" max="6929" width="11.28515625" style="163" bestFit="1" customWidth="1"/>
    <col min="6930" max="6931" width="11.140625" style="163" customWidth="1"/>
    <col min="6932" max="6932" width="9.85546875" style="163" customWidth="1"/>
    <col min="6933" max="6933" width="11.140625" style="163" customWidth="1"/>
    <col min="6934" max="6934" width="0.85546875" style="163" customWidth="1"/>
    <col min="6935" max="6935" width="11.28515625" style="163" bestFit="1" customWidth="1"/>
    <col min="6936" max="6937" width="11.140625" style="163" customWidth="1"/>
    <col min="6938" max="6938" width="9.85546875" style="163" customWidth="1"/>
    <col min="6939" max="6939" width="11.140625" style="163" customWidth="1"/>
    <col min="6940" max="6941" width="11.28515625" style="163" bestFit="1" customWidth="1"/>
    <col min="6942" max="6942" width="11" style="163" bestFit="1" customWidth="1"/>
    <col min="6943" max="7167" width="9.140625" style="163"/>
    <col min="7168" max="7168" width="14.140625" style="163" bestFit="1" customWidth="1"/>
    <col min="7169" max="7169" width="31.28515625" style="163" customWidth="1"/>
    <col min="7170" max="7170" width="0.85546875" style="163" customWidth="1"/>
    <col min="7171" max="7171" width="11.28515625" style="163" bestFit="1" customWidth="1"/>
    <col min="7172" max="7174" width="11.140625" style="163" customWidth="1"/>
    <col min="7175" max="7175" width="9.85546875" style="163" customWidth="1"/>
    <col min="7176" max="7177" width="11.140625" style="163" customWidth="1"/>
    <col min="7178" max="7178" width="0.85546875" style="163" customWidth="1"/>
    <col min="7179" max="7179" width="11.28515625" style="163" bestFit="1" customWidth="1"/>
    <col min="7180" max="7181" width="11.140625" style="163" customWidth="1"/>
    <col min="7182" max="7182" width="9.85546875" style="163" customWidth="1"/>
    <col min="7183" max="7183" width="11.140625" style="163" customWidth="1"/>
    <col min="7184" max="7184" width="0.85546875" style="163" customWidth="1"/>
    <col min="7185" max="7185" width="11.28515625" style="163" bestFit="1" customWidth="1"/>
    <col min="7186" max="7187" width="11.140625" style="163" customWidth="1"/>
    <col min="7188" max="7188" width="9.85546875" style="163" customWidth="1"/>
    <col min="7189" max="7189" width="11.140625" style="163" customWidth="1"/>
    <col min="7190" max="7190" width="0.85546875" style="163" customWidth="1"/>
    <col min="7191" max="7191" width="11.28515625" style="163" bestFit="1" customWidth="1"/>
    <col min="7192" max="7193" width="11.140625" style="163" customWidth="1"/>
    <col min="7194" max="7194" width="9.85546875" style="163" customWidth="1"/>
    <col min="7195" max="7195" width="11.140625" style="163" customWidth="1"/>
    <col min="7196" max="7197" width="11.28515625" style="163" bestFit="1" customWidth="1"/>
    <col min="7198" max="7198" width="11" style="163" bestFit="1" customWidth="1"/>
    <col min="7199" max="7423" width="9.140625" style="163"/>
    <col min="7424" max="7424" width="14.140625" style="163" bestFit="1" customWidth="1"/>
    <col min="7425" max="7425" width="31.28515625" style="163" customWidth="1"/>
    <col min="7426" max="7426" width="0.85546875" style="163" customWidth="1"/>
    <col min="7427" max="7427" width="11.28515625" style="163" bestFit="1" customWidth="1"/>
    <col min="7428" max="7430" width="11.140625" style="163" customWidth="1"/>
    <col min="7431" max="7431" width="9.85546875" style="163" customWidth="1"/>
    <col min="7432" max="7433" width="11.140625" style="163" customWidth="1"/>
    <col min="7434" max="7434" width="0.85546875" style="163" customWidth="1"/>
    <col min="7435" max="7435" width="11.28515625" style="163" bestFit="1" customWidth="1"/>
    <col min="7436" max="7437" width="11.140625" style="163" customWidth="1"/>
    <col min="7438" max="7438" width="9.85546875" style="163" customWidth="1"/>
    <col min="7439" max="7439" width="11.140625" style="163" customWidth="1"/>
    <col min="7440" max="7440" width="0.85546875" style="163" customWidth="1"/>
    <col min="7441" max="7441" width="11.28515625" style="163" bestFit="1" customWidth="1"/>
    <col min="7442" max="7443" width="11.140625" style="163" customWidth="1"/>
    <col min="7444" max="7444" width="9.85546875" style="163" customWidth="1"/>
    <col min="7445" max="7445" width="11.140625" style="163" customWidth="1"/>
    <col min="7446" max="7446" width="0.85546875" style="163" customWidth="1"/>
    <col min="7447" max="7447" width="11.28515625" style="163" bestFit="1" customWidth="1"/>
    <col min="7448" max="7449" width="11.140625" style="163" customWidth="1"/>
    <col min="7450" max="7450" width="9.85546875" style="163" customWidth="1"/>
    <col min="7451" max="7451" width="11.140625" style="163" customWidth="1"/>
    <col min="7452" max="7453" width="11.28515625" style="163" bestFit="1" customWidth="1"/>
    <col min="7454" max="7454" width="11" style="163" bestFit="1" customWidth="1"/>
    <col min="7455" max="7679" width="9.140625" style="163"/>
    <col min="7680" max="7680" width="14.140625" style="163" bestFit="1" customWidth="1"/>
    <col min="7681" max="7681" width="31.28515625" style="163" customWidth="1"/>
    <col min="7682" max="7682" width="0.85546875" style="163" customWidth="1"/>
    <col min="7683" max="7683" width="11.28515625" style="163" bestFit="1" customWidth="1"/>
    <col min="7684" max="7686" width="11.140625" style="163" customWidth="1"/>
    <col min="7687" max="7687" width="9.85546875" style="163" customWidth="1"/>
    <col min="7688" max="7689" width="11.140625" style="163" customWidth="1"/>
    <col min="7690" max="7690" width="0.85546875" style="163" customWidth="1"/>
    <col min="7691" max="7691" width="11.28515625" style="163" bestFit="1" customWidth="1"/>
    <col min="7692" max="7693" width="11.140625" style="163" customWidth="1"/>
    <col min="7694" max="7694" width="9.85546875" style="163" customWidth="1"/>
    <col min="7695" max="7695" width="11.140625" style="163" customWidth="1"/>
    <col min="7696" max="7696" width="0.85546875" style="163" customWidth="1"/>
    <col min="7697" max="7697" width="11.28515625" style="163" bestFit="1" customWidth="1"/>
    <col min="7698" max="7699" width="11.140625" style="163" customWidth="1"/>
    <col min="7700" max="7700" width="9.85546875" style="163" customWidth="1"/>
    <col min="7701" max="7701" width="11.140625" style="163" customWidth="1"/>
    <col min="7702" max="7702" width="0.85546875" style="163" customWidth="1"/>
    <col min="7703" max="7703" width="11.28515625" style="163" bestFit="1" customWidth="1"/>
    <col min="7704" max="7705" width="11.140625" style="163" customWidth="1"/>
    <col min="7706" max="7706" width="9.85546875" style="163" customWidth="1"/>
    <col min="7707" max="7707" width="11.140625" style="163" customWidth="1"/>
    <col min="7708" max="7709" width="11.28515625" style="163" bestFit="1" customWidth="1"/>
    <col min="7710" max="7710" width="11" style="163" bestFit="1" customWidth="1"/>
    <col min="7711" max="7935" width="9.140625" style="163"/>
    <col min="7936" max="7936" width="14.140625" style="163" bestFit="1" customWidth="1"/>
    <col min="7937" max="7937" width="31.28515625" style="163" customWidth="1"/>
    <col min="7938" max="7938" width="0.85546875" style="163" customWidth="1"/>
    <col min="7939" max="7939" width="11.28515625" style="163" bestFit="1" customWidth="1"/>
    <col min="7940" max="7942" width="11.140625" style="163" customWidth="1"/>
    <col min="7943" max="7943" width="9.85546875" style="163" customWidth="1"/>
    <col min="7944" max="7945" width="11.140625" style="163" customWidth="1"/>
    <col min="7946" max="7946" width="0.85546875" style="163" customWidth="1"/>
    <col min="7947" max="7947" width="11.28515625" style="163" bestFit="1" customWidth="1"/>
    <col min="7948" max="7949" width="11.140625" style="163" customWidth="1"/>
    <col min="7950" max="7950" width="9.85546875" style="163" customWidth="1"/>
    <col min="7951" max="7951" width="11.140625" style="163" customWidth="1"/>
    <col min="7952" max="7952" width="0.85546875" style="163" customWidth="1"/>
    <col min="7953" max="7953" width="11.28515625" style="163" bestFit="1" customWidth="1"/>
    <col min="7954" max="7955" width="11.140625" style="163" customWidth="1"/>
    <col min="7956" max="7956" width="9.85546875" style="163" customWidth="1"/>
    <col min="7957" max="7957" width="11.140625" style="163" customWidth="1"/>
    <col min="7958" max="7958" width="0.85546875" style="163" customWidth="1"/>
    <col min="7959" max="7959" width="11.28515625" style="163" bestFit="1" customWidth="1"/>
    <col min="7960" max="7961" width="11.140625" style="163" customWidth="1"/>
    <col min="7962" max="7962" width="9.85546875" style="163" customWidth="1"/>
    <col min="7963" max="7963" width="11.140625" style="163" customWidth="1"/>
    <col min="7964" max="7965" width="11.28515625" style="163" bestFit="1" customWidth="1"/>
    <col min="7966" max="7966" width="11" style="163" bestFit="1" customWidth="1"/>
    <col min="7967" max="8191" width="9.140625" style="163"/>
    <col min="8192" max="8192" width="14.140625" style="163" bestFit="1" customWidth="1"/>
    <col min="8193" max="8193" width="31.28515625" style="163" customWidth="1"/>
    <col min="8194" max="8194" width="0.85546875" style="163" customWidth="1"/>
    <col min="8195" max="8195" width="11.28515625" style="163" bestFit="1" customWidth="1"/>
    <col min="8196" max="8198" width="11.140625" style="163" customWidth="1"/>
    <col min="8199" max="8199" width="9.85546875" style="163" customWidth="1"/>
    <col min="8200" max="8201" width="11.140625" style="163" customWidth="1"/>
    <col min="8202" max="8202" width="0.85546875" style="163" customWidth="1"/>
    <col min="8203" max="8203" width="11.28515625" style="163" bestFit="1" customWidth="1"/>
    <col min="8204" max="8205" width="11.140625" style="163" customWidth="1"/>
    <col min="8206" max="8206" width="9.85546875" style="163" customWidth="1"/>
    <col min="8207" max="8207" width="11.140625" style="163" customWidth="1"/>
    <col min="8208" max="8208" width="0.85546875" style="163" customWidth="1"/>
    <col min="8209" max="8209" width="11.28515625" style="163" bestFit="1" customWidth="1"/>
    <col min="8210" max="8211" width="11.140625" style="163" customWidth="1"/>
    <col min="8212" max="8212" width="9.85546875" style="163" customWidth="1"/>
    <col min="8213" max="8213" width="11.140625" style="163" customWidth="1"/>
    <col min="8214" max="8214" width="0.85546875" style="163" customWidth="1"/>
    <col min="8215" max="8215" width="11.28515625" style="163" bestFit="1" customWidth="1"/>
    <col min="8216" max="8217" width="11.140625" style="163" customWidth="1"/>
    <col min="8218" max="8218" width="9.85546875" style="163" customWidth="1"/>
    <col min="8219" max="8219" width="11.140625" style="163" customWidth="1"/>
    <col min="8220" max="8221" width="11.28515625" style="163" bestFit="1" customWidth="1"/>
    <col min="8222" max="8222" width="11" style="163" bestFit="1" customWidth="1"/>
    <col min="8223" max="8447" width="9.140625" style="163"/>
    <col min="8448" max="8448" width="14.140625" style="163" bestFit="1" customWidth="1"/>
    <col min="8449" max="8449" width="31.28515625" style="163" customWidth="1"/>
    <col min="8450" max="8450" width="0.85546875" style="163" customWidth="1"/>
    <col min="8451" max="8451" width="11.28515625" style="163" bestFit="1" customWidth="1"/>
    <col min="8452" max="8454" width="11.140625" style="163" customWidth="1"/>
    <col min="8455" max="8455" width="9.85546875" style="163" customWidth="1"/>
    <col min="8456" max="8457" width="11.140625" style="163" customWidth="1"/>
    <col min="8458" max="8458" width="0.85546875" style="163" customWidth="1"/>
    <col min="8459" max="8459" width="11.28515625" style="163" bestFit="1" customWidth="1"/>
    <col min="8460" max="8461" width="11.140625" style="163" customWidth="1"/>
    <col min="8462" max="8462" width="9.85546875" style="163" customWidth="1"/>
    <col min="8463" max="8463" width="11.140625" style="163" customWidth="1"/>
    <col min="8464" max="8464" width="0.85546875" style="163" customWidth="1"/>
    <col min="8465" max="8465" width="11.28515625" style="163" bestFit="1" customWidth="1"/>
    <col min="8466" max="8467" width="11.140625" style="163" customWidth="1"/>
    <col min="8468" max="8468" width="9.85546875" style="163" customWidth="1"/>
    <col min="8469" max="8469" width="11.140625" style="163" customWidth="1"/>
    <col min="8470" max="8470" width="0.85546875" style="163" customWidth="1"/>
    <col min="8471" max="8471" width="11.28515625" style="163" bestFit="1" customWidth="1"/>
    <col min="8472" max="8473" width="11.140625" style="163" customWidth="1"/>
    <col min="8474" max="8474" width="9.85546875" style="163" customWidth="1"/>
    <col min="8475" max="8475" width="11.140625" style="163" customWidth="1"/>
    <col min="8476" max="8477" width="11.28515625" style="163" bestFit="1" customWidth="1"/>
    <col min="8478" max="8478" width="11" style="163" bestFit="1" customWidth="1"/>
    <col min="8479" max="8703" width="9.140625" style="163"/>
    <col min="8704" max="8704" width="14.140625" style="163" bestFit="1" customWidth="1"/>
    <col min="8705" max="8705" width="31.28515625" style="163" customWidth="1"/>
    <col min="8706" max="8706" width="0.85546875" style="163" customWidth="1"/>
    <col min="8707" max="8707" width="11.28515625" style="163" bestFit="1" customWidth="1"/>
    <col min="8708" max="8710" width="11.140625" style="163" customWidth="1"/>
    <col min="8711" max="8711" width="9.85546875" style="163" customWidth="1"/>
    <col min="8712" max="8713" width="11.140625" style="163" customWidth="1"/>
    <col min="8714" max="8714" width="0.85546875" style="163" customWidth="1"/>
    <col min="8715" max="8715" width="11.28515625" style="163" bestFit="1" customWidth="1"/>
    <col min="8716" max="8717" width="11.140625" style="163" customWidth="1"/>
    <col min="8718" max="8718" width="9.85546875" style="163" customWidth="1"/>
    <col min="8719" max="8719" width="11.140625" style="163" customWidth="1"/>
    <col min="8720" max="8720" width="0.85546875" style="163" customWidth="1"/>
    <col min="8721" max="8721" width="11.28515625" style="163" bestFit="1" customWidth="1"/>
    <col min="8722" max="8723" width="11.140625" style="163" customWidth="1"/>
    <col min="8724" max="8724" width="9.85546875" style="163" customWidth="1"/>
    <col min="8725" max="8725" width="11.140625" style="163" customWidth="1"/>
    <col min="8726" max="8726" width="0.85546875" style="163" customWidth="1"/>
    <col min="8727" max="8727" width="11.28515625" style="163" bestFit="1" customWidth="1"/>
    <col min="8728" max="8729" width="11.140625" style="163" customWidth="1"/>
    <col min="8730" max="8730" width="9.85546875" style="163" customWidth="1"/>
    <col min="8731" max="8731" width="11.140625" style="163" customWidth="1"/>
    <col min="8732" max="8733" width="11.28515625" style="163" bestFit="1" customWidth="1"/>
    <col min="8734" max="8734" width="11" style="163" bestFit="1" customWidth="1"/>
    <col min="8735" max="8959" width="9.140625" style="163"/>
    <col min="8960" max="8960" width="14.140625" style="163" bestFit="1" customWidth="1"/>
    <col min="8961" max="8961" width="31.28515625" style="163" customWidth="1"/>
    <col min="8962" max="8962" width="0.85546875" style="163" customWidth="1"/>
    <col min="8963" max="8963" width="11.28515625" style="163" bestFit="1" customWidth="1"/>
    <col min="8964" max="8966" width="11.140625" style="163" customWidth="1"/>
    <col min="8967" max="8967" width="9.85546875" style="163" customWidth="1"/>
    <col min="8968" max="8969" width="11.140625" style="163" customWidth="1"/>
    <col min="8970" max="8970" width="0.85546875" style="163" customWidth="1"/>
    <col min="8971" max="8971" width="11.28515625" style="163" bestFit="1" customWidth="1"/>
    <col min="8972" max="8973" width="11.140625" style="163" customWidth="1"/>
    <col min="8974" max="8974" width="9.85546875" style="163" customWidth="1"/>
    <col min="8975" max="8975" width="11.140625" style="163" customWidth="1"/>
    <col min="8976" max="8976" width="0.85546875" style="163" customWidth="1"/>
    <col min="8977" max="8977" width="11.28515625" style="163" bestFit="1" customWidth="1"/>
    <col min="8978" max="8979" width="11.140625" style="163" customWidth="1"/>
    <col min="8980" max="8980" width="9.85546875" style="163" customWidth="1"/>
    <col min="8981" max="8981" width="11.140625" style="163" customWidth="1"/>
    <col min="8982" max="8982" width="0.85546875" style="163" customWidth="1"/>
    <col min="8983" max="8983" width="11.28515625" style="163" bestFit="1" customWidth="1"/>
    <col min="8984" max="8985" width="11.140625" style="163" customWidth="1"/>
    <col min="8986" max="8986" width="9.85546875" style="163" customWidth="1"/>
    <col min="8987" max="8987" width="11.140625" style="163" customWidth="1"/>
    <col min="8988" max="8989" width="11.28515625" style="163" bestFit="1" customWidth="1"/>
    <col min="8990" max="8990" width="11" style="163" bestFit="1" customWidth="1"/>
    <col min="8991" max="9215" width="9.140625" style="163"/>
    <col min="9216" max="9216" width="14.140625" style="163" bestFit="1" customWidth="1"/>
    <col min="9217" max="9217" width="31.28515625" style="163" customWidth="1"/>
    <col min="9218" max="9218" width="0.85546875" style="163" customWidth="1"/>
    <col min="9219" max="9219" width="11.28515625" style="163" bestFit="1" customWidth="1"/>
    <col min="9220" max="9222" width="11.140625" style="163" customWidth="1"/>
    <col min="9223" max="9223" width="9.85546875" style="163" customWidth="1"/>
    <col min="9224" max="9225" width="11.140625" style="163" customWidth="1"/>
    <col min="9226" max="9226" width="0.85546875" style="163" customWidth="1"/>
    <col min="9227" max="9227" width="11.28515625" style="163" bestFit="1" customWidth="1"/>
    <col min="9228" max="9229" width="11.140625" style="163" customWidth="1"/>
    <col min="9230" max="9230" width="9.85546875" style="163" customWidth="1"/>
    <col min="9231" max="9231" width="11.140625" style="163" customWidth="1"/>
    <col min="9232" max="9232" width="0.85546875" style="163" customWidth="1"/>
    <col min="9233" max="9233" width="11.28515625" style="163" bestFit="1" customWidth="1"/>
    <col min="9234" max="9235" width="11.140625" style="163" customWidth="1"/>
    <col min="9236" max="9236" width="9.85546875" style="163" customWidth="1"/>
    <col min="9237" max="9237" width="11.140625" style="163" customWidth="1"/>
    <col min="9238" max="9238" width="0.85546875" style="163" customWidth="1"/>
    <col min="9239" max="9239" width="11.28515625" style="163" bestFit="1" customWidth="1"/>
    <col min="9240" max="9241" width="11.140625" style="163" customWidth="1"/>
    <col min="9242" max="9242" width="9.85546875" style="163" customWidth="1"/>
    <col min="9243" max="9243" width="11.140625" style="163" customWidth="1"/>
    <col min="9244" max="9245" width="11.28515625" style="163" bestFit="1" customWidth="1"/>
    <col min="9246" max="9246" width="11" style="163" bestFit="1" customWidth="1"/>
    <col min="9247" max="9471" width="9.140625" style="163"/>
    <col min="9472" max="9472" width="14.140625" style="163" bestFit="1" customWidth="1"/>
    <col min="9473" max="9473" width="31.28515625" style="163" customWidth="1"/>
    <col min="9474" max="9474" width="0.85546875" style="163" customWidth="1"/>
    <col min="9475" max="9475" width="11.28515625" style="163" bestFit="1" customWidth="1"/>
    <col min="9476" max="9478" width="11.140625" style="163" customWidth="1"/>
    <col min="9479" max="9479" width="9.85546875" style="163" customWidth="1"/>
    <col min="9480" max="9481" width="11.140625" style="163" customWidth="1"/>
    <col min="9482" max="9482" width="0.85546875" style="163" customWidth="1"/>
    <col min="9483" max="9483" width="11.28515625" style="163" bestFit="1" customWidth="1"/>
    <col min="9484" max="9485" width="11.140625" style="163" customWidth="1"/>
    <col min="9486" max="9486" width="9.85546875" style="163" customWidth="1"/>
    <col min="9487" max="9487" width="11.140625" style="163" customWidth="1"/>
    <col min="9488" max="9488" width="0.85546875" style="163" customWidth="1"/>
    <col min="9489" max="9489" width="11.28515625" style="163" bestFit="1" customWidth="1"/>
    <col min="9490" max="9491" width="11.140625" style="163" customWidth="1"/>
    <col min="9492" max="9492" width="9.85546875" style="163" customWidth="1"/>
    <col min="9493" max="9493" width="11.140625" style="163" customWidth="1"/>
    <col min="9494" max="9494" width="0.85546875" style="163" customWidth="1"/>
    <col min="9495" max="9495" width="11.28515625" style="163" bestFit="1" customWidth="1"/>
    <col min="9496" max="9497" width="11.140625" style="163" customWidth="1"/>
    <col min="9498" max="9498" width="9.85546875" style="163" customWidth="1"/>
    <col min="9499" max="9499" width="11.140625" style="163" customWidth="1"/>
    <col min="9500" max="9501" width="11.28515625" style="163" bestFit="1" customWidth="1"/>
    <col min="9502" max="9502" width="11" style="163" bestFit="1" customWidth="1"/>
    <col min="9503" max="9727" width="9.140625" style="163"/>
    <col min="9728" max="9728" width="14.140625" style="163" bestFit="1" customWidth="1"/>
    <col min="9729" max="9729" width="31.28515625" style="163" customWidth="1"/>
    <col min="9730" max="9730" width="0.85546875" style="163" customWidth="1"/>
    <col min="9731" max="9731" width="11.28515625" style="163" bestFit="1" customWidth="1"/>
    <col min="9732" max="9734" width="11.140625" style="163" customWidth="1"/>
    <col min="9735" max="9735" width="9.85546875" style="163" customWidth="1"/>
    <col min="9736" max="9737" width="11.140625" style="163" customWidth="1"/>
    <col min="9738" max="9738" width="0.85546875" style="163" customWidth="1"/>
    <col min="9739" max="9739" width="11.28515625" style="163" bestFit="1" customWidth="1"/>
    <col min="9740" max="9741" width="11.140625" style="163" customWidth="1"/>
    <col min="9742" max="9742" width="9.85546875" style="163" customWidth="1"/>
    <col min="9743" max="9743" width="11.140625" style="163" customWidth="1"/>
    <col min="9744" max="9744" width="0.85546875" style="163" customWidth="1"/>
    <col min="9745" max="9745" width="11.28515625" style="163" bestFit="1" customWidth="1"/>
    <col min="9746" max="9747" width="11.140625" style="163" customWidth="1"/>
    <col min="9748" max="9748" width="9.85546875" style="163" customWidth="1"/>
    <col min="9749" max="9749" width="11.140625" style="163" customWidth="1"/>
    <col min="9750" max="9750" width="0.85546875" style="163" customWidth="1"/>
    <col min="9751" max="9751" width="11.28515625" style="163" bestFit="1" customWidth="1"/>
    <col min="9752" max="9753" width="11.140625" style="163" customWidth="1"/>
    <col min="9754" max="9754" width="9.85546875" style="163" customWidth="1"/>
    <col min="9755" max="9755" width="11.140625" style="163" customWidth="1"/>
    <col min="9756" max="9757" width="11.28515625" style="163" bestFit="1" customWidth="1"/>
    <col min="9758" max="9758" width="11" style="163" bestFit="1" customWidth="1"/>
    <col min="9759" max="9983" width="9.140625" style="163"/>
    <col min="9984" max="9984" width="14.140625" style="163" bestFit="1" customWidth="1"/>
    <col min="9985" max="9985" width="31.28515625" style="163" customWidth="1"/>
    <col min="9986" max="9986" width="0.85546875" style="163" customWidth="1"/>
    <col min="9987" max="9987" width="11.28515625" style="163" bestFit="1" customWidth="1"/>
    <col min="9988" max="9990" width="11.140625" style="163" customWidth="1"/>
    <col min="9991" max="9991" width="9.85546875" style="163" customWidth="1"/>
    <col min="9992" max="9993" width="11.140625" style="163" customWidth="1"/>
    <col min="9994" max="9994" width="0.85546875" style="163" customWidth="1"/>
    <col min="9995" max="9995" width="11.28515625" style="163" bestFit="1" customWidth="1"/>
    <col min="9996" max="9997" width="11.140625" style="163" customWidth="1"/>
    <col min="9998" max="9998" width="9.85546875" style="163" customWidth="1"/>
    <col min="9999" max="9999" width="11.140625" style="163" customWidth="1"/>
    <col min="10000" max="10000" width="0.85546875" style="163" customWidth="1"/>
    <col min="10001" max="10001" width="11.28515625" style="163" bestFit="1" customWidth="1"/>
    <col min="10002" max="10003" width="11.140625" style="163" customWidth="1"/>
    <col min="10004" max="10004" width="9.85546875" style="163" customWidth="1"/>
    <col min="10005" max="10005" width="11.140625" style="163" customWidth="1"/>
    <col min="10006" max="10006" width="0.85546875" style="163" customWidth="1"/>
    <col min="10007" max="10007" width="11.28515625" style="163" bestFit="1" customWidth="1"/>
    <col min="10008" max="10009" width="11.140625" style="163" customWidth="1"/>
    <col min="10010" max="10010" width="9.85546875" style="163" customWidth="1"/>
    <col min="10011" max="10011" width="11.140625" style="163" customWidth="1"/>
    <col min="10012" max="10013" width="11.28515625" style="163" bestFit="1" customWidth="1"/>
    <col min="10014" max="10014" width="11" style="163" bestFit="1" customWidth="1"/>
    <col min="10015" max="10239" width="9.140625" style="163"/>
    <col min="10240" max="10240" width="14.140625" style="163" bestFit="1" customWidth="1"/>
    <col min="10241" max="10241" width="31.28515625" style="163" customWidth="1"/>
    <col min="10242" max="10242" width="0.85546875" style="163" customWidth="1"/>
    <col min="10243" max="10243" width="11.28515625" style="163" bestFit="1" customWidth="1"/>
    <col min="10244" max="10246" width="11.140625" style="163" customWidth="1"/>
    <col min="10247" max="10247" width="9.85546875" style="163" customWidth="1"/>
    <col min="10248" max="10249" width="11.140625" style="163" customWidth="1"/>
    <col min="10250" max="10250" width="0.85546875" style="163" customWidth="1"/>
    <col min="10251" max="10251" width="11.28515625" style="163" bestFit="1" customWidth="1"/>
    <col min="10252" max="10253" width="11.140625" style="163" customWidth="1"/>
    <col min="10254" max="10254" width="9.85546875" style="163" customWidth="1"/>
    <col min="10255" max="10255" width="11.140625" style="163" customWidth="1"/>
    <col min="10256" max="10256" width="0.85546875" style="163" customWidth="1"/>
    <col min="10257" max="10257" width="11.28515625" style="163" bestFit="1" customWidth="1"/>
    <col min="10258" max="10259" width="11.140625" style="163" customWidth="1"/>
    <col min="10260" max="10260" width="9.85546875" style="163" customWidth="1"/>
    <col min="10261" max="10261" width="11.140625" style="163" customWidth="1"/>
    <col min="10262" max="10262" width="0.85546875" style="163" customWidth="1"/>
    <col min="10263" max="10263" width="11.28515625" style="163" bestFit="1" customWidth="1"/>
    <col min="10264" max="10265" width="11.140625" style="163" customWidth="1"/>
    <col min="10266" max="10266" width="9.85546875" style="163" customWidth="1"/>
    <col min="10267" max="10267" width="11.140625" style="163" customWidth="1"/>
    <col min="10268" max="10269" width="11.28515625" style="163" bestFit="1" customWidth="1"/>
    <col min="10270" max="10270" width="11" style="163" bestFit="1" customWidth="1"/>
    <col min="10271" max="10495" width="9.140625" style="163"/>
    <col min="10496" max="10496" width="14.140625" style="163" bestFit="1" customWidth="1"/>
    <col min="10497" max="10497" width="31.28515625" style="163" customWidth="1"/>
    <col min="10498" max="10498" width="0.85546875" style="163" customWidth="1"/>
    <col min="10499" max="10499" width="11.28515625" style="163" bestFit="1" customWidth="1"/>
    <col min="10500" max="10502" width="11.140625" style="163" customWidth="1"/>
    <col min="10503" max="10503" width="9.85546875" style="163" customWidth="1"/>
    <col min="10504" max="10505" width="11.140625" style="163" customWidth="1"/>
    <col min="10506" max="10506" width="0.85546875" style="163" customWidth="1"/>
    <col min="10507" max="10507" width="11.28515625" style="163" bestFit="1" customWidth="1"/>
    <col min="10508" max="10509" width="11.140625" style="163" customWidth="1"/>
    <col min="10510" max="10510" width="9.85546875" style="163" customWidth="1"/>
    <col min="10511" max="10511" width="11.140625" style="163" customWidth="1"/>
    <col min="10512" max="10512" width="0.85546875" style="163" customWidth="1"/>
    <col min="10513" max="10513" width="11.28515625" style="163" bestFit="1" customWidth="1"/>
    <col min="10514" max="10515" width="11.140625" style="163" customWidth="1"/>
    <col min="10516" max="10516" width="9.85546875" style="163" customWidth="1"/>
    <col min="10517" max="10517" width="11.140625" style="163" customWidth="1"/>
    <col min="10518" max="10518" width="0.85546875" style="163" customWidth="1"/>
    <col min="10519" max="10519" width="11.28515625" style="163" bestFit="1" customWidth="1"/>
    <col min="10520" max="10521" width="11.140625" style="163" customWidth="1"/>
    <col min="10522" max="10522" width="9.85546875" style="163" customWidth="1"/>
    <col min="10523" max="10523" width="11.140625" style="163" customWidth="1"/>
    <col min="10524" max="10525" width="11.28515625" style="163" bestFit="1" customWidth="1"/>
    <col min="10526" max="10526" width="11" style="163" bestFit="1" customWidth="1"/>
    <col min="10527" max="10751" width="9.140625" style="163"/>
    <col min="10752" max="10752" width="14.140625" style="163" bestFit="1" customWidth="1"/>
    <col min="10753" max="10753" width="31.28515625" style="163" customWidth="1"/>
    <col min="10754" max="10754" width="0.85546875" style="163" customWidth="1"/>
    <col min="10755" max="10755" width="11.28515625" style="163" bestFit="1" customWidth="1"/>
    <col min="10756" max="10758" width="11.140625" style="163" customWidth="1"/>
    <col min="10759" max="10759" width="9.85546875" style="163" customWidth="1"/>
    <col min="10760" max="10761" width="11.140625" style="163" customWidth="1"/>
    <col min="10762" max="10762" width="0.85546875" style="163" customWidth="1"/>
    <col min="10763" max="10763" width="11.28515625" style="163" bestFit="1" customWidth="1"/>
    <col min="10764" max="10765" width="11.140625" style="163" customWidth="1"/>
    <col min="10766" max="10766" width="9.85546875" style="163" customWidth="1"/>
    <col min="10767" max="10767" width="11.140625" style="163" customWidth="1"/>
    <col min="10768" max="10768" width="0.85546875" style="163" customWidth="1"/>
    <col min="10769" max="10769" width="11.28515625" style="163" bestFit="1" customWidth="1"/>
    <col min="10770" max="10771" width="11.140625" style="163" customWidth="1"/>
    <col min="10772" max="10772" width="9.85546875" style="163" customWidth="1"/>
    <col min="10773" max="10773" width="11.140625" style="163" customWidth="1"/>
    <col min="10774" max="10774" width="0.85546875" style="163" customWidth="1"/>
    <col min="10775" max="10775" width="11.28515625" style="163" bestFit="1" customWidth="1"/>
    <col min="10776" max="10777" width="11.140625" style="163" customWidth="1"/>
    <col min="10778" max="10778" width="9.85546875" style="163" customWidth="1"/>
    <col min="10779" max="10779" width="11.140625" style="163" customWidth="1"/>
    <col min="10780" max="10781" width="11.28515625" style="163" bestFit="1" customWidth="1"/>
    <col min="10782" max="10782" width="11" style="163" bestFit="1" customWidth="1"/>
    <col min="10783" max="11007" width="9.140625" style="163"/>
    <col min="11008" max="11008" width="14.140625" style="163" bestFit="1" customWidth="1"/>
    <col min="11009" max="11009" width="31.28515625" style="163" customWidth="1"/>
    <col min="11010" max="11010" width="0.85546875" style="163" customWidth="1"/>
    <col min="11011" max="11011" width="11.28515625" style="163" bestFit="1" customWidth="1"/>
    <col min="11012" max="11014" width="11.140625" style="163" customWidth="1"/>
    <col min="11015" max="11015" width="9.85546875" style="163" customWidth="1"/>
    <col min="11016" max="11017" width="11.140625" style="163" customWidth="1"/>
    <col min="11018" max="11018" width="0.85546875" style="163" customWidth="1"/>
    <col min="11019" max="11019" width="11.28515625" style="163" bestFit="1" customWidth="1"/>
    <col min="11020" max="11021" width="11.140625" style="163" customWidth="1"/>
    <col min="11022" max="11022" width="9.85546875" style="163" customWidth="1"/>
    <col min="11023" max="11023" width="11.140625" style="163" customWidth="1"/>
    <col min="11024" max="11024" width="0.85546875" style="163" customWidth="1"/>
    <col min="11025" max="11025" width="11.28515625" style="163" bestFit="1" customWidth="1"/>
    <col min="11026" max="11027" width="11.140625" style="163" customWidth="1"/>
    <col min="11028" max="11028" width="9.85546875" style="163" customWidth="1"/>
    <col min="11029" max="11029" width="11.140625" style="163" customWidth="1"/>
    <col min="11030" max="11030" width="0.85546875" style="163" customWidth="1"/>
    <col min="11031" max="11031" width="11.28515625" style="163" bestFit="1" customWidth="1"/>
    <col min="11032" max="11033" width="11.140625" style="163" customWidth="1"/>
    <col min="11034" max="11034" width="9.85546875" style="163" customWidth="1"/>
    <col min="11035" max="11035" width="11.140625" style="163" customWidth="1"/>
    <col min="11036" max="11037" width="11.28515625" style="163" bestFit="1" customWidth="1"/>
    <col min="11038" max="11038" width="11" style="163" bestFit="1" customWidth="1"/>
    <col min="11039" max="11263" width="9.140625" style="163"/>
    <col min="11264" max="11264" width="14.140625" style="163" bestFit="1" customWidth="1"/>
    <col min="11265" max="11265" width="31.28515625" style="163" customWidth="1"/>
    <col min="11266" max="11266" width="0.85546875" style="163" customWidth="1"/>
    <col min="11267" max="11267" width="11.28515625" style="163" bestFit="1" customWidth="1"/>
    <col min="11268" max="11270" width="11.140625" style="163" customWidth="1"/>
    <col min="11271" max="11271" width="9.85546875" style="163" customWidth="1"/>
    <col min="11272" max="11273" width="11.140625" style="163" customWidth="1"/>
    <col min="11274" max="11274" width="0.85546875" style="163" customWidth="1"/>
    <col min="11275" max="11275" width="11.28515625" style="163" bestFit="1" customWidth="1"/>
    <col min="11276" max="11277" width="11.140625" style="163" customWidth="1"/>
    <col min="11278" max="11278" width="9.85546875" style="163" customWidth="1"/>
    <col min="11279" max="11279" width="11.140625" style="163" customWidth="1"/>
    <col min="11280" max="11280" width="0.85546875" style="163" customWidth="1"/>
    <col min="11281" max="11281" width="11.28515625" style="163" bestFit="1" customWidth="1"/>
    <col min="11282" max="11283" width="11.140625" style="163" customWidth="1"/>
    <col min="11284" max="11284" width="9.85546875" style="163" customWidth="1"/>
    <col min="11285" max="11285" width="11.140625" style="163" customWidth="1"/>
    <col min="11286" max="11286" width="0.85546875" style="163" customWidth="1"/>
    <col min="11287" max="11287" width="11.28515625" style="163" bestFit="1" customWidth="1"/>
    <col min="11288" max="11289" width="11.140625" style="163" customWidth="1"/>
    <col min="11290" max="11290" width="9.85546875" style="163" customWidth="1"/>
    <col min="11291" max="11291" width="11.140625" style="163" customWidth="1"/>
    <col min="11292" max="11293" width="11.28515625" style="163" bestFit="1" customWidth="1"/>
    <col min="11294" max="11294" width="11" style="163" bestFit="1" customWidth="1"/>
    <col min="11295" max="11519" width="9.140625" style="163"/>
    <col min="11520" max="11520" width="14.140625" style="163" bestFit="1" customWidth="1"/>
    <col min="11521" max="11521" width="31.28515625" style="163" customWidth="1"/>
    <col min="11522" max="11522" width="0.85546875" style="163" customWidth="1"/>
    <col min="11523" max="11523" width="11.28515625" style="163" bestFit="1" customWidth="1"/>
    <col min="11524" max="11526" width="11.140625" style="163" customWidth="1"/>
    <col min="11527" max="11527" width="9.85546875" style="163" customWidth="1"/>
    <col min="11528" max="11529" width="11.140625" style="163" customWidth="1"/>
    <col min="11530" max="11530" width="0.85546875" style="163" customWidth="1"/>
    <col min="11531" max="11531" width="11.28515625" style="163" bestFit="1" customWidth="1"/>
    <col min="11532" max="11533" width="11.140625" style="163" customWidth="1"/>
    <col min="11534" max="11534" width="9.85546875" style="163" customWidth="1"/>
    <col min="11535" max="11535" width="11.140625" style="163" customWidth="1"/>
    <col min="11536" max="11536" width="0.85546875" style="163" customWidth="1"/>
    <col min="11537" max="11537" width="11.28515625" style="163" bestFit="1" customWidth="1"/>
    <col min="11538" max="11539" width="11.140625" style="163" customWidth="1"/>
    <col min="11540" max="11540" width="9.85546875" style="163" customWidth="1"/>
    <col min="11541" max="11541" width="11.140625" style="163" customWidth="1"/>
    <col min="11542" max="11542" width="0.85546875" style="163" customWidth="1"/>
    <col min="11543" max="11543" width="11.28515625" style="163" bestFit="1" customWidth="1"/>
    <col min="11544" max="11545" width="11.140625" style="163" customWidth="1"/>
    <col min="11546" max="11546" width="9.85546875" style="163" customWidth="1"/>
    <col min="11547" max="11547" width="11.140625" style="163" customWidth="1"/>
    <col min="11548" max="11549" width="11.28515625" style="163" bestFit="1" customWidth="1"/>
    <col min="11550" max="11550" width="11" style="163" bestFit="1" customWidth="1"/>
    <col min="11551" max="11775" width="9.140625" style="163"/>
    <col min="11776" max="11776" width="14.140625" style="163" bestFit="1" customWidth="1"/>
    <col min="11777" max="11777" width="31.28515625" style="163" customWidth="1"/>
    <col min="11778" max="11778" width="0.85546875" style="163" customWidth="1"/>
    <col min="11779" max="11779" width="11.28515625" style="163" bestFit="1" customWidth="1"/>
    <col min="11780" max="11782" width="11.140625" style="163" customWidth="1"/>
    <col min="11783" max="11783" width="9.85546875" style="163" customWidth="1"/>
    <col min="11784" max="11785" width="11.140625" style="163" customWidth="1"/>
    <col min="11786" max="11786" width="0.85546875" style="163" customWidth="1"/>
    <col min="11787" max="11787" width="11.28515625" style="163" bestFit="1" customWidth="1"/>
    <col min="11788" max="11789" width="11.140625" style="163" customWidth="1"/>
    <col min="11790" max="11790" width="9.85546875" style="163" customWidth="1"/>
    <col min="11791" max="11791" width="11.140625" style="163" customWidth="1"/>
    <col min="11792" max="11792" width="0.85546875" style="163" customWidth="1"/>
    <col min="11793" max="11793" width="11.28515625" style="163" bestFit="1" customWidth="1"/>
    <col min="11794" max="11795" width="11.140625" style="163" customWidth="1"/>
    <col min="11796" max="11796" width="9.85546875" style="163" customWidth="1"/>
    <col min="11797" max="11797" width="11.140625" style="163" customWidth="1"/>
    <col min="11798" max="11798" width="0.85546875" style="163" customWidth="1"/>
    <col min="11799" max="11799" width="11.28515625" style="163" bestFit="1" customWidth="1"/>
    <col min="11800" max="11801" width="11.140625" style="163" customWidth="1"/>
    <col min="11802" max="11802" width="9.85546875" style="163" customWidth="1"/>
    <col min="11803" max="11803" width="11.140625" style="163" customWidth="1"/>
    <col min="11804" max="11805" width="11.28515625" style="163" bestFit="1" customWidth="1"/>
    <col min="11806" max="11806" width="11" style="163" bestFit="1" customWidth="1"/>
    <col min="11807" max="12031" width="9.140625" style="163"/>
    <col min="12032" max="12032" width="14.140625" style="163" bestFit="1" customWidth="1"/>
    <col min="12033" max="12033" width="31.28515625" style="163" customWidth="1"/>
    <col min="12034" max="12034" width="0.85546875" style="163" customWidth="1"/>
    <col min="12035" max="12035" width="11.28515625" style="163" bestFit="1" customWidth="1"/>
    <col min="12036" max="12038" width="11.140625" style="163" customWidth="1"/>
    <col min="12039" max="12039" width="9.85546875" style="163" customWidth="1"/>
    <col min="12040" max="12041" width="11.140625" style="163" customWidth="1"/>
    <col min="12042" max="12042" width="0.85546875" style="163" customWidth="1"/>
    <col min="12043" max="12043" width="11.28515625" style="163" bestFit="1" customWidth="1"/>
    <col min="12044" max="12045" width="11.140625" style="163" customWidth="1"/>
    <col min="12046" max="12046" width="9.85546875" style="163" customWidth="1"/>
    <col min="12047" max="12047" width="11.140625" style="163" customWidth="1"/>
    <col min="12048" max="12048" width="0.85546875" style="163" customWidth="1"/>
    <col min="12049" max="12049" width="11.28515625" style="163" bestFit="1" customWidth="1"/>
    <col min="12050" max="12051" width="11.140625" style="163" customWidth="1"/>
    <col min="12052" max="12052" width="9.85546875" style="163" customWidth="1"/>
    <col min="12053" max="12053" width="11.140625" style="163" customWidth="1"/>
    <col min="12054" max="12054" width="0.85546875" style="163" customWidth="1"/>
    <col min="12055" max="12055" width="11.28515625" style="163" bestFit="1" customWidth="1"/>
    <col min="12056" max="12057" width="11.140625" style="163" customWidth="1"/>
    <col min="12058" max="12058" width="9.85546875" style="163" customWidth="1"/>
    <col min="12059" max="12059" width="11.140625" style="163" customWidth="1"/>
    <col min="12060" max="12061" width="11.28515625" style="163" bestFit="1" customWidth="1"/>
    <col min="12062" max="12062" width="11" style="163" bestFit="1" customWidth="1"/>
    <col min="12063" max="12287" width="9.140625" style="163"/>
    <col min="12288" max="12288" width="14.140625" style="163" bestFit="1" customWidth="1"/>
    <col min="12289" max="12289" width="31.28515625" style="163" customWidth="1"/>
    <col min="12290" max="12290" width="0.85546875" style="163" customWidth="1"/>
    <col min="12291" max="12291" width="11.28515625" style="163" bestFit="1" customWidth="1"/>
    <col min="12292" max="12294" width="11.140625" style="163" customWidth="1"/>
    <col min="12295" max="12295" width="9.85546875" style="163" customWidth="1"/>
    <col min="12296" max="12297" width="11.140625" style="163" customWidth="1"/>
    <col min="12298" max="12298" width="0.85546875" style="163" customWidth="1"/>
    <col min="12299" max="12299" width="11.28515625" style="163" bestFit="1" customWidth="1"/>
    <col min="12300" max="12301" width="11.140625" style="163" customWidth="1"/>
    <col min="12302" max="12302" width="9.85546875" style="163" customWidth="1"/>
    <col min="12303" max="12303" width="11.140625" style="163" customWidth="1"/>
    <col min="12304" max="12304" width="0.85546875" style="163" customWidth="1"/>
    <col min="12305" max="12305" width="11.28515625" style="163" bestFit="1" customWidth="1"/>
    <col min="12306" max="12307" width="11.140625" style="163" customWidth="1"/>
    <col min="12308" max="12308" width="9.85546875" style="163" customWidth="1"/>
    <col min="12309" max="12309" width="11.140625" style="163" customWidth="1"/>
    <col min="12310" max="12310" width="0.85546875" style="163" customWidth="1"/>
    <col min="12311" max="12311" width="11.28515625" style="163" bestFit="1" customWidth="1"/>
    <col min="12312" max="12313" width="11.140625" style="163" customWidth="1"/>
    <col min="12314" max="12314" width="9.85546875" style="163" customWidth="1"/>
    <col min="12315" max="12315" width="11.140625" style="163" customWidth="1"/>
    <col min="12316" max="12317" width="11.28515625" style="163" bestFit="1" customWidth="1"/>
    <col min="12318" max="12318" width="11" style="163" bestFit="1" customWidth="1"/>
    <col min="12319" max="12543" width="9.140625" style="163"/>
    <col min="12544" max="12544" width="14.140625" style="163" bestFit="1" customWidth="1"/>
    <col min="12545" max="12545" width="31.28515625" style="163" customWidth="1"/>
    <col min="12546" max="12546" width="0.85546875" style="163" customWidth="1"/>
    <col min="12547" max="12547" width="11.28515625" style="163" bestFit="1" customWidth="1"/>
    <col min="12548" max="12550" width="11.140625" style="163" customWidth="1"/>
    <col min="12551" max="12551" width="9.85546875" style="163" customWidth="1"/>
    <col min="12552" max="12553" width="11.140625" style="163" customWidth="1"/>
    <col min="12554" max="12554" width="0.85546875" style="163" customWidth="1"/>
    <col min="12555" max="12555" width="11.28515625" style="163" bestFit="1" customWidth="1"/>
    <col min="12556" max="12557" width="11.140625" style="163" customWidth="1"/>
    <col min="12558" max="12558" width="9.85546875" style="163" customWidth="1"/>
    <col min="12559" max="12559" width="11.140625" style="163" customWidth="1"/>
    <col min="12560" max="12560" width="0.85546875" style="163" customWidth="1"/>
    <col min="12561" max="12561" width="11.28515625" style="163" bestFit="1" customWidth="1"/>
    <col min="12562" max="12563" width="11.140625" style="163" customWidth="1"/>
    <col min="12564" max="12564" width="9.85546875" style="163" customWidth="1"/>
    <col min="12565" max="12565" width="11.140625" style="163" customWidth="1"/>
    <col min="12566" max="12566" width="0.85546875" style="163" customWidth="1"/>
    <col min="12567" max="12567" width="11.28515625" style="163" bestFit="1" customWidth="1"/>
    <col min="12568" max="12569" width="11.140625" style="163" customWidth="1"/>
    <col min="12570" max="12570" width="9.85546875" style="163" customWidth="1"/>
    <col min="12571" max="12571" width="11.140625" style="163" customWidth="1"/>
    <col min="12572" max="12573" width="11.28515625" style="163" bestFit="1" customWidth="1"/>
    <col min="12574" max="12574" width="11" style="163" bestFit="1" customWidth="1"/>
    <col min="12575" max="12799" width="9.140625" style="163"/>
    <col min="12800" max="12800" width="14.140625" style="163" bestFit="1" customWidth="1"/>
    <col min="12801" max="12801" width="31.28515625" style="163" customWidth="1"/>
    <col min="12802" max="12802" width="0.85546875" style="163" customWidth="1"/>
    <col min="12803" max="12803" width="11.28515625" style="163" bestFit="1" customWidth="1"/>
    <col min="12804" max="12806" width="11.140625" style="163" customWidth="1"/>
    <col min="12807" max="12807" width="9.85546875" style="163" customWidth="1"/>
    <col min="12808" max="12809" width="11.140625" style="163" customWidth="1"/>
    <col min="12810" max="12810" width="0.85546875" style="163" customWidth="1"/>
    <col min="12811" max="12811" width="11.28515625" style="163" bestFit="1" customWidth="1"/>
    <col min="12812" max="12813" width="11.140625" style="163" customWidth="1"/>
    <col min="12814" max="12814" width="9.85546875" style="163" customWidth="1"/>
    <col min="12815" max="12815" width="11.140625" style="163" customWidth="1"/>
    <col min="12816" max="12816" width="0.85546875" style="163" customWidth="1"/>
    <col min="12817" max="12817" width="11.28515625" style="163" bestFit="1" customWidth="1"/>
    <col min="12818" max="12819" width="11.140625" style="163" customWidth="1"/>
    <col min="12820" max="12820" width="9.85546875" style="163" customWidth="1"/>
    <col min="12821" max="12821" width="11.140625" style="163" customWidth="1"/>
    <col min="12822" max="12822" width="0.85546875" style="163" customWidth="1"/>
    <col min="12823" max="12823" width="11.28515625" style="163" bestFit="1" customWidth="1"/>
    <col min="12824" max="12825" width="11.140625" style="163" customWidth="1"/>
    <col min="12826" max="12826" width="9.85546875" style="163" customWidth="1"/>
    <col min="12827" max="12827" width="11.140625" style="163" customWidth="1"/>
    <col min="12828" max="12829" width="11.28515625" style="163" bestFit="1" customWidth="1"/>
    <col min="12830" max="12830" width="11" style="163" bestFit="1" customWidth="1"/>
    <col min="12831" max="13055" width="9.140625" style="163"/>
    <col min="13056" max="13056" width="14.140625" style="163" bestFit="1" customWidth="1"/>
    <col min="13057" max="13057" width="31.28515625" style="163" customWidth="1"/>
    <col min="13058" max="13058" width="0.85546875" style="163" customWidth="1"/>
    <col min="13059" max="13059" width="11.28515625" style="163" bestFit="1" customWidth="1"/>
    <col min="13060" max="13062" width="11.140625" style="163" customWidth="1"/>
    <col min="13063" max="13063" width="9.85546875" style="163" customWidth="1"/>
    <col min="13064" max="13065" width="11.140625" style="163" customWidth="1"/>
    <col min="13066" max="13066" width="0.85546875" style="163" customWidth="1"/>
    <col min="13067" max="13067" width="11.28515625" style="163" bestFit="1" customWidth="1"/>
    <col min="13068" max="13069" width="11.140625" style="163" customWidth="1"/>
    <col min="13070" max="13070" width="9.85546875" style="163" customWidth="1"/>
    <col min="13071" max="13071" width="11.140625" style="163" customWidth="1"/>
    <col min="13072" max="13072" width="0.85546875" style="163" customWidth="1"/>
    <col min="13073" max="13073" width="11.28515625" style="163" bestFit="1" customWidth="1"/>
    <col min="13074" max="13075" width="11.140625" style="163" customWidth="1"/>
    <col min="13076" max="13076" width="9.85546875" style="163" customWidth="1"/>
    <col min="13077" max="13077" width="11.140625" style="163" customWidth="1"/>
    <col min="13078" max="13078" width="0.85546875" style="163" customWidth="1"/>
    <col min="13079" max="13079" width="11.28515625" style="163" bestFit="1" customWidth="1"/>
    <col min="13080" max="13081" width="11.140625" style="163" customWidth="1"/>
    <col min="13082" max="13082" width="9.85546875" style="163" customWidth="1"/>
    <col min="13083" max="13083" width="11.140625" style="163" customWidth="1"/>
    <col min="13084" max="13085" width="11.28515625" style="163" bestFit="1" customWidth="1"/>
    <col min="13086" max="13086" width="11" style="163" bestFit="1" customWidth="1"/>
    <col min="13087" max="13311" width="9.140625" style="163"/>
    <col min="13312" max="13312" width="14.140625" style="163" bestFit="1" customWidth="1"/>
    <col min="13313" max="13313" width="31.28515625" style="163" customWidth="1"/>
    <col min="13314" max="13314" width="0.85546875" style="163" customWidth="1"/>
    <col min="13315" max="13315" width="11.28515625" style="163" bestFit="1" customWidth="1"/>
    <col min="13316" max="13318" width="11.140625" style="163" customWidth="1"/>
    <col min="13319" max="13319" width="9.85546875" style="163" customWidth="1"/>
    <col min="13320" max="13321" width="11.140625" style="163" customWidth="1"/>
    <col min="13322" max="13322" width="0.85546875" style="163" customWidth="1"/>
    <col min="13323" max="13323" width="11.28515625" style="163" bestFit="1" customWidth="1"/>
    <col min="13324" max="13325" width="11.140625" style="163" customWidth="1"/>
    <col min="13326" max="13326" width="9.85546875" style="163" customWidth="1"/>
    <col min="13327" max="13327" width="11.140625" style="163" customWidth="1"/>
    <col min="13328" max="13328" width="0.85546875" style="163" customWidth="1"/>
    <col min="13329" max="13329" width="11.28515625" style="163" bestFit="1" customWidth="1"/>
    <col min="13330" max="13331" width="11.140625" style="163" customWidth="1"/>
    <col min="13332" max="13332" width="9.85546875" style="163" customWidth="1"/>
    <col min="13333" max="13333" width="11.140625" style="163" customWidth="1"/>
    <col min="13334" max="13334" width="0.85546875" style="163" customWidth="1"/>
    <col min="13335" max="13335" width="11.28515625" style="163" bestFit="1" customWidth="1"/>
    <col min="13336" max="13337" width="11.140625" style="163" customWidth="1"/>
    <col min="13338" max="13338" width="9.85546875" style="163" customWidth="1"/>
    <col min="13339" max="13339" width="11.140625" style="163" customWidth="1"/>
    <col min="13340" max="13341" width="11.28515625" style="163" bestFit="1" customWidth="1"/>
    <col min="13342" max="13342" width="11" style="163" bestFit="1" customWidth="1"/>
    <col min="13343" max="13567" width="9.140625" style="163"/>
    <col min="13568" max="13568" width="14.140625" style="163" bestFit="1" customWidth="1"/>
    <col min="13569" max="13569" width="31.28515625" style="163" customWidth="1"/>
    <col min="13570" max="13570" width="0.85546875" style="163" customWidth="1"/>
    <col min="13571" max="13571" width="11.28515625" style="163" bestFit="1" customWidth="1"/>
    <col min="13572" max="13574" width="11.140625" style="163" customWidth="1"/>
    <col min="13575" max="13575" width="9.85546875" style="163" customWidth="1"/>
    <col min="13576" max="13577" width="11.140625" style="163" customWidth="1"/>
    <col min="13578" max="13578" width="0.85546875" style="163" customWidth="1"/>
    <col min="13579" max="13579" width="11.28515625" style="163" bestFit="1" customWidth="1"/>
    <col min="13580" max="13581" width="11.140625" style="163" customWidth="1"/>
    <col min="13582" max="13582" width="9.85546875" style="163" customWidth="1"/>
    <col min="13583" max="13583" width="11.140625" style="163" customWidth="1"/>
    <col min="13584" max="13584" width="0.85546875" style="163" customWidth="1"/>
    <col min="13585" max="13585" width="11.28515625" style="163" bestFit="1" customWidth="1"/>
    <col min="13586" max="13587" width="11.140625" style="163" customWidth="1"/>
    <col min="13588" max="13588" width="9.85546875" style="163" customWidth="1"/>
    <col min="13589" max="13589" width="11.140625" style="163" customWidth="1"/>
    <col min="13590" max="13590" width="0.85546875" style="163" customWidth="1"/>
    <col min="13591" max="13591" width="11.28515625" style="163" bestFit="1" customWidth="1"/>
    <col min="13592" max="13593" width="11.140625" style="163" customWidth="1"/>
    <col min="13594" max="13594" width="9.85546875" style="163" customWidth="1"/>
    <col min="13595" max="13595" width="11.140625" style="163" customWidth="1"/>
    <col min="13596" max="13597" width="11.28515625" style="163" bestFit="1" customWidth="1"/>
    <col min="13598" max="13598" width="11" style="163" bestFit="1" customWidth="1"/>
    <col min="13599" max="13823" width="9.140625" style="163"/>
    <col min="13824" max="13824" width="14.140625" style="163" bestFit="1" customWidth="1"/>
    <col min="13825" max="13825" width="31.28515625" style="163" customWidth="1"/>
    <col min="13826" max="13826" width="0.85546875" style="163" customWidth="1"/>
    <col min="13827" max="13827" width="11.28515625" style="163" bestFit="1" customWidth="1"/>
    <col min="13828" max="13830" width="11.140625" style="163" customWidth="1"/>
    <col min="13831" max="13831" width="9.85546875" style="163" customWidth="1"/>
    <col min="13832" max="13833" width="11.140625" style="163" customWidth="1"/>
    <col min="13834" max="13834" width="0.85546875" style="163" customWidth="1"/>
    <col min="13835" max="13835" width="11.28515625" style="163" bestFit="1" customWidth="1"/>
    <col min="13836" max="13837" width="11.140625" style="163" customWidth="1"/>
    <col min="13838" max="13838" width="9.85546875" style="163" customWidth="1"/>
    <col min="13839" max="13839" width="11.140625" style="163" customWidth="1"/>
    <col min="13840" max="13840" width="0.85546875" style="163" customWidth="1"/>
    <col min="13841" max="13841" width="11.28515625" style="163" bestFit="1" customWidth="1"/>
    <col min="13842" max="13843" width="11.140625" style="163" customWidth="1"/>
    <col min="13844" max="13844" width="9.85546875" style="163" customWidth="1"/>
    <col min="13845" max="13845" width="11.140625" style="163" customWidth="1"/>
    <col min="13846" max="13846" width="0.85546875" style="163" customWidth="1"/>
    <col min="13847" max="13847" width="11.28515625" style="163" bestFit="1" customWidth="1"/>
    <col min="13848" max="13849" width="11.140625" style="163" customWidth="1"/>
    <col min="13850" max="13850" width="9.85546875" style="163" customWidth="1"/>
    <col min="13851" max="13851" width="11.140625" style="163" customWidth="1"/>
    <col min="13852" max="13853" width="11.28515625" style="163" bestFit="1" customWidth="1"/>
    <col min="13854" max="13854" width="11" style="163" bestFit="1" customWidth="1"/>
    <col min="13855" max="14079" width="9.140625" style="163"/>
    <col min="14080" max="14080" width="14.140625" style="163" bestFit="1" customWidth="1"/>
    <col min="14081" max="14081" width="31.28515625" style="163" customWidth="1"/>
    <col min="14082" max="14082" width="0.85546875" style="163" customWidth="1"/>
    <col min="14083" max="14083" width="11.28515625" style="163" bestFit="1" customWidth="1"/>
    <col min="14084" max="14086" width="11.140625" style="163" customWidth="1"/>
    <col min="14087" max="14087" width="9.85546875" style="163" customWidth="1"/>
    <col min="14088" max="14089" width="11.140625" style="163" customWidth="1"/>
    <col min="14090" max="14090" width="0.85546875" style="163" customWidth="1"/>
    <col min="14091" max="14091" width="11.28515625" style="163" bestFit="1" customWidth="1"/>
    <col min="14092" max="14093" width="11.140625" style="163" customWidth="1"/>
    <col min="14094" max="14094" width="9.85546875" style="163" customWidth="1"/>
    <col min="14095" max="14095" width="11.140625" style="163" customWidth="1"/>
    <col min="14096" max="14096" width="0.85546875" style="163" customWidth="1"/>
    <col min="14097" max="14097" width="11.28515625" style="163" bestFit="1" customWidth="1"/>
    <col min="14098" max="14099" width="11.140625" style="163" customWidth="1"/>
    <col min="14100" max="14100" width="9.85546875" style="163" customWidth="1"/>
    <col min="14101" max="14101" width="11.140625" style="163" customWidth="1"/>
    <col min="14102" max="14102" width="0.85546875" style="163" customWidth="1"/>
    <col min="14103" max="14103" width="11.28515625" style="163" bestFit="1" customWidth="1"/>
    <col min="14104" max="14105" width="11.140625" style="163" customWidth="1"/>
    <col min="14106" max="14106" width="9.85546875" style="163" customWidth="1"/>
    <col min="14107" max="14107" width="11.140625" style="163" customWidth="1"/>
    <col min="14108" max="14109" width="11.28515625" style="163" bestFit="1" customWidth="1"/>
    <col min="14110" max="14110" width="11" style="163" bestFit="1" customWidth="1"/>
    <col min="14111" max="14335" width="9.140625" style="163"/>
    <col min="14336" max="14336" width="14.140625" style="163" bestFit="1" customWidth="1"/>
    <col min="14337" max="14337" width="31.28515625" style="163" customWidth="1"/>
    <col min="14338" max="14338" width="0.85546875" style="163" customWidth="1"/>
    <col min="14339" max="14339" width="11.28515625" style="163" bestFit="1" customWidth="1"/>
    <col min="14340" max="14342" width="11.140625" style="163" customWidth="1"/>
    <col min="14343" max="14343" width="9.85546875" style="163" customWidth="1"/>
    <col min="14344" max="14345" width="11.140625" style="163" customWidth="1"/>
    <col min="14346" max="14346" width="0.85546875" style="163" customWidth="1"/>
    <col min="14347" max="14347" width="11.28515625" style="163" bestFit="1" customWidth="1"/>
    <col min="14348" max="14349" width="11.140625" style="163" customWidth="1"/>
    <col min="14350" max="14350" width="9.85546875" style="163" customWidth="1"/>
    <col min="14351" max="14351" width="11.140625" style="163" customWidth="1"/>
    <col min="14352" max="14352" width="0.85546875" style="163" customWidth="1"/>
    <col min="14353" max="14353" width="11.28515625" style="163" bestFit="1" customWidth="1"/>
    <col min="14354" max="14355" width="11.140625" style="163" customWidth="1"/>
    <col min="14356" max="14356" width="9.85546875" style="163" customWidth="1"/>
    <col min="14357" max="14357" width="11.140625" style="163" customWidth="1"/>
    <col min="14358" max="14358" width="0.85546875" style="163" customWidth="1"/>
    <col min="14359" max="14359" width="11.28515625" style="163" bestFit="1" customWidth="1"/>
    <col min="14360" max="14361" width="11.140625" style="163" customWidth="1"/>
    <col min="14362" max="14362" width="9.85546875" style="163" customWidth="1"/>
    <col min="14363" max="14363" width="11.140625" style="163" customWidth="1"/>
    <col min="14364" max="14365" width="11.28515625" style="163" bestFit="1" customWidth="1"/>
    <col min="14366" max="14366" width="11" style="163" bestFit="1" customWidth="1"/>
    <col min="14367" max="14591" width="9.140625" style="163"/>
    <col min="14592" max="14592" width="14.140625" style="163" bestFit="1" customWidth="1"/>
    <col min="14593" max="14593" width="31.28515625" style="163" customWidth="1"/>
    <col min="14594" max="14594" width="0.85546875" style="163" customWidth="1"/>
    <col min="14595" max="14595" width="11.28515625" style="163" bestFit="1" customWidth="1"/>
    <col min="14596" max="14598" width="11.140625" style="163" customWidth="1"/>
    <col min="14599" max="14599" width="9.85546875" style="163" customWidth="1"/>
    <col min="14600" max="14601" width="11.140625" style="163" customWidth="1"/>
    <col min="14602" max="14602" width="0.85546875" style="163" customWidth="1"/>
    <col min="14603" max="14603" width="11.28515625" style="163" bestFit="1" customWidth="1"/>
    <col min="14604" max="14605" width="11.140625" style="163" customWidth="1"/>
    <col min="14606" max="14606" width="9.85546875" style="163" customWidth="1"/>
    <col min="14607" max="14607" width="11.140625" style="163" customWidth="1"/>
    <col min="14608" max="14608" width="0.85546875" style="163" customWidth="1"/>
    <col min="14609" max="14609" width="11.28515625" style="163" bestFit="1" customWidth="1"/>
    <col min="14610" max="14611" width="11.140625" style="163" customWidth="1"/>
    <col min="14612" max="14612" width="9.85546875" style="163" customWidth="1"/>
    <col min="14613" max="14613" width="11.140625" style="163" customWidth="1"/>
    <col min="14614" max="14614" width="0.85546875" style="163" customWidth="1"/>
    <col min="14615" max="14615" width="11.28515625" style="163" bestFit="1" customWidth="1"/>
    <col min="14616" max="14617" width="11.140625" style="163" customWidth="1"/>
    <col min="14618" max="14618" width="9.85546875" style="163" customWidth="1"/>
    <col min="14619" max="14619" width="11.140625" style="163" customWidth="1"/>
    <col min="14620" max="14621" width="11.28515625" style="163" bestFit="1" customWidth="1"/>
    <col min="14622" max="14622" width="11" style="163" bestFit="1" customWidth="1"/>
    <col min="14623" max="14847" width="9.140625" style="163"/>
    <col min="14848" max="14848" width="14.140625" style="163" bestFit="1" customWidth="1"/>
    <col min="14849" max="14849" width="31.28515625" style="163" customWidth="1"/>
    <col min="14850" max="14850" width="0.85546875" style="163" customWidth="1"/>
    <col min="14851" max="14851" width="11.28515625" style="163" bestFit="1" customWidth="1"/>
    <col min="14852" max="14854" width="11.140625" style="163" customWidth="1"/>
    <col min="14855" max="14855" width="9.85546875" style="163" customWidth="1"/>
    <col min="14856" max="14857" width="11.140625" style="163" customWidth="1"/>
    <col min="14858" max="14858" width="0.85546875" style="163" customWidth="1"/>
    <col min="14859" max="14859" width="11.28515625" style="163" bestFit="1" customWidth="1"/>
    <col min="14860" max="14861" width="11.140625" style="163" customWidth="1"/>
    <col min="14862" max="14862" width="9.85546875" style="163" customWidth="1"/>
    <col min="14863" max="14863" width="11.140625" style="163" customWidth="1"/>
    <col min="14864" max="14864" width="0.85546875" style="163" customWidth="1"/>
    <col min="14865" max="14865" width="11.28515625" style="163" bestFit="1" customWidth="1"/>
    <col min="14866" max="14867" width="11.140625" style="163" customWidth="1"/>
    <col min="14868" max="14868" width="9.85546875" style="163" customWidth="1"/>
    <col min="14869" max="14869" width="11.140625" style="163" customWidth="1"/>
    <col min="14870" max="14870" width="0.85546875" style="163" customWidth="1"/>
    <col min="14871" max="14871" width="11.28515625" style="163" bestFit="1" customWidth="1"/>
    <col min="14872" max="14873" width="11.140625" style="163" customWidth="1"/>
    <col min="14874" max="14874" width="9.85546875" style="163" customWidth="1"/>
    <col min="14875" max="14875" width="11.140625" style="163" customWidth="1"/>
    <col min="14876" max="14877" width="11.28515625" style="163" bestFit="1" customWidth="1"/>
    <col min="14878" max="14878" width="11" style="163" bestFit="1" customWidth="1"/>
    <col min="14879" max="15103" width="9.140625" style="163"/>
    <col min="15104" max="15104" width="14.140625" style="163" bestFit="1" customWidth="1"/>
    <col min="15105" max="15105" width="31.28515625" style="163" customWidth="1"/>
    <col min="15106" max="15106" width="0.85546875" style="163" customWidth="1"/>
    <col min="15107" max="15107" width="11.28515625" style="163" bestFit="1" customWidth="1"/>
    <col min="15108" max="15110" width="11.140625" style="163" customWidth="1"/>
    <col min="15111" max="15111" width="9.85546875" style="163" customWidth="1"/>
    <col min="15112" max="15113" width="11.140625" style="163" customWidth="1"/>
    <col min="15114" max="15114" width="0.85546875" style="163" customWidth="1"/>
    <col min="15115" max="15115" width="11.28515625" style="163" bestFit="1" customWidth="1"/>
    <col min="15116" max="15117" width="11.140625" style="163" customWidth="1"/>
    <col min="15118" max="15118" width="9.85546875" style="163" customWidth="1"/>
    <col min="15119" max="15119" width="11.140625" style="163" customWidth="1"/>
    <col min="15120" max="15120" width="0.85546875" style="163" customWidth="1"/>
    <col min="15121" max="15121" width="11.28515625" style="163" bestFit="1" customWidth="1"/>
    <col min="15122" max="15123" width="11.140625" style="163" customWidth="1"/>
    <col min="15124" max="15124" width="9.85546875" style="163" customWidth="1"/>
    <col min="15125" max="15125" width="11.140625" style="163" customWidth="1"/>
    <col min="15126" max="15126" width="0.85546875" style="163" customWidth="1"/>
    <col min="15127" max="15127" width="11.28515625" style="163" bestFit="1" customWidth="1"/>
    <col min="15128" max="15129" width="11.140625" style="163" customWidth="1"/>
    <col min="15130" max="15130" width="9.85546875" style="163" customWidth="1"/>
    <col min="15131" max="15131" width="11.140625" style="163" customWidth="1"/>
    <col min="15132" max="15133" width="11.28515625" style="163" bestFit="1" customWidth="1"/>
    <col min="15134" max="15134" width="11" style="163" bestFit="1" customWidth="1"/>
    <col min="15135" max="15359" width="9.140625" style="163"/>
    <col min="15360" max="15360" width="14.140625" style="163" bestFit="1" customWidth="1"/>
    <col min="15361" max="15361" width="31.28515625" style="163" customWidth="1"/>
    <col min="15362" max="15362" width="0.85546875" style="163" customWidth="1"/>
    <col min="15363" max="15363" width="11.28515625" style="163" bestFit="1" customWidth="1"/>
    <col min="15364" max="15366" width="11.140625" style="163" customWidth="1"/>
    <col min="15367" max="15367" width="9.85546875" style="163" customWidth="1"/>
    <col min="15368" max="15369" width="11.140625" style="163" customWidth="1"/>
    <col min="15370" max="15370" width="0.85546875" style="163" customWidth="1"/>
    <col min="15371" max="15371" width="11.28515625" style="163" bestFit="1" customWidth="1"/>
    <col min="15372" max="15373" width="11.140625" style="163" customWidth="1"/>
    <col min="15374" max="15374" width="9.85546875" style="163" customWidth="1"/>
    <col min="15375" max="15375" width="11.140625" style="163" customWidth="1"/>
    <col min="15376" max="15376" width="0.85546875" style="163" customWidth="1"/>
    <col min="15377" max="15377" width="11.28515625" style="163" bestFit="1" customWidth="1"/>
    <col min="15378" max="15379" width="11.140625" style="163" customWidth="1"/>
    <col min="15380" max="15380" width="9.85546875" style="163" customWidth="1"/>
    <col min="15381" max="15381" width="11.140625" style="163" customWidth="1"/>
    <col min="15382" max="15382" width="0.85546875" style="163" customWidth="1"/>
    <col min="15383" max="15383" width="11.28515625" style="163" bestFit="1" customWidth="1"/>
    <col min="15384" max="15385" width="11.140625" style="163" customWidth="1"/>
    <col min="15386" max="15386" width="9.85546875" style="163" customWidth="1"/>
    <col min="15387" max="15387" width="11.140625" style="163" customWidth="1"/>
    <col min="15388" max="15389" width="11.28515625" style="163" bestFit="1" customWidth="1"/>
    <col min="15390" max="15390" width="11" style="163" bestFit="1" customWidth="1"/>
    <col min="15391" max="15615" width="9.140625" style="163"/>
    <col min="15616" max="15616" width="14.140625" style="163" bestFit="1" customWidth="1"/>
    <col min="15617" max="15617" width="31.28515625" style="163" customWidth="1"/>
    <col min="15618" max="15618" width="0.85546875" style="163" customWidth="1"/>
    <col min="15619" max="15619" width="11.28515625" style="163" bestFit="1" customWidth="1"/>
    <col min="15620" max="15622" width="11.140625" style="163" customWidth="1"/>
    <col min="15623" max="15623" width="9.85546875" style="163" customWidth="1"/>
    <col min="15624" max="15625" width="11.140625" style="163" customWidth="1"/>
    <col min="15626" max="15626" width="0.85546875" style="163" customWidth="1"/>
    <col min="15627" max="15627" width="11.28515625" style="163" bestFit="1" customWidth="1"/>
    <col min="15628" max="15629" width="11.140625" style="163" customWidth="1"/>
    <col min="15630" max="15630" width="9.85546875" style="163" customWidth="1"/>
    <col min="15631" max="15631" width="11.140625" style="163" customWidth="1"/>
    <col min="15632" max="15632" width="0.85546875" style="163" customWidth="1"/>
    <col min="15633" max="15633" width="11.28515625" style="163" bestFit="1" customWidth="1"/>
    <col min="15634" max="15635" width="11.140625" style="163" customWidth="1"/>
    <col min="15636" max="15636" width="9.85546875" style="163" customWidth="1"/>
    <col min="15637" max="15637" width="11.140625" style="163" customWidth="1"/>
    <col min="15638" max="15638" width="0.85546875" style="163" customWidth="1"/>
    <col min="15639" max="15639" width="11.28515625" style="163" bestFit="1" customWidth="1"/>
    <col min="15640" max="15641" width="11.140625" style="163" customWidth="1"/>
    <col min="15642" max="15642" width="9.85546875" style="163" customWidth="1"/>
    <col min="15643" max="15643" width="11.140625" style="163" customWidth="1"/>
    <col min="15644" max="15645" width="11.28515625" style="163" bestFit="1" customWidth="1"/>
    <col min="15646" max="15646" width="11" style="163" bestFit="1" customWidth="1"/>
    <col min="15647" max="15871" width="9.140625" style="163"/>
    <col min="15872" max="15872" width="14.140625" style="163" bestFit="1" customWidth="1"/>
    <col min="15873" max="15873" width="31.28515625" style="163" customWidth="1"/>
    <col min="15874" max="15874" width="0.85546875" style="163" customWidth="1"/>
    <col min="15875" max="15875" width="11.28515625" style="163" bestFit="1" customWidth="1"/>
    <col min="15876" max="15878" width="11.140625" style="163" customWidth="1"/>
    <col min="15879" max="15879" width="9.85546875" style="163" customWidth="1"/>
    <col min="15880" max="15881" width="11.140625" style="163" customWidth="1"/>
    <col min="15882" max="15882" width="0.85546875" style="163" customWidth="1"/>
    <col min="15883" max="15883" width="11.28515625" style="163" bestFit="1" customWidth="1"/>
    <col min="15884" max="15885" width="11.140625" style="163" customWidth="1"/>
    <col min="15886" max="15886" width="9.85546875" style="163" customWidth="1"/>
    <col min="15887" max="15887" width="11.140625" style="163" customWidth="1"/>
    <col min="15888" max="15888" width="0.85546875" style="163" customWidth="1"/>
    <col min="15889" max="15889" width="11.28515625" style="163" bestFit="1" customWidth="1"/>
    <col min="15890" max="15891" width="11.140625" style="163" customWidth="1"/>
    <col min="15892" max="15892" width="9.85546875" style="163" customWidth="1"/>
    <col min="15893" max="15893" width="11.140625" style="163" customWidth="1"/>
    <col min="15894" max="15894" width="0.85546875" style="163" customWidth="1"/>
    <col min="15895" max="15895" width="11.28515625" style="163" bestFit="1" customWidth="1"/>
    <col min="15896" max="15897" width="11.140625" style="163" customWidth="1"/>
    <col min="15898" max="15898" width="9.85546875" style="163" customWidth="1"/>
    <col min="15899" max="15899" width="11.140625" style="163" customWidth="1"/>
    <col min="15900" max="15901" width="11.28515625" style="163" bestFit="1" customWidth="1"/>
    <col min="15902" max="15902" width="11" style="163" bestFit="1" customWidth="1"/>
    <col min="15903" max="16127" width="9.140625" style="163"/>
    <col min="16128" max="16128" width="14.140625" style="163" bestFit="1" customWidth="1"/>
    <col min="16129" max="16129" width="31.28515625" style="163" customWidth="1"/>
    <col min="16130" max="16130" width="0.85546875" style="163" customWidth="1"/>
    <col min="16131" max="16131" width="11.28515625" style="163" bestFit="1" customWidth="1"/>
    <col min="16132" max="16134" width="11.140625" style="163" customWidth="1"/>
    <col min="16135" max="16135" width="9.85546875" style="163" customWidth="1"/>
    <col min="16136" max="16137" width="11.140625" style="163" customWidth="1"/>
    <col min="16138" max="16138" width="0.85546875" style="163" customWidth="1"/>
    <col min="16139" max="16139" width="11.28515625" style="163" bestFit="1" customWidth="1"/>
    <col min="16140" max="16141" width="11.140625" style="163" customWidth="1"/>
    <col min="16142" max="16142" width="9.85546875" style="163" customWidth="1"/>
    <col min="16143" max="16143" width="11.140625" style="163" customWidth="1"/>
    <col min="16144" max="16144" width="0.85546875" style="163" customWidth="1"/>
    <col min="16145" max="16145" width="11.28515625" style="163" bestFit="1" customWidth="1"/>
    <col min="16146" max="16147" width="11.140625" style="163" customWidth="1"/>
    <col min="16148" max="16148" width="9.85546875" style="163" customWidth="1"/>
    <col min="16149" max="16149" width="11.140625" style="163" customWidth="1"/>
    <col min="16150" max="16150" width="0.85546875" style="163" customWidth="1"/>
    <col min="16151" max="16151" width="11.28515625" style="163" bestFit="1" customWidth="1"/>
    <col min="16152" max="16153" width="11.140625" style="163" customWidth="1"/>
    <col min="16154" max="16154" width="9.85546875" style="163" customWidth="1"/>
    <col min="16155" max="16155" width="11.140625" style="163" customWidth="1"/>
    <col min="16156" max="16157" width="11.28515625" style="163" bestFit="1" customWidth="1"/>
    <col min="16158" max="16158" width="11" style="163" bestFit="1" customWidth="1"/>
    <col min="16159" max="16384" width="9.140625" style="163"/>
  </cols>
  <sheetData>
    <row r="1" spans="1:30" ht="21.75" hidden="1" customHeight="1" x14ac:dyDescent="0.2"/>
    <row r="2" spans="1:30" ht="21.75" customHeight="1" x14ac:dyDescent="0.35">
      <c r="D2" s="1087">
        <v>2016</v>
      </c>
      <c r="E2" s="1088"/>
      <c r="F2" s="1088"/>
      <c r="G2" s="1088"/>
      <c r="I2" s="1087">
        <v>2017</v>
      </c>
      <c r="J2" s="1088"/>
      <c r="K2" s="1088"/>
      <c r="L2" s="1088"/>
      <c r="M2" s="1088"/>
      <c r="N2" s="1088"/>
      <c r="P2" s="1087">
        <v>2018</v>
      </c>
      <c r="Q2" s="1088"/>
      <c r="R2" s="1088"/>
      <c r="S2" s="1088"/>
      <c r="T2" s="1088"/>
      <c r="V2" s="1087">
        <v>2019</v>
      </c>
      <c r="W2" s="1088"/>
      <c r="X2" s="1088"/>
      <c r="Y2" s="1088"/>
      <c r="Z2" s="1088"/>
      <c r="AA2" s="1088"/>
      <c r="AB2" s="424"/>
    </row>
    <row r="3" spans="1:30" ht="65.25" customHeight="1" x14ac:dyDescent="0.2">
      <c r="A3" s="425" t="s">
        <v>272</v>
      </c>
      <c r="B3" s="162" t="s">
        <v>1</v>
      </c>
      <c r="D3" s="162" t="s">
        <v>2438</v>
      </c>
      <c r="E3" s="162" t="s">
        <v>392</v>
      </c>
      <c r="F3" s="162" t="s">
        <v>393</v>
      </c>
      <c r="G3" s="162" t="s">
        <v>341</v>
      </c>
      <c r="I3" s="162" t="s">
        <v>2945</v>
      </c>
      <c r="J3" s="162" t="s">
        <v>392</v>
      </c>
      <c r="K3" s="162" t="s">
        <v>393</v>
      </c>
      <c r="L3" s="162" t="s">
        <v>3058</v>
      </c>
      <c r="M3" s="162" t="s">
        <v>3059</v>
      </c>
      <c r="N3" s="162" t="s">
        <v>341</v>
      </c>
      <c r="P3" s="162" t="s">
        <v>3063</v>
      </c>
      <c r="Q3" s="162" t="s">
        <v>392</v>
      </c>
      <c r="R3" s="162" t="s">
        <v>393</v>
      </c>
      <c r="S3" s="162" t="s">
        <v>3058</v>
      </c>
      <c r="T3" s="162" t="s">
        <v>341</v>
      </c>
      <c r="V3" s="162" t="s">
        <v>3264</v>
      </c>
      <c r="W3" s="162" t="s">
        <v>392</v>
      </c>
      <c r="X3" s="162" t="s">
        <v>393</v>
      </c>
      <c r="Y3" s="162" t="s">
        <v>3058</v>
      </c>
      <c r="Z3" s="162" t="s">
        <v>3479</v>
      </c>
      <c r="AA3" s="162" t="s">
        <v>341</v>
      </c>
      <c r="AB3" s="162" t="s">
        <v>340</v>
      </c>
      <c r="AC3" s="162" t="s">
        <v>6</v>
      </c>
    </row>
    <row r="4" spans="1:30" s="430" customFormat="1" ht="18" customHeight="1" x14ac:dyDescent="0.2">
      <c r="A4" s="426"/>
      <c r="B4" s="427" t="s">
        <v>7</v>
      </c>
      <c r="C4" s="428"/>
      <c r="D4" s="427">
        <f t="shared" ref="D4:G4" si="0">D5+D20</f>
        <v>40121928</v>
      </c>
      <c r="E4" s="427">
        <f t="shared" si="0"/>
        <v>2080761.6829269973</v>
      </c>
      <c r="F4" s="427">
        <f t="shared" si="0"/>
        <v>859480.35479323554</v>
      </c>
      <c r="G4" s="427">
        <f t="shared" si="0"/>
        <v>43062170.037720233</v>
      </c>
      <c r="H4" s="428"/>
      <c r="I4" s="427">
        <f>I5+I20</f>
        <v>41294219</v>
      </c>
      <c r="J4" s="427">
        <f t="shared" ref="J4:N4" si="1">J5+J20</f>
        <v>1757119</v>
      </c>
      <c r="K4" s="427">
        <f t="shared" si="1"/>
        <v>1728595</v>
      </c>
      <c r="L4" s="427">
        <f t="shared" ref="L4:M4" si="2">L5+L20</f>
        <v>1504236</v>
      </c>
      <c r="M4" s="427">
        <f t="shared" si="2"/>
        <v>2000000</v>
      </c>
      <c r="N4" s="427">
        <f t="shared" si="1"/>
        <v>48284169</v>
      </c>
      <c r="O4" s="428"/>
      <c r="P4" s="427">
        <f>P5+P20</f>
        <v>46383001.009999998</v>
      </c>
      <c r="Q4" s="427">
        <f t="shared" ref="Q4:T4" si="3">Q5+Q20</f>
        <v>1821186.6831899527</v>
      </c>
      <c r="R4" s="427">
        <f t="shared" si="3"/>
        <v>2730055</v>
      </c>
      <c r="S4" s="427">
        <f t="shared" si="3"/>
        <v>1991218</v>
      </c>
      <c r="T4" s="427">
        <f t="shared" si="3"/>
        <v>52925460.693189949</v>
      </c>
      <c r="U4" s="428"/>
      <c r="V4" s="427">
        <f>V5+V20</f>
        <v>49345958.430586249</v>
      </c>
      <c r="W4" s="427">
        <f t="shared" ref="W4:AA4" si="4">W5+W20</f>
        <v>1810033</v>
      </c>
      <c r="X4" s="427">
        <f t="shared" si="4"/>
        <v>4080264</v>
      </c>
      <c r="Y4" s="427">
        <f t="shared" si="4"/>
        <v>1804404</v>
      </c>
      <c r="Z4" s="427">
        <f t="shared" ref="Z4" si="5">Z5+Z20</f>
        <v>31483</v>
      </c>
      <c r="AA4" s="427">
        <f t="shared" si="4"/>
        <v>57102885.430586241</v>
      </c>
      <c r="AB4" s="427"/>
      <c r="AC4" s="427"/>
      <c r="AD4" s="429"/>
    </row>
    <row r="5" spans="1:30" s="430" customFormat="1" ht="22.5" customHeight="1" x14ac:dyDescent="0.2">
      <c r="A5" s="1092" t="s">
        <v>2946</v>
      </c>
      <c r="B5" s="1093"/>
      <c r="C5" s="428"/>
      <c r="D5" s="427">
        <f>SUM(D6:D19)</f>
        <v>27137476</v>
      </c>
      <c r="E5" s="427">
        <f t="shared" ref="E5:G5" si="6">SUM(E6:E19)</f>
        <v>1668394.5522284734</v>
      </c>
      <c r="F5" s="427">
        <f t="shared" si="6"/>
        <v>859480.35479323554</v>
      </c>
      <c r="G5" s="427">
        <f t="shared" si="6"/>
        <v>29665350.907021709</v>
      </c>
      <c r="H5" s="428"/>
      <c r="I5" s="427">
        <f>SUM(I6:I19)</f>
        <v>29570471</v>
      </c>
      <c r="J5" s="427">
        <f t="shared" ref="J5:N5" si="7">SUM(J6:J19)</f>
        <v>1398857</v>
      </c>
      <c r="K5" s="427">
        <f t="shared" si="7"/>
        <v>1504090</v>
      </c>
      <c r="L5" s="427">
        <f t="shared" ref="L5:M5" si="8">SUM(L6:L19)</f>
        <v>0</v>
      </c>
      <c r="M5" s="427">
        <f t="shared" si="8"/>
        <v>0</v>
      </c>
      <c r="N5" s="427">
        <f t="shared" si="7"/>
        <v>32473418</v>
      </c>
      <c r="O5" s="428"/>
      <c r="P5" s="427">
        <f>SUM(P6:P19)</f>
        <v>33376001</v>
      </c>
      <c r="Q5" s="427">
        <f t="shared" ref="Q5:T5" si="9">SUM(Q6:Q19)</f>
        <v>1415385.4611355276</v>
      </c>
      <c r="R5" s="427">
        <f t="shared" si="9"/>
        <v>2500000</v>
      </c>
      <c r="S5" s="427">
        <f t="shared" si="9"/>
        <v>0</v>
      </c>
      <c r="T5" s="427">
        <f t="shared" si="9"/>
        <v>37291386.461135522</v>
      </c>
      <c r="U5" s="428"/>
      <c r="V5" s="427">
        <f>SUM(V6:V19)</f>
        <v>34475997.44839786</v>
      </c>
      <c r="W5" s="427">
        <f t="shared" ref="W5:AA5" si="10">SUM(W6:W19)</f>
        <v>1370627</v>
      </c>
      <c r="X5" s="427">
        <f t="shared" si="10"/>
        <v>3814109</v>
      </c>
      <c r="Y5" s="427">
        <f t="shared" si="10"/>
        <v>0</v>
      </c>
      <c r="Z5" s="427">
        <f t="shared" ref="Z5" si="11">SUM(Z6:Z19)</f>
        <v>31483</v>
      </c>
      <c r="AA5" s="427">
        <f t="shared" si="10"/>
        <v>39692216.448397852</v>
      </c>
      <c r="AB5" s="427"/>
      <c r="AC5" s="427"/>
      <c r="AD5" s="429"/>
    </row>
    <row r="6" spans="1:30" ht="36" customHeight="1" x14ac:dyDescent="0.2">
      <c r="A6" s="195">
        <v>580111185</v>
      </c>
      <c r="B6" s="996" t="s">
        <v>1067</v>
      </c>
      <c r="D6" s="215">
        <v>6750051</v>
      </c>
      <c r="E6" s="236"/>
      <c r="F6" s="236"/>
      <c r="G6" s="236">
        <f t="shared" ref="G6:G12" si="12">SUM(D6:F6)</f>
        <v>6750051</v>
      </c>
      <c r="I6" s="215">
        <v>6740931</v>
      </c>
      <c r="J6" s="236"/>
      <c r="K6" s="236"/>
      <c r="L6" s="236"/>
      <c r="M6" s="236"/>
      <c r="N6" s="236">
        <f t="shared" ref="N6:N19" si="13">SUM(I6:K6)</f>
        <v>6740931</v>
      </c>
      <c r="P6" s="215">
        <v>6823741</v>
      </c>
      <c r="Q6" s="236"/>
      <c r="R6" s="236"/>
      <c r="S6" s="236"/>
      <c r="T6" s="236">
        <f t="shared" ref="T6:T19" si="14">SUM(P6:R6)</f>
        <v>6823741</v>
      </c>
      <c r="V6" s="215">
        <v>6572809.8878266867</v>
      </c>
      <c r="W6" s="236"/>
      <c r="X6" s="236"/>
      <c r="Y6" s="236"/>
      <c r="Z6" s="236">
        <v>31483</v>
      </c>
      <c r="AA6" s="236">
        <f>SUM(V6:Z6)</f>
        <v>6604292.8878266867</v>
      </c>
      <c r="AB6" s="236" t="s">
        <v>655</v>
      </c>
      <c r="AC6" s="236" t="s">
        <v>136</v>
      </c>
    </row>
    <row r="7" spans="1:30" ht="22.5" customHeight="1" x14ac:dyDescent="0.2">
      <c r="A7" s="195">
        <v>580042422</v>
      </c>
      <c r="B7" s="996" t="s">
        <v>1063</v>
      </c>
      <c r="D7" s="215">
        <v>881876</v>
      </c>
      <c r="E7" s="849">
        <v>400000</v>
      </c>
      <c r="F7" s="236"/>
      <c r="G7" s="236">
        <f t="shared" si="12"/>
        <v>1281876</v>
      </c>
      <c r="I7" s="215">
        <v>1143942</v>
      </c>
      <c r="J7" s="849">
        <v>273302</v>
      </c>
      <c r="K7" s="236"/>
      <c r="L7" s="236"/>
      <c r="M7" s="236"/>
      <c r="N7" s="236">
        <f t="shared" si="13"/>
        <v>1417244</v>
      </c>
      <c r="P7" s="215">
        <v>1288846</v>
      </c>
      <c r="Q7" s="849">
        <v>322031.60474970646</v>
      </c>
      <c r="R7" s="236"/>
      <c r="S7" s="236"/>
      <c r="T7" s="236">
        <f t="shared" si="14"/>
        <v>1610877.6047497066</v>
      </c>
      <c r="V7" s="215">
        <v>1362716.30170207</v>
      </c>
      <c r="W7" s="849">
        <v>313237</v>
      </c>
      <c r="X7" s="236"/>
      <c r="Y7" s="236"/>
      <c r="Z7" s="236"/>
      <c r="AA7" s="236">
        <f t="shared" ref="AA7:AA50" si="15">SUM(V7:Z7)</f>
        <v>1675953.30170207</v>
      </c>
      <c r="AB7" s="236" t="s">
        <v>53</v>
      </c>
      <c r="AC7" s="236" t="s">
        <v>53</v>
      </c>
    </row>
    <row r="8" spans="1:30" ht="18" customHeight="1" x14ac:dyDescent="0.2">
      <c r="A8" s="195">
        <v>580321016</v>
      </c>
      <c r="B8" s="996" t="s">
        <v>1072</v>
      </c>
      <c r="D8" s="215">
        <f>3224612+453792</f>
        <v>3678404</v>
      </c>
      <c r="E8" s="849">
        <v>1099498.5844414807</v>
      </c>
      <c r="F8" s="236"/>
      <c r="G8" s="236">
        <f t="shared" si="12"/>
        <v>4777902.5844414812</v>
      </c>
      <c r="I8" s="215">
        <v>3433621</v>
      </c>
      <c r="J8" s="849">
        <v>999340</v>
      </c>
      <c r="K8" s="236"/>
      <c r="L8" s="236"/>
      <c r="M8" s="236"/>
      <c r="N8" s="236">
        <f t="shared" si="13"/>
        <v>4432961</v>
      </c>
      <c r="P8" s="215">
        <v>3726921</v>
      </c>
      <c r="Q8" s="849">
        <v>966600.12547165144</v>
      </c>
      <c r="R8" s="236"/>
      <c r="S8" s="236"/>
      <c r="T8" s="236">
        <f t="shared" si="14"/>
        <v>4693521.1254716516</v>
      </c>
      <c r="V8" s="215">
        <v>4016542.7265110528</v>
      </c>
      <c r="W8" s="849">
        <v>905778</v>
      </c>
      <c r="X8" s="236"/>
      <c r="Y8" s="236"/>
      <c r="Z8" s="236"/>
      <c r="AA8" s="236">
        <f t="shared" si="15"/>
        <v>4922320.7265110528</v>
      </c>
      <c r="AB8" s="236" t="s">
        <v>53</v>
      </c>
      <c r="AC8" s="236" t="s">
        <v>53</v>
      </c>
    </row>
    <row r="9" spans="1:30" ht="21" customHeight="1" x14ac:dyDescent="0.2">
      <c r="A9" s="195">
        <v>580503613</v>
      </c>
      <c r="B9" s="996" t="s">
        <v>1062</v>
      </c>
      <c r="D9" s="215">
        <v>6630248</v>
      </c>
      <c r="E9" s="236"/>
      <c r="F9" s="851">
        <v>672348.68216121453</v>
      </c>
      <c r="G9" s="236">
        <f t="shared" si="12"/>
        <v>7302596.6821612148</v>
      </c>
      <c r="I9" s="215">
        <v>6610725</v>
      </c>
      <c r="J9" s="236"/>
      <c r="K9" s="851">
        <f>1000000+176610</f>
        <v>1176610</v>
      </c>
      <c r="L9" s="851"/>
      <c r="M9" s="851"/>
      <c r="N9" s="236">
        <f t="shared" si="13"/>
        <v>7787335</v>
      </c>
      <c r="P9" s="215">
        <v>6698357</v>
      </c>
      <c r="Q9" s="849"/>
      <c r="R9" s="851">
        <v>2000000</v>
      </c>
      <c r="S9" s="851"/>
      <c r="T9" s="236">
        <f t="shared" si="14"/>
        <v>8698357</v>
      </c>
      <c r="V9" s="215">
        <v>7041382.5074736411</v>
      </c>
      <c r="W9" s="849"/>
      <c r="X9" s="851">
        <v>2832995</v>
      </c>
      <c r="Y9" s="851"/>
      <c r="Z9" s="851"/>
      <c r="AA9" s="236">
        <f t="shared" si="15"/>
        <v>9874377.5074736401</v>
      </c>
      <c r="AB9" s="433" t="s">
        <v>1059</v>
      </c>
      <c r="AC9" s="433" t="s">
        <v>9</v>
      </c>
    </row>
    <row r="10" spans="1:30" ht="32.25" customHeight="1" x14ac:dyDescent="0.2">
      <c r="A10" s="195">
        <v>513423137</v>
      </c>
      <c r="B10" s="996" t="s">
        <v>3434</v>
      </c>
      <c r="D10" s="215">
        <v>1594439</v>
      </c>
      <c r="E10" s="236"/>
      <c r="F10" s="236"/>
      <c r="G10" s="236">
        <f t="shared" si="12"/>
        <v>1594439</v>
      </c>
      <c r="I10" s="215">
        <v>1494338</v>
      </c>
      <c r="J10" s="236"/>
      <c r="K10" s="236"/>
      <c r="L10" s="236"/>
      <c r="M10" s="236"/>
      <c r="N10" s="236">
        <f t="shared" si="13"/>
        <v>1494338</v>
      </c>
      <c r="P10" s="215">
        <v>1465649</v>
      </c>
      <c r="Q10" s="849"/>
      <c r="R10" s="236"/>
      <c r="S10" s="236"/>
      <c r="T10" s="236">
        <f t="shared" si="14"/>
        <v>1465649</v>
      </c>
      <c r="V10" s="215">
        <v>1506579.8056324455</v>
      </c>
      <c r="W10" s="849"/>
      <c r="X10" s="236"/>
      <c r="Y10" s="236"/>
      <c r="Z10" s="236"/>
      <c r="AA10" s="236">
        <f t="shared" si="15"/>
        <v>1506579.8056324455</v>
      </c>
      <c r="AB10" s="236" t="s">
        <v>655</v>
      </c>
      <c r="AC10" s="236" t="s">
        <v>136</v>
      </c>
    </row>
    <row r="11" spans="1:30" ht="25.5" x14ac:dyDescent="0.2">
      <c r="A11" s="195">
        <v>580049591</v>
      </c>
      <c r="B11" s="996" t="s">
        <v>2477</v>
      </c>
      <c r="D11" s="215">
        <v>407262</v>
      </c>
      <c r="E11" s="849">
        <v>168895.96778699275</v>
      </c>
      <c r="F11" s="236"/>
      <c r="G11" s="236">
        <f t="shared" si="12"/>
        <v>576157.96778699278</v>
      </c>
      <c r="I11" s="215">
        <v>450263</v>
      </c>
      <c r="J11" s="849">
        <v>126215</v>
      </c>
      <c r="K11" s="236"/>
      <c r="L11" s="236"/>
      <c r="M11" s="236"/>
      <c r="N11" s="236">
        <f t="shared" si="13"/>
        <v>576478</v>
      </c>
      <c r="P11" s="215">
        <v>505577</v>
      </c>
      <c r="Q11" s="849">
        <v>126753.73091416966</v>
      </c>
      <c r="R11" s="236"/>
      <c r="S11" s="236"/>
      <c r="T11" s="236">
        <f t="shared" si="14"/>
        <v>632330.73091416969</v>
      </c>
      <c r="V11" s="215">
        <v>566661</v>
      </c>
      <c r="W11" s="849">
        <v>122874</v>
      </c>
      <c r="X11" s="236"/>
      <c r="Y11" s="236"/>
      <c r="Z11" s="236"/>
      <c r="AA11" s="236">
        <f t="shared" si="15"/>
        <v>689535</v>
      </c>
      <c r="AB11" s="236" t="s">
        <v>53</v>
      </c>
      <c r="AC11" s="236" t="s">
        <v>53</v>
      </c>
    </row>
    <row r="12" spans="1:30" ht="33" customHeight="1" x14ac:dyDescent="0.2">
      <c r="A12" s="195">
        <v>580049955</v>
      </c>
      <c r="B12" s="996" t="s">
        <v>2478</v>
      </c>
      <c r="D12" s="215">
        <v>4878429</v>
      </c>
      <c r="E12" s="236"/>
      <c r="F12" s="236"/>
      <c r="G12" s="236">
        <f t="shared" si="12"/>
        <v>4878429</v>
      </c>
      <c r="I12" s="215">
        <v>5186687</v>
      </c>
      <c r="J12" s="236"/>
      <c r="K12" s="236"/>
      <c r="L12" s="236"/>
      <c r="M12" s="236"/>
      <c r="N12" s="236">
        <f t="shared" si="13"/>
        <v>5186687</v>
      </c>
      <c r="P12" s="215">
        <v>5623378</v>
      </c>
      <c r="Q12" s="849"/>
      <c r="R12" s="236"/>
      <c r="S12" s="236"/>
      <c r="T12" s="236">
        <f t="shared" si="14"/>
        <v>5623378</v>
      </c>
      <c r="V12" s="215">
        <v>5444074.1503509693</v>
      </c>
      <c r="W12" s="849"/>
      <c r="X12" s="236"/>
      <c r="Y12" s="236"/>
      <c r="Z12" s="236"/>
      <c r="AA12" s="236">
        <f t="shared" si="15"/>
        <v>5444074.1503509693</v>
      </c>
      <c r="AB12" s="236" t="s">
        <v>655</v>
      </c>
      <c r="AC12" s="236" t="s">
        <v>136</v>
      </c>
    </row>
    <row r="13" spans="1:30" ht="26.25" customHeight="1" x14ac:dyDescent="0.2">
      <c r="A13" s="195">
        <v>580551984</v>
      </c>
      <c r="B13" s="996" t="s">
        <v>2947</v>
      </c>
      <c r="D13" s="952" t="s">
        <v>3054</v>
      </c>
      <c r="E13" s="719"/>
      <c r="F13" s="719"/>
      <c r="G13" s="719"/>
      <c r="I13" s="215">
        <v>1300721</v>
      </c>
      <c r="J13" s="236"/>
      <c r="K13" s="236"/>
      <c r="L13" s="236"/>
      <c r="M13" s="236"/>
      <c r="N13" s="236">
        <f t="shared" si="13"/>
        <v>1300721</v>
      </c>
      <c r="P13" s="215">
        <v>1415314</v>
      </c>
      <c r="Q13" s="849"/>
      <c r="R13" s="236"/>
      <c r="S13" s="236"/>
      <c r="T13" s="236">
        <f t="shared" si="14"/>
        <v>1415314</v>
      </c>
      <c r="V13" s="215">
        <v>1559066.6759861021</v>
      </c>
      <c r="W13" s="849"/>
      <c r="X13" s="236"/>
      <c r="Y13" s="236"/>
      <c r="Z13" s="236"/>
      <c r="AA13" s="236">
        <f t="shared" si="15"/>
        <v>1559066.6759861021</v>
      </c>
      <c r="AB13" s="236" t="s">
        <v>655</v>
      </c>
      <c r="AC13" s="236" t="s">
        <v>136</v>
      </c>
    </row>
    <row r="14" spans="1:30" ht="25.5" x14ac:dyDescent="0.2">
      <c r="A14" s="195">
        <v>580079887</v>
      </c>
      <c r="B14" s="996" t="s">
        <v>1065</v>
      </c>
      <c r="D14" s="236">
        <v>1845366</v>
      </c>
      <c r="E14" s="236"/>
      <c r="F14" s="236">
        <v>187131.67263202099</v>
      </c>
      <c r="G14" s="236">
        <f>SUM(D14:F14)</f>
        <v>2032497.6726320209</v>
      </c>
      <c r="I14" s="215">
        <v>2124407</v>
      </c>
      <c r="J14" s="236"/>
      <c r="K14" s="851">
        <v>327480</v>
      </c>
      <c r="L14" s="851"/>
      <c r="M14" s="851"/>
      <c r="N14" s="236">
        <f t="shared" si="13"/>
        <v>2451887</v>
      </c>
      <c r="P14" s="215">
        <v>2319755</v>
      </c>
      <c r="Q14" s="849"/>
      <c r="R14" s="851">
        <v>500000</v>
      </c>
      <c r="S14" s="851"/>
      <c r="T14" s="236">
        <f t="shared" si="14"/>
        <v>2819755</v>
      </c>
      <c r="V14" s="215">
        <v>2419901.6639759871</v>
      </c>
      <c r="W14" s="849"/>
      <c r="X14" s="851">
        <f>600000+50000+331114</f>
        <v>981114</v>
      </c>
      <c r="Y14" s="851"/>
      <c r="Z14" s="851"/>
      <c r="AA14" s="236">
        <f t="shared" si="15"/>
        <v>3401015.6639759871</v>
      </c>
      <c r="AB14" s="236" t="s">
        <v>699</v>
      </c>
      <c r="AC14" s="236" t="s">
        <v>32</v>
      </c>
    </row>
    <row r="15" spans="1:30" ht="25.5" x14ac:dyDescent="0.2">
      <c r="A15" s="195">
        <v>580401404</v>
      </c>
      <c r="B15" s="996" t="s">
        <v>1073</v>
      </c>
      <c r="D15" s="236">
        <v>471401</v>
      </c>
      <c r="E15" s="236"/>
      <c r="F15" s="236"/>
      <c r="G15" s="236">
        <f>SUM(D15:F15)</f>
        <v>471401</v>
      </c>
      <c r="I15" s="215">
        <v>546237</v>
      </c>
      <c r="J15" s="434"/>
      <c r="K15" s="236"/>
      <c r="L15" s="236"/>
      <c r="M15" s="236"/>
      <c r="N15" s="236">
        <f t="shared" si="13"/>
        <v>546237</v>
      </c>
      <c r="P15" s="215">
        <v>584323</v>
      </c>
      <c r="Q15" s="849"/>
      <c r="R15" s="236"/>
      <c r="S15" s="236"/>
      <c r="T15" s="236">
        <f t="shared" si="14"/>
        <v>584323</v>
      </c>
      <c r="V15" s="215">
        <v>592563.97221254034</v>
      </c>
      <c r="W15" s="849"/>
      <c r="X15" s="236"/>
      <c r="Y15" s="236"/>
      <c r="Z15" s="236"/>
      <c r="AA15" s="236">
        <f t="shared" si="15"/>
        <v>592563.97221254034</v>
      </c>
      <c r="AB15" s="236" t="s">
        <v>655</v>
      </c>
      <c r="AC15" s="236" t="s">
        <v>136</v>
      </c>
    </row>
    <row r="16" spans="1:30" ht="30" customHeight="1" x14ac:dyDescent="0.2">
      <c r="A16" s="195" t="s">
        <v>3099</v>
      </c>
      <c r="B16" s="996" t="s">
        <v>3101</v>
      </c>
      <c r="D16" s="236"/>
      <c r="E16" s="236"/>
      <c r="F16" s="236"/>
      <c r="G16" s="236"/>
      <c r="I16" s="215"/>
      <c r="J16" s="434"/>
      <c r="K16" s="236"/>
      <c r="L16" s="236"/>
      <c r="M16" s="236"/>
      <c r="N16" s="236"/>
      <c r="P16" s="215">
        <v>1975323</v>
      </c>
      <c r="Q16" s="849"/>
      <c r="R16" s="236"/>
      <c r="S16" s="236"/>
      <c r="T16" s="236">
        <f t="shared" si="14"/>
        <v>1975323</v>
      </c>
      <c r="V16" s="215">
        <v>1938404.0616191276</v>
      </c>
      <c r="W16" s="849"/>
      <c r="X16" s="236"/>
      <c r="Y16" s="236"/>
      <c r="Z16" s="236"/>
      <c r="AA16" s="236">
        <f t="shared" si="15"/>
        <v>1938404.0616191276</v>
      </c>
      <c r="AB16" s="236" t="s">
        <v>655</v>
      </c>
      <c r="AC16" s="236" t="s">
        <v>136</v>
      </c>
    </row>
    <row r="17" spans="1:29" ht="29.25" customHeight="1" x14ac:dyDescent="0.2">
      <c r="A17" s="195" t="s">
        <v>3100</v>
      </c>
      <c r="B17" s="996" t="s">
        <v>3102</v>
      </c>
      <c r="D17" s="236"/>
      <c r="E17" s="236"/>
      <c r="F17" s="236"/>
      <c r="G17" s="236"/>
      <c r="I17" s="215"/>
      <c r="J17" s="434"/>
      <c r="K17" s="236"/>
      <c r="L17" s="236"/>
      <c r="M17" s="236"/>
      <c r="N17" s="236"/>
      <c r="P17" s="215">
        <v>400677</v>
      </c>
      <c r="Q17" s="849"/>
      <c r="R17" s="236"/>
      <c r="S17" s="236"/>
      <c r="T17" s="236">
        <f t="shared" si="14"/>
        <v>400677</v>
      </c>
      <c r="V17" s="215">
        <v>554388</v>
      </c>
      <c r="W17" s="849"/>
      <c r="X17" s="236"/>
      <c r="Y17" s="236"/>
      <c r="Z17" s="236"/>
      <c r="AA17" s="236">
        <f t="shared" si="15"/>
        <v>554388</v>
      </c>
      <c r="AB17" s="236" t="s">
        <v>655</v>
      </c>
      <c r="AC17" s="236" t="s">
        <v>136</v>
      </c>
    </row>
    <row r="18" spans="1:29" ht="33.75" customHeight="1" x14ac:dyDescent="0.2">
      <c r="A18" s="195" t="s">
        <v>2505</v>
      </c>
      <c r="B18" s="209" t="s">
        <v>2955</v>
      </c>
      <c r="C18" s="453"/>
      <c r="D18" s="847"/>
      <c r="E18" s="898"/>
      <c r="F18" s="236"/>
      <c r="G18" s="236"/>
      <c r="H18" s="453"/>
      <c r="I18" s="215"/>
      <c r="J18" s="849"/>
      <c r="K18" s="236"/>
      <c r="L18" s="236"/>
      <c r="M18" s="236"/>
      <c r="N18" s="236">
        <f t="shared" ref="N18" si="16">SUM(I18:K18)</f>
        <v>0</v>
      </c>
      <c r="O18" s="453"/>
      <c r="P18" s="1031" t="s">
        <v>3368</v>
      </c>
      <c r="Q18" s="849"/>
      <c r="R18" s="236"/>
      <c r="S18" s="236"/>
      <c r="T18" s="236">
        <f t="shared" si="14"/>
        <v>0</v>
      </c>
      <c r="U18" s="453"/>
      <c r="V18" s="215">
        <v>280439.02675780765</v>
      </c>
      <c r="W18" s="849">
        <f>28738</f>
        <v>28738</v>
      </c>
      <c r="X18" s="236"/>
      <c r="Y18" s="236"/>
      <c r="Z18" s="236"/>
      <c r="AA18" s="236">
        <f t="shared" si="15"/>
        <v>309177.02675780765</v>
      </c>
      <c r="AB18" s="435" t="s">
        <v>53</v>
      </c>
      <c r="AC18" s="435" t="s">
        <v>53</v>
      </c>
    </row>
    <row r="19" spans="1:29" ht="21" customHeight="1" x14ac:dyDescent="0.2">
      <c r="A19" s="195">
        <v>580466787</v>
      </c>
      <c r="B19" s="996" t="s">
        <v>2948</v>
      </c>
      <c r="D19" s="952" t="s">
        <v>3054</v>
      </c>
      <c r="E19" s="719"/>
      <c r="F19" s="719"/>
      <c r="G19" s="719"/>
      <c r="I19" s="215">
        <v>538599</v>
      </c>
      <c r="J19" s="434"/>
      <c r="K19" s="236"/>
      <c r="L19" s="236"/>
      <c r="M19" s="236"/>
      <c r="N19" s="236">
        <f t="shared" si="13"/>
        <v>538599</v>
      </c>
      <c r="P19" s="215">
        <v>548140</v>
      </c>
      <c r="Q19" s="849"/>
      <c r="R19" s="236"/>
      <c r="S19" s="236"/>
      <c r="T19" s="236">
        <f t="shared" si="14"/>
        <v>548140</v>
      </c>
      <c r="V19" s="215">
        <v>620467.66834942892</v>
      </c>
      <c r="W19" s="849"/>
      <c r="X19" s="236"/>
      <c r="Y19" s="236"/>
      <c r="Z19" s="236"/>
      <c r="AA19" s="236">
        <f t="shared" si="15"/>
        <v>620467.66834942892</v>
      </c>
      <c r="AB19" s="236" t="s">
        <v>655</v>
      </c>
      <c r="AC19" s="236" t="s">
        <v>136</v>
      </c>
    </row>
    <row r="20" spans="1:29" s="207" customFormat="1" ht="28.5" customHeight="1" x14ac:dyDescent="0.2">
      <c r="A20" s="1092" t="s">
        <v>2949</v>
      </c>
      <c r="B20" s="1093"/>
      <c r="C20" s="344"/>
      <c r="D20" s="204">
        <f>SUM(D21:D50)</f>
        <v>12984452</v>
      </c>
      <c r="E20" s="204">
        <f t="shared" ref="E20:G20" si="17">SUM(E21:E50)</f>
        <v>412367.13069852395</v>
      </c>
      <c r="F20" s="204">
        <f t="shared" si="17"/>
        <v>0</v>
      </c>
      <c r="G20" s="204">
        <f t="shared" si="17"/>
        <v>13396819.130698524</v>
      </c>
      <c r="H20" s="344"/>
      <c r="I20" s="204">
        <f>SUM(I21:I50)</f>
        <v>11723748</v>
      </c>
      <c r="J20" s="204">
        <f t="shared" ref="J20:N20" si="18">SUM(J21:J50)</f>
        <v>358262</v>
      </c>
      <c r="K20" s="204">
        <f t="shared" si="18"/>
        <v>224505</v>
      </c>
      <c r="L20" s="204">
        <f t="shared" si="18"/>
        <v>1504236</v>
      </c>
      <c r="M20" s="204">
        <f t="shared" si="18"/>
        <v>2000000</v>
      </c>
      <c r="N20" s="204">
        <f t="shared" si="18"/>
        <v>15810751</v>
      </c>
      <c r="O20" s="344"/>
      <c r="P20" s="204">
        <f>SUM(P21:P50)</f>
        <v>13007000.01</v>
      </c>
      <c r="Q20" s="204">
        <f t="shared" ref="Q20:T20" si="19">SUM(Q21:Q50)</f>
        <v>405801.22205442504</v>
      </c>
      <c r="R20" s="204">
        <f t="shared" si="19"/>
        <v>230055</v>
      </c>
      <c r="S20" s="204">
        <f t="shared" si="19"/>
        <v>1991218</v>
      </c>
      <c r="T20" s="204">
        <f t="shared" si="19"/>
        <v>15634074.232054427</v>
      </c>
      <c r="U20" s="344"/>
      <c r="V20" s="204">
        <f>SUM(V21:V52)</f>
        <v>14869960.982188387</v>
      </c>
      <c r="W20" s="204">
        <f t="shared" ref="W20:AA20" si="20">SUM(W21:W52)</f>
        <v>439406</v>
      </c>
      <c r="X20" s="204">
        <f t="shared" si="20"/>
        <v>266155</v>
      </c>
      <c r="Y20" s="204">
        <f t="shared" si="20"/>
        <v>1804404</v>
      </c>
      <c r="Z20" s="204"/>
      <c r="AA20" s="204">
        <f t="shared" si="20"/>
        <v>17410668.982188389</v>
      </c>
      <c r="AB20" s="204"/>
      <c r="AC20" s="204"/>
    </row>
    <row r="21" spans="1:29" ht="65.25" customHeight="1" x14ac:dyDescent="0.2">
      <c r="A21" s="195">
        <v>511757114</v>
      </c>
      <c r="B21" s="209" t="s">
        <v>1061</v>
      </c>
      <c r="D21" s="215">
        <v>460013</v>
      </c>
      <c r="E21" s="236"/>
      <c r="F21" s="236"/>
      <c r="G21" s="236">
        <f t="shared" ref="G21:G44" si="21">SUM(D21:F21)</f>
        <v>460013</v>
      </c>
      <c r="I21" s="215">
        <v>427325</v>
      </c>
      <c r="J21" s="236"/>
      <c r="K21" s="236"/>
      <c r="L21" s="236"/>
      <c r="M21" s="236"/>
      <c r="N21" s="236">
        <f>SUM(I21:K21)</f>
        <v>427325</v>
      </c>
      <c r="P21" s="215">
        <v>400017</v>
      </c>
      <c r="Q21" s="236"/>
      <c r="R21" s="236"/>
      <c r="S21" s="236"/>
      <c r="T21" s="236">
        <f>SUM(P21:R21)</f>
        <v>400017</v>
      </c>
      <c r="V21" s="215">
        <v>331312.80244606175</v>
      </c>
      <c r="W21" s="236"/>
      <c r="X21" s="236"/>
      <c r="Y21" s="236"/>
      <c r="Z21" s="236"/>
      <c r="AA21" s="236">
        <f t="shared" si="15"/>
        <v>331312.80244606175</v>
      </c>
      <c r="AB21" s="433" t="s">
        <v>461</v>
      </c>
      <c r="AC21" s="433" t="s">
        <v>12</v>
      </c>
    </row>
    <row r="22" spans="1:29" ht="20.25" customHeight="1" x14ac:dyDescent="0.2">
      <c r="A22" s="195">
        <v>580103026</v>
      </c>
      <c r="B22" s="209" t="s">
        <v>1066</v>
      </c>
      <c r="D22" s="215">
        <v>301192</v>
      </c>
      <c r="E22" s="236"/>
      <c r="F22" s="236"/>
      <c r="G22" s="236">
        <f t="shared" si="21"/>
        <v>301192</v>
      </c>
      <c r="I22" s="215">
        <v>267417</v>
      </c>
      <c r="J22" s="236"/>
      <c r="K22" s="236"/>
      <c r="L22" s="236"/>
      <c r="M22" s="236"/>
      <c r="N22" s="236">
        <f>SUM(I22:K22)</f>
        <v>267417</v>
      </c>
      <c r="P22" s="215">
        <v>258662</v>
      </c>
      <c r="Q22" s="236"/>
      <c r="R22" s="236"/>
      <c r="S22" s="236"/>
      <c r="T22" s="236">
        <f>SUM(P22:R22)</f>
        <v>258662</v>
      </c>
      <c r="V22" s="215">
        <v>248198</v>
      </c>
      <c r="W22" s="236"/>
      <c r="X22" s="236"/>
      <c r="Y22" s="236"/>
      <c r="Z22" s="236"/>
      <c r="AA22" s="236">
        <f t="shared" si="15"/>
        <v>248198</v>
      </c>
      <c r="AB22" s="236" t="s">
        <v>655</v>
      </c>
      <c r="AC22" s="236" t="s">
        <v>136</v>
      </c>
    </row>
    <row r="23" spans="1:29" ht="38.25" x14ac:dyDescent="0.2">
      <c r="A23" s="195">
        <v>580154938</v>
      </c>
      <c r="B23" s="209" t="s">
        <v>1068</v>
      </c>
      <c r="D23" s="215">
        <f>1514605+210356</f>
        <v>1724961</v>
      </c>
      <c r="E23" s="236"/>
      <c r="F23" s="236"/>
      <c r="G23" s="236">
        <f t="shared" si="21"/>
        <v>1724961</v>
      </c>
      <c r="I23" s="215">
        <f>1792304+266104</f>
        <v>2058408</v>
      </c>
      <c r="J23" s="236"/>
      <c r="K23" s="236"/>
      <c r="L23" s="236"/>
      <c r="M23" s="236"/>
      <c r="N23" s="236">
        <f>SUM(I23:K23)</f>
        <v>2058408</v>
      </c>
      <c r="P23" s="215">
        <v>2169872</v>
      </c>
      <c r="Q23" s="236"/>
      <c r="R23" s="236"/>
      <c r="S23" s="236"/>
      <c r="T23" s="236">
        <f>SUM(P23:R23)</f>
        <v>2169872</v>
      </c>
      <c r="V23" s="215">
        <f>2046623+196661</f>
        <v>2243284</v>
      </c>
      <c r="W23" s="236"/>
      <c r="X23" s="236"/>
      <c r="Y23" s="236"/>
      <c r="Z23" s="236"/>
      <c r="AA23" s="236">
        <f t="shared" si="15"/>
        <v>2243284</v>
      </c>
      <c r="AB23" s="236" t="s">
        <v>655</v>
      </c>
      <c r="AC23" s="236" t="s">
        <v>136</v>
      </c>
    </row>
    <row r="24" spans="1:29" ht="25.5" x14ac:dyDescent="0.2">
      <c r="A24" s="195">
        <v>580200830</v>
      </c>
      <c r="B24" s="209" t="s">
        <v>3012</v>
      </c>
      <c r="D24" s="215">
        <v>631234</v>
      </c>
      <c r="E24" s="236"/>
      <c r="F24" s="236"/>
      <c r="G24" s="236">
        <f t="shared" si="21"/>
        <v>631234</v>
      </c>
      <c r="I24" s="215">
        <v>656977</v>
      </c>
      <c r="J24" s="236"/>
      <c r="K24" s="236">
        <v>224505</v>
      </c>
      <c r="L24" s="236"/>
      <c r="M24" s="236"/>
      <c r="N24" s="236">
        <f>SUM(I24:K24)</f>
        <v>881482</v>
      </c>
      <c r="P24" s="215">
        <v>629300</v>
      </c>
      <c r="Q24" s="236"/>
      <c r="R24" s="236">
        <v>230055</v>
      </c>
      <c r="S24" s="236"/>
      <c r="T24" s="236">
        <f>SUM(P24:R24)</f>
        <v>859355</v>
      </c>
      <c r="V24" s="215">
        <v>601880</v>
      </c>
      <c r="W24" s="236"/>
      <c r="X24" s="236">
        <v>266155</v>
      </c>
      <c r="Y24" s="236"/>
      <c r="Z24" s="236"/>
      <c r="AA24" s="236">
        <f t="shared" si="15"/>
        <v>868035</v>
      </c>
      <c r="AB24" s="236" t="s">
        <v>1409</v>
      </c>
      <c r="AC24" s="236" t="s">
        <v>32</v>
      </c>
    </row>
    <row r="25" spans="1:29" ht="29.25" customHeight="1" x14ac:dyDescent="0.2">
      <c r="A25" s="195">
        <v>580215333</v>
      </c>
      <c r="B25" s="209" t="s">
        <v>1070</v>
      </c>
      <c r="D25" s="215">
        <v>8272623</v>
      </c>
      <c r="E25" s="849">
        <f>63692+14294</f>
        <v>77986</v>
      </c>
      <c r="F25" s="236"/>
      <c r="G25" s="236">
        <f t="shared" si="21"/>
        <v>8350609</v>
      </c>
      <c r="I25" s="215">
        <v>5081212</v>
      </c>
      <c r="J25" s="849">
        <f>32070+17428</f>
        <v>49498</v>
      </c>
      <c r="K25" s="236"/>
      <c r="L25" s="236">
        <v>1504236</v>
      </c>
      <c r="M25" s="236">
        <v>2000000</v>
      </c>
      <c r="N25" s="236">
        <f>SUM(I25:M25)</f>
        <v>8634946</v>
      </c>
      <c r="P25" s="215">
        <v>5495800</v>
      </c>
      <c r="Q25" s="849">
        <v>26469.018216475266</v>
      </c>
      <c r="R25" s="236"/>
      <c r="S25" s="236">
        <v>1991218</v>
      </c>
      <c r="T25" s="236">
        <f>SUM(P25:S25)</f>
        <v>7513487.0182164749</v>
      </c>
      <c r="V25" s="215">
        <v>5644483</v>
      </c>
      <c r="W25" s="849">
        <f>6763+9721+14378</f>
        <v>30862</v>
      </c>
      <c r="X25" s="236"/>
      <c r="Y25" s="236">
        <v>1804404</v>
      </c>
      <c r="Z25" s="236"/>
      <c r="AA25" s="236">
        <f t="shared" si="15"/>
        <v>7479749</v>
      </c>
      <c r="AB25" s="236" t="s">
        <v>655</v>
      </c>
      <c r="AC25" s="236" t="s">
        <v>136</v>
      </c>
    </row>
    <row r="26" spans="1:29" ht="29.25" customHeight="1" x14ac:dyDescent="0.2">
      <c r="A26" s="195">
        <v>580641256</v>
      </c>
      <c r="B26" s="209" t="s">
        <v>3270</v>
      </c>
      <c r="D26" s="215"/>
      <c r="E26" s="849"/>
      <c r="F26" s="236"/>
      <c r="G26" s="236"/>
      <c r="I26" s="215"/>
      <c r="J26" s="849"/>
      <c r="K26" s="236"/>
      <c r="L26" s="236"/>
      <c r="M26" s="236"/>
      <c r="N26" s="236"/>
      <c r="P26" s="1009" t="s">
        <v>3054</v>
      </c>
      <c r="Q26" s="849"/>
      <c r="R26" s="236"/>
      <c r="S26" s="236"/>
      <c r="T26" s="236"/>
      <c r="V26" s="215">
        <f>110526.745258285+70512</f>
        <v>181038.74525828499</v>
      </c>
      <c r="W26" s="849">
        <v>30093</v>
      </c>
      <c r="X26" s="236"/>
      <c r="Y26" s="236"/>
      <c r="Z26" s="236"/>
      <c r="AA26" s="236">
        <f t="shared" si="15"/>
        <v>211131.74525828499</v>
      </c>
      <c r="AB26" s="236" t="s">
        <v>53</v>
      </c>
      <c r="AC26" s="236" t="s">
        <v>53</v>
      </c>
    </row>
    <row r="27" spans="1:29" ht="25.5" x14ac:dyDescent="0.2">
      <c r="A27" s="195">
        <v>580262855</v>
      </c>
      <c r="B27" s="209" t="s">
        <v>1071</v>
      </c>
      <c r="D27" s="215">
        <v>45000</v>
      </c>
      <c r="E27" s="236"/>
      <c r="F27" s="236"/>
      <c r="G27" s="236">
        <f t="shared" si="21"/>
        <v>45000</v>
      </c>
      <c r="I27" s="215">
        <v>67352</v>
      </c>
      <c r="J27" s="236"/>
      <c r="K27" s="236"/>
      <c r="L27" s="236"/>
      <c r="M27" s="236"/>
      <c r="N27" s="236">
        <f t="shared" ref="N27:N50" si="22">SUM(I27:K27)</f>
        <v>67352</v>
      </c>
      <c r="P27" s="215">
        <v>76978</v>
      </c>
      <c r="Q27" s="849"/>
      <c r="R27" s="236"/>
      <c r="S27" s="236"/>
      <c r="T27" s="236">
        <f t="shared" ref="T27:T50" si="23">SUM(P27:R27)</f>
        <v>76978</v>
      </c>
      <c r="V27" s="215">
        <v>64600</v>
      </c>
      <c r="W27" s="849"/>
      <c r="X27" s="236"/>
      <c r="Y27" s="236"/>
      <c r="Z27" s="236"/>
      <c r="AA27" s="236">
        <f t="shared" si="15"/>
        <v>64600</v>
      </c>
      <c r="AB27" s="236" t="s">
        <v>655</v>
      </c>
      <c r="AC27" s="236" t="s">
        <v>136</v>
      </c>
    </row>
    <row r="28" spans="1:29" ht="20.25" customHeight="1" x14ac:dyDescent="0.2">
      <c r="A28" s="195">
        <v>580352490</v>
      </c>
      <c r="B28" s="209" t="s">
        <v>405</v>
      </c>
      <c r="D28" s="215">
        <v>244513</v>
      </c>
      <c r="E28" s="849">
        <v>127596.83448159431</v>
      </c>
      <c r="F28" s="236"/>
      <c r="G28" s="236">
        <f t="shared" si="21"/>
        <v>372109.83448159433</v>
      </c>
      <c r="I28" s="215">
        <v>221626</v>
      </c>
      <c r="J28" s="849">
        <v>75777</v>
      </c>
      <c r="K28" s="236"/>
      <c r="L28" s="236"/>
      <c r="M28" s="236"/>
      <c r="N28" s="236">
        <f t="shared" si="22"/>
        <v>297403</v>
      </c>
      <c r="P28" s="215">
        <v>170425</v>
      </c>
      <c r="Q28" s="849">
        <v>62390.030643387909</v>
      </c>
      <c r="R28" s="236"/>
      <c r="S28" s="236"/>
      <c r="T28" s="236">
        <f t="shared" si="23"/>
        <v>232815.0306433879</v>
      </c>
      <c r="V28" s="215">
        <v>110200</v>
      </c>
      <c r="W28" s="849">
        <v>41420</v>
      </c>
      <c r="X28" s="236"/>
      <c r="Y28" s="236"/>
      <c r="Z28" s="236"/>
      <c r="AA28" s="236">
        <f t="shared" si="15"/>
        <v>151620</v>
      </c>
      <c r="AB28" s="236" t="s">
        <v>53</v>
      </c>
      <c r="AC28" s="236" t="s">
        <v>53</v>
      </c>
    </row>
    <row r="29" spans="1:29" ht="19.5" customHeight="1" x14ac:dyDescent="0.2">
      <c r="A29" s="195">
        <v>580082824</v>
      </c>
      <c r="B29" s="209" t="s">
        <v>1074</v>
      </c>
      <c r="D29" s="215">
        <v>72984</v>
      </c>
      <c r="E29" s="434"/>
      <c r="F29" s="236"/>
      <c r="G29" s="236">
        <f t="shared" si="21"/>
        <v>72984</v>
      </c>
      <c r="I29" s="215">
        <v>80841</v>
      </c>
      <c r="J29" s="434"/>
      <c r="K29" s="236"/>
      <c r="L29" s="236"/>
      <c r="M29" s="236"/>
      <c r="N29" s="236">
        <f t="shared" si="22"/>
        <v>80841</v>
      </c>
      <c r="P29" s="215">
        <v>80290</v>
      </c>
      <c r="Q29" s="849"/>
      <c r="R29" s="236"/>
      <c r="S29" s="236"/>
      <c r="T29" s="236">
        <f t="shared" si="23"/>
        <v>80290</v>
      </c>
      <c r="V29" s="215">
        <v>66058</v>
      </c>
      <c r="W29" s="849"/>
      <c r="X29" s="236"/>
      <c r="Y29" s="236"/>
      <c r="Z29" s="236"/>
      <c r="AA29" s="236">
        <f t="shared" si="15"/>
        <v>66058</v>
      </c>
      <c r="AB29" s="236" t="s">
        <v>33</v>
      </c>
      <c r="AC29" s="236" t="s">
        <v>9</v>
      </c>
    </row>
    <row r="30" spans="1:29" ht="25.5" x14ac:dyDescent="0.2">
      <c r="A30" s="195">
        <v>580198554</v>
      </c>
      <c r="B30" s="209" t="s">
        <v>1069</v>
      </c>
      <c r="D30" s="215">
        <v>121948</v>
      </c>
      <c r="E30" s="236"/>
      <c r="F30" s="236"/>
      <c r="G30" s="236">
        <f>SUM(D30:F30)</f>
        <v>121948</v>
      </c>
      <c r="I30" s="215">
        <f>36584+107911</f>
        <v>144495</v>
      </c>
      <c r="J30" s="236"/>
      <c r="K30" s="236"/>
      <c r="L30" s="236"/>
      <c r="M30" s="236"/>
      <c r="N30" s="236">
        <f t="shared" si="22"/>
        <v>144495</v>
      </c>
      <c r="P30" s="215">
        <v>129075</v>
      </c>
      <c r="Q30" s="849"/>
      <c r="R30" s="236"/>
      <c r="S30" s="236"/>
      <c r="T30" s="236">
        <f t="shared" si="23"/>
        <v>129075</v>
      </c>
      <c r="V30" s="215">
        <v>141825.33396722699</v>
      </c>
      <c r="W30" s="849"/>
      <c r="X30" s="236"/>
      <c r="Y30" s="236"/>
      <c r="Z30" s="236"/>
      <c r="AA30" s="236">
        <f t="shared" si="15"/>
        <v>141825.33396722699</v>
      </c>
      <c r="AB30" s="236" t="s">
        <v>655</v>
      </c>
      <c r="AC30" s="236" t="s">
        <v>136</v>
      </c>
    </row>
    <row r="31" spans="1:29" ht="32.25" customHeight="1" x14ac:dyDescent="0.2">
      <c r="A31" s="195">
        <v>580423283</v>
      </c>
      <c r="B31" s="209" t="s">
        <v>1075</v>
      </c>
      <c r="D31" s="215">
        <v>65765</v>
      </c>
      <c r="E31" s="434"/>
      <c r="F31" s="236"/>
      <c r="G31" s="236">
        <f t="shared" si="21"/>
        <v>65765</v>
      </c>
      <c r="I31" s="215">
        <v>69858</v>
      </c>
      <c r="J31" s="434"/>
      <c r="K31" s="236"/>
      <c r="L31" s="236"/>
      <c r="M31" s="236"/>
      <c r="N31" s="236">
        <f t="shared" si="22"/>
        <v>69858</v>
      </c>
      <c r="P31" s="215">
        <v>68287</v>
      </c>
      <c r="Q31" s="849"/>
      <c r="R31" s="236"/>
      <c r="S31" s="236"/>
      <c r="T31" s="236">
        <f t="shared" si="23"/>
        <v>68287</v>
      </c>
      <c r="V31" s="215">
        <v>64377</v>
      </c>
      <c r="W31" s="849"/>
      <c r="X31" s="236"/>
      <c r="Y31" s="236"/>
      <c r="Z31" s="236"/>
      <c r="AA31" s="236">
        <f t="shared" si="15"/>
        <v>64377</v>
      </c>
      <c r="AB31" s="236" t="s">
        <v>655</v>
      </c>
      <c r="AC31" s="236" t="s">
        <v>136</v>
      </c>
    </row>
    <row r="32" spans="1:29" ht="32.25" customHeight="1" x14ac:dyDescent="0.2">
      <c r="A32" s="195">
        <v>580420263</v>
      </c>
      <c r="B32" s="209" t="s">
        <v>2952</v>
      </c>
      <c r="D32" s="215">
        <v>157283</v>
      </c>
      <c r="E32" s="849">
        <v>77372.182663714586</v>
      </c>
      <c r="F32" s="236"/>
      <c r="G32" s="236">
        <f t="shared" si="21"/>
        <v>234655.18266371457</v>
      </c>
      <c r="I32" s="215">
        <v>158699</v>
      </c>
      <c r="J32" s="849">
        <v>48744</v>
      </c>
      <c r="K32" s="236"/>
      <c r="L32" s="236"/>
      <c r="M32" s="236"/>
      <c r="N32" s="236">
        <f t="shared" si="22"/>
        <v>207443</v>
      </c>
      <c r="P32" s="215">
        <v>180017</v>
      </c>
      <c r="Q32" s="849">
        <v>44675.423790868481</v>
      </c>
      <c r="R32" s="236"/>
      <c r="S32" s="236"/>
      <c r="T32" s="236">
        <f t="shared" si="23"/>
        <v>224692.42379086849</v>
      </c>
      <c r="V32" s="215">
        <v>184144.85955686803</v>
      </c>
      <c r="W32" s="849">
        <v>43751</v>
      </c>
      <c r="X32" s="236"/>
      <c r="Y32" s="236"/>
      <c r="Z32" s="236"/>
      <c r="AA32" s="236">
        <f t="shared" si="15"/>
        <v>227895.85955686803</v>
      </c>
      <c r="AB32" s="236" t="s">
        <v>53</v>
      </c>
      <c r="AC32" s="236" t="s">
        <v>53</v>
      </c>
    </row>
    <row r="33" spans="1:29" ht="33.75" customHeight="1" x14ac:dyDescent="0.2">
      <c r="A33" s="108">
        <v>514453554</v>
      </c>
      <c r="B33" s="997" t="s">
        <v>1077</v>
      </c>
      <c r="D33" s="215">
        <v>115257</v>
      </c>
      <c r="E33" s="849">
        <v>39964.113553215058</v>
      </c>
      <c r="F33" s="236"/>
      <c r="G33" s="236">
        <f t="shared" si="21"/>
        <v>155221.11355321505</v>
      </c>
      <c r="I33" s="215">
        <v>158220</v>
      </c>
      <c r="J33" s="849">
        <v>35719</v>
      </c>
      <c r="K33" s="236"/>
      <c r="L33" s="236"/>
      <c r="M33" s="236"/>
      <c r="N33" s="236">
        <f t="shared" si="22"/>
        <v>193939</v>
      </c>
      <c r="P33" s="215">
        <v>171117</v>
      </c>
      <c r="Q33" s="849">
        <v>44540.580294716478</v>
      </c>
      <c r="R33" s="236"/>
      <c r="S33" s="236"/>
      <c r="T33" s="236">
        <f t="shared" si="23"/>
        <v>215657.58029471646</v>
      </c>
      <c r="V33" s="215">
        <v>129033.6953777741</v>
      </c>
      <c r="W33" s="849">
        <v>41588</v>
      </c>
      <c r="X33" s="236"/>
      <c r="Y33" s="236"/>
      <c r="Z33" s="236"/>
      <c r="AA33" s="236">
        <f t="shared" si="15"/>
        <v>170621.6953777741</v>
      </c>
      <c r="AB33" s="435" t="s">
        <v>53</v>
      </c>
      <c r="AC33" s="435" t="s">
        <v>53</v>
      </c>
    </row>
    <row r="34" spans="1:29" ht="33.75" customHeight="1" x14ac:dyDescent="0.2">
      <c r="A34" s="788">
        <v>580525236</v>
      </c>
      <c r="B34" s="998" t="s">
        <v>3247</v>
      </c>
      <c r="D34" s="846">
        <v>70652</v>
      </c>
      <c r="E34" s="335"/>
      <c r="F34" s="236"/>
      <c r="G34" s="236">
        <f t="shared" si="21"/>
        <v>70652</v>
      </c>
      <c r="I34" s="215">
        <v>45000</v>
      </c>
      <c r="J34" s="335"/>
      <c r="K34" s="236"/>
      <c r="L34" s="236"/>
      <c r="M34" s="236"/>
      <c r="N34" s="236">
        <f t="shared" si="22"/>
        <v>45000</v>
      </c>
      <c r="P34" s="215">
        <v>70591</v>
      </c>
      <c r="Q34" s="849"/>
      <c r="R34" s="236"/>
      <c r="S34" s="236"/>
      <c r="T34" s="236">
        <f t="shared" si="23"/>
        <v>70591</v>
      </c>
      <c r="V34" s="215">
        <v>59240</v>
      </c>
      <c r="W34" s="849"/>
      <c r="X34" s="236"/>
      <c r="Y34" s="236"/>
      <c r="Z34" s="236"/>
      <c r="AA34" s="236">
        <f t="shared" si="15"/>
        <v>59240</v>
      </c>
      <c r="AB34" s="435" t="s">
        <v>699</v>
      </c>
      <c r="AC34" s="435" t="s">
        <v>32</v>
      </c>
    </row>
    <row r="35" spans="1:29" ht="33.75" customHeight="1" x14ac:dyDescent="0.2">
      <c r="A35" s="108" t="s">
        <v>2340</v>
      </c>
      <c r="B35" s="999" t="s">
        <v>2341</v>
      </c>
      <c r="C35" s="323"/>
      <c r="D35" s="215">
        <f>250909+38816+93797</f>
        <v>383522</v>
      </c>
      <c r="E35" s="849">
        <v>89448</v>
      </c>
      <c r="F35" s="236"/>
      <c r="G35" s="236">
        <f t="shared" si="21"/>
        <v>472970</v>
      </c>
      <c r="H35" s="323"/>
      <c r="I35" s="215">
        <v>327900</v>
      </c>
      <c r="J35" s="849">
        <f>77759+28000</f>
        <v>105759</v>
      </c>
      <c r="K35" s="236"/>
      <c r="L35" s="236"/>
      <c r="M35" s="236"/>
      <c r="N35" s="236">
        <f t="shared" si="22"/>
        <v>433659</v>
      </c>
      <c r="O35" s="323"/>
      <c r="P35" s="215">
        <v>608671</v>
      </c>
      <c r="Q35" s="849">
        <f>78231.7486025895+14075.5</f>
        <v>92307.248602589505</v>
      </c>
      <c r="R35" s="236"/>
      <c r="S35" s="236"/>
      <c r="T35" s="236">
        <f t="shared" si="23"/>
        <v>700978.24860258948</v>
      </c>
      <c r="U35" s="323"/>
      <c r="V35" s="215">
        <f>523394+128444</f>
        <v>651838</v>
      </c>
      <c r="W35" s="849">
        <f>116356+31573</f>
        <v>147929</v>
      </c>
      <c r="X35" s="236"/>
      <c r="Y35" s="236"/>
      <c r="Z35" s="236"/>
      <c r="AA35" s="236">
        <f t="shared" si="15"/>
        <v>799767</v>
      </c>
      <c r="AB35" s="435" t="s">
        <v>53</v>
      </c>
      <c r="AC35" s="435" t="s">
        <v>53</v>
      </c>
    </row>
    <row r="36" spans="1:29" ht="33.75" customHeight="1" x14ac:dyDescent="0.2">
      <c r="A36" s="108">
        <v>520028275</v>
      </c>
      <c r="B36" s="999" t="s">
        <v>2476</v>
      </c>
      <c r="C36" s="453"/>
      <c r="D36" s="847">
        <v>86097</v>
      </c>
      <c r="E36" s="898"/>
      <c r="F36" s="236"/>
      <c r="G36" s="236">
        <f t="shared" si="21"/>
        <v>86097</v>
      </c>
      <c r="H36" s="453"/>
      <c r="I36" s="215">
        <v>121268</v>
      </c>
      <c r="J36" s="898"/>
      <c r="K36" s="236"/>
      <c r="L36" s="236"/>
      <c r="M36" s="236"/>
      <c r="N36" s="236">
        <f t="shared" si="22"/>
        <v>121268</v>
      </c>
      <c r="O36" s="453"/>
      <c r="P36" s="215">
        <v>100000</v>
      </c>
      <c r="Q36" s="849"/>
      <c r="R36" s="236"/>
      <c r="S36" s="236"/>
      <c r="T36" s="236">
        <f t="shared" si="23"/>
        <v>100000</v>
      </c>
      <c r="U36" s="453"/>
      <c r="V36" s="215">
        <v>99955</v>
      </c>
      <c r="W36" s="849"/>
      <c r="X36" s="236"/>
      <c r="Y36" s="236"/>
      <c r="Z36" s="236"/>
      <c r="AA36" s="236">
        <f t="shared" si="15"/>
        <v>99955</v>
      </c>
      <c r="AB36" s="435" t="s">
        <v>53</v>
      </c>
      <c r="AC36" s="435" t="s">
        <v>53</v>
      </c>
    </row>
    <row r="37" spans="1:29" ht="33.75" customHeight="1" x14ac:dyDescent="0.2">
      <c r="A37" s="195">
        <v>580321016</v>
      </c>
      <c r="B37" s="209" t="s">
        <v>2950</v>
      </c>
      <c r="C37" s="453"/>
      <c r="D37" s="847"/>
      <c r="E37" s="898"/>
      <c r="F37" s="236"/>
      <c r="G37" s="236"/>
      <c r="H37" s="453"/>
      <c r="I37" s="215">
        <v>411552</v>
      </c>
      <c r="J37" s="898"/>
      <c r="K37" s="236"/>
      <c r="L37" s="236"/>
      <c r="M37" s="236"/>
      <c r="N37" s="236">
        <f t="shared" si="22"/>
        <v>411552</v>
      </c>
      <c r="O37" s="453"/>
      <c r="P37" s="215">
        <v>600000</v>
      </c>
      <c r="Q37" s="849"/>
      <c r="R37" s="236"/>
      <c r="S37" s="236"/>
      <c r="T37" s="236">
        <f t="shared" si="23"/>
        <v>600000</v>
      </c>
      <c r="U37" s="453"/>
      <c r="V37" s="215">
        <v>517197</v>
      </c>
      <c r="W37" s="849"/>
      <c r="X37" s="236"/>
      <c r="Y37" s="236"/>
      <c r="Z37" s="236"/>
      <c r="AA37" s="236">
        <f t="shared" si="15"/>
        <v>517197</v>
      </c>
      <c r="AB37" s="170" t="s">
        <v>2951</v>
      </c>
      <c r="AC37" s="435" t="s">
        <v>12</v>
      </c>
    </row>
    <row r="38" spans="1:29" ht="33.75" customHeight="1" x14ac:dyDescent="0.2">
      <c r="A38" s="195" t="s">
        <v>2953</v>
      </c>
      <c r="B38" s="209" t="s">
        <v>2954</v>
      </c>
      <c r="C38" s="453"/>
      <c r="D38" s="847"/>
      <c r="E38" s="898"/>
      <c r="F38" s="236"/>
      <c r="G38" s="236"/>
      <c r="H38" s="453"/>
      <c r="I38" s="215">
        <v>60000</v>
      </c>
      <c r="J38" s="898"/>
      <c r="K38" s="236"/>
      <c r="L38" s="236"/>
      <c r="M38" s="236"/>
      <c r="N38" s="236">
        <f t="shared" si="22"/>
        <v>60000</v>
      </c>
      <c r="O38" s="453"/>
      <c r="P38" s="215">
        <v>24000.01</v>
      </c>
      <c r="Q38" s="849"/>
      <c r="R38" s="236"/>
      <c r="S38" s="236"/>
      <c r="T38" s="236">
        <f t="shared" si="23"/>
        <v>24000.01</v>
      </c>
      <c r="U38" s="453"/>
      <c r="V38" s="215"/>
      <c r="W38" s="849"/>
      <c r="X38" s="236"/>
      <c r="Y38" s="236"/>
      <c r="Z38" s="236"/>
      <c r="AA38" s="236">
        <f t="shared" si="15"/>
        <v>0</v>
      </c>
      <c r="AB38" s="435" t="s">
        <v>53</v>
      </c>
      <c r="AC38" s="435" t="s">
        <v>53</v>
      </c>
    </row>
    <row r="39" spans="1:29" ht="33.75" customHeight="1" x14ac:dyDescent="0.2">
      <c r="A39" s="195" t="s">
        <v>2505</v>
      </c>
      <c r="B39" s="209" t="s">
        <v>3435</v>
      </c>
      <c r="C39" s="453"/>
      <c r="D39" s="847"/>
      <c r="E39" s="898"/>
      <c r="F39" s="236"/>
      <c r="G39" s="236"/>
      <c r="H39" s="453"/>
      <c r="I39" s="215">
        <v>250000</v>
      </c>
      <c r="J39" s="849">
        <f>20142+22623</f>
        <v>42765</v>
      </c>
      <c r="K39" s="236"/>
      <c r="L39" s="236"/>
      <c r="M39" s="236"/>
      <c r="N39" s="236">
        <f t="shared" si="22"/>
        <v>292765</v>
      </c>
      <c r="O39" s="453"/>
      <c r="P39" s="215">
        <v>225779</v>
      </c>
      <c r="Q39" s="849">
        <f>33781.2516455946+36596</f>
        <v>70377.251645594602</v>
      </c>
      <c r="R39" s="236"/>
      <c r="S39" s="236"/>
      <c r="T39" s="236">
        <f t="shared" si="23"/>
        <v>296156.2516455946</v>
      </c>
      <c r="U39" s="453"/>
      <c r="V39" s="215">
        <v>91114.070525939271</v>
      </c>
      <c r="W39" s="1032">
        <v>26135</v>
      </c>
      <c r="X39" s="236"/>
      <c r="Y39" s="236"/>
      <c r="Z39" s="236"/>
      <c r="AA39" s="236">
        <f t="shared" si="15"/>
        <v>117249.07052593927</v>
      </c>
      <c r="AB39" s="435" t="s">
        <v>53</v>
      </c>
      <c r="AC39" s="435" t="s">
        <v>53</v>
      </c>
    </row>
    <row r="40" spans="1:29" ht="33.75" customHeight="1" x14ac:dyDescent="0.2">
      <c r="A40" s="195" t="s">
        <v>2956</v>
      </c>
      <c r="B40" s="209" t="s">
        <v>2957</v>
      </c>
      <c r="C40" s="453"/>
      <c r="D40" s="847"/>
      <c r="E40" s="898"/>
      <c r="F40" s="236"/>
      <c r="G40" s="236"/>
      <c r="H40" s="453"/>
      <c r="I40" s="215">
        <v>272798</v>
      </c>
      <c r="J40" s="898"/>
      <c r="K40" s="236"/>
      <c r="L40" s="236"/>
      <c r="M40" s="236"/>
      <c r="N40" s="236">
        <f t="shared" si="22"/>
        <v>272798</v>
      </c>
      <c r="O40" s="453"/>
      <c r="P40" s="215">
        <v>400000</v>
      </c>
      <c r="Q40" s="849"/>
      <c r="R40" s="236"/>
      <c r="S40" s="236"/>
      <c r="T40" s="236">
        <f t="shared" si="23"/>
        <v>400000</v>
      </c>
      <c r="U40" s="453"/>
      <c r="V40" s="215">
        <v>339313</v>
      </c>
      <c r="W40" s="849"/>
      <c r="X40" s="236"/>
      <c r="Y40" s="236"/>
      <c r="Z40" s="236"/>
      <c r="AA40" s="236">
        <f t="shared" si="15"/>
        <v>339313</v>
      </c>
      <c r="AB40" s="435" t="s">
        <v>1211</v>
      </c>
      <c r="AC40" s="435" t="s">
        <v>136</v>
      </c>
    </row>
    <row r="41" spans="1:29" ht="33.75" customHeight="1" x14ac:dyDescent="0.2">
      <c r="A41" s="195" t="s">
        <v>2958</v>
      </c>
      <c r="B41" s="209" t="s">
        <v>2959</v>
      </c>
      <c r="C41" s="453"/>
      <c r="D41" s="847"/>
      <c r="E41" s="898"/>
      <c r="F41" s="236"/>
      <c r="G41" s="236"/>
      <c r="H41" s="453"/>
      <c r="I41" s="215">
        <v>197842</v>
      </c>
      <c r="J41" s="898"/>
      <c r="K41" s="236"/>
      <c r="L41" s="236"/>
      <c r="M41" s="236"/>
      <c r="N41" s="236">
        <f t="shared" si="22"/>
        <v>197842</v>
      </c>
      <c r="O41" s="453"/>
      <c r="P41" s="215">
        <v>169309</v>
      </c>
      <c r="Q41" s="849"/>
      <c r="R41" s="236"/>
      <c r="S41" s="236"/>
      <c r="T41" s="236">
        <f t="shared" si="23"/>
        <v>169309</v>
      </c>
      <c r="U41" s="453"/>
      <c r="V41" s="215">
        <v>162130.76764556285</v>
      </c>
      <c r="W41" s="849"/>
      <c r="X41" s="236"/>
      <c r="Y41" s="236"/>
      <c r="Z41" s="236"/>
      <c r="AA41" s="236">
        <f t="shared" si="15"/>
        <v>162130.76764556285</v>
      </c>
      <c r="AB41" s="435" t="s">
        <v>73</v>
      </c>
      <c r="AC41" s="435" t="s">
        <v>136</v>
      </c>
    </row>
    <row r="42" spans="1:29" ht="33.75" customHeight="1" x14ac:dyDescent="0.2">
      <c r="A42" s="195" t="s">
        <v>2960</v>
      </c>
      <c r="B42" s="209" t="s">
        <v>2962</v>
      </c>
      <c r="C42" s="453"/>
      <c r="D42" s="847"/>
      <c r="E42" s="898"/>
      <c r="F42" s="236"/>
      <c r="G42" s="236"/>
      <c r="H42" s="453"/>
      <c r="I42" s="215">
        <v>229256</v>
      </c>
      <c r="J42" s="898"/>
      <c r="K42" s="236"/>
      <c r="L42" s="236"/>
      <c r="M42" s="236"/>
      <c r="N42" s="236">
        <f t="shared" si="22"/>
        <v>229256</v>
      </c>
      <c r="O42" s="453"/>
      <c r="P42" s="215">
        <v>224079</v>
      </c>
      <c r="Q42" s="849"/>
      <c r="R42" s="236"/>
      <c r="S42" s="236"/>
      <c r="T42" s="236">
        <f t="shared" si="23"/>
        <v>224079</v>
      </c>
      <c r="U42" s="453"/>
      <c r="V42" s="215">
        <v>231504.38356748613</v>
      </c>
      <c r="W42" s="849"/>
      <c r="X42" s="236"/>
      <c r="Y42" s="236"/>
      <c r="Z42" s="236"/>
      <c r="AA42" s="236">
        <f t="shared" si="15"/>
        <v>231504.38356748613</v>
      </c>
      <c r="AB42" s="435" t="s">
        <v>73</v>
      </c>
      <c r="AC42" s="435" t="s">
        <v>136</v>
      </c>
    </row>
    <row r="43" spans="1:29" ht="33.75" customHeight="1" x14ac:dyDescent="0.2">
      <c r="A43" s="195" t="s">
        <v>2961</v>
      </c>
      <c r="B43" s="209" t="s">
        <v>2963</v>
      </c>
      <c r="C43" s="453"/>
      <c r="D43" s="847"/>
      <c r="E43" s="898"/>
      <c r="F43" s="236"/>
      <c r="G43" s="236"/>
      <c r="H43" s="453"/>
      <c r="I43" s="215">
        <v>211220</v>
      </c>
      <c r="J43" s="898"/>
      <c r="K43" s="236"/>
      <c r="L43" s="236"/>
      <c r="M43" s="236"/>
      <c r="N43" s="236">
        <f t="shared" si="22"/>
        <v>211220</v>
      </c>
      <c r="O43" s="453"/>
      <c r="P43" s="215">
        <v>187946</v>
      </c>
      <c r="Q43" s="849"/>
      <c r="R43" s="236"/>
      <c r="S43" s="236"/>
      <c r="T43" s="236">
        <f t="shared" si="23"/>
        <v>187946</v>
      </c>
      <c r="U43" s="453"/>
      <c r="V43" s="215">
        <v>165274.75650000726</v>
      </c>
      <c r="W43" s="849"/>
      <c r="X43" s="236"/>
      <c r="Y43" s="236"/>
      <c r="Z43" s="236"/>
      <c r="AA43" s="236">
        <f t="shared" si="15"/>
        <v>165274.75650000726</v>
      </c>
      <c r="AB43" s="435" t="s">
        <v>73</v>
      </c>
      <c r="AC43" s="435" t="s">
        <v>136</v>
      </c>
    </row>
    <row r="44" spans="1:29" ht="36" customHeight="1" x14ac:dyDescent="0.2">
      <c r="A44" s="108">
        <v>580371045</v>
      </c>
      <c r="B44" s="92" t="s">
        <v>1078</v>
      </c>
      <c r="D44" s="847">
        <v>70000</v>
      </c>
      <c r="E44" s="848"/>
      <c r="F44" s="236"/>
      <c r="G44" s="236">
        <f t="shared" si="21"/>
        <v>70000</v>
      </c>
      <c r="I44" s="215">
        <v>80000</v>
      </c>
      <c r="J44" s="848"/>
      <c r="K44" s="236"/>
      <c r="L44" s="236"/>
      <c r="M44" s="236"/>
      <c r="N44" s="236">
        <f t="shared" si="22"/>
        <v>80000</v>
      </c>
      <c r="P44" s="215">
        <v>120225</v>
      </c>
      <c r="Q44" s="849">
        <v>20000</v>
      </c>
      <c r="R44" s="236"/>
      <c r="S44" s="236"/>
      <c r="T44" s="236">
        <f t="shared" si="23"/>
        <v>140225</v>
      </c>
      <c r="V44" s="215">
        <v>98915</v>
      </c>
      <c r="W44" s="849">
        <v>29219</v>
      </c>
      <c r="X44" s="236"/>
      <c r="Y44" s="236"/>
      <c r="Z44" s="236"/>
      <c r="AA44" s="236">
        <f t="shared" si="15"/>
        <v>128134</v>
      </c>
      <c r="AB44" s="236" t="s">
        <v>53</v>
      </c>
      <c r="AC44" s="236" t="s">
        <v>53</v>
      </c>
    </row>
    <row r="45" spans="1:29" ht="36" customHeight="1" x14ac:dyDescent="0.2">
      <c r="A45" s="108" t="s">
        <v>3103</v>
      </c>
      <c r="B45" s="92" t="s">
        <v>3104</v>
      </c>
      <c r="D45" s="847"/>
      <c r="E45" s="848"/>
      <c r="F45" s="236"/>
      <c r="G45" s="236"/>
      <c r="I45" s="215"/>
      <c r="J45" s="848"/>
      <c r="K45" s="236"/>
      <c r="L45" s="236"/>
      <c r="M45" s="236"/>
      <c r="N45" s="236"/>
      <c r="P45" s="215">
        <v>56262</v>
      </c>
      <c r="Q45" s="849"/>
      <c r="R45" s="236"/>
      <c r="S45" s="236"/>
      <c r="T45" s="236">
        <f t="shared" ref="T45:T46" si="24">SUM(P45:R45)</f>
        <v>56262</v>
      </c>
      <c r="V45" s="215">
        <v>48019</v>
      </c>
      <c r="W45" s="849"/>
      <c r="X45" s="236"/>
      <c r="Y45" s="236"/>
      <c r="Z45" s="236"/>
      <c r="AA45" s="236">
        <f t="shared" si="15"/>
        <v>48019</v>
      </c>
      <c r="AB45" s="435" t="s">
        <v>73</v>
      </c>
      <c r="AC45" s="435" t="s">
        <v>136</v>
      </c>
    </row>
    <row r="46" spans="1:29" ht="36" customHeight="1" x14ac:dyDescent="0.2">
      <c r="A46" s="108" t="s">
        <v>3105</v>
      </c>
      <c r="B46" s="92" t="s">
        <v>3106</v>
      </c>
      <c r="D46" s="847"/>
      <c r="E46" s="848"/>
      <c r="F46" s="236"/>
      <c r="G46" s="236"/>
      <c r="I46" s="1089" t="s">
        <v>3054</v>
      </c>
      <c r="J46" s="1090"/>
      <c r="K46" s="1090"/>
      <c r="L46" s="1090"/>
      <c r="M46" s="1090"/>
      <c r="N46" s="1091"/>
      <c r="P46" s="215">
        <v>199185</v>
      </c>
      <c r="Q46" s="849">
        <v>45041.668860792794</v>
      </c>
      <c r="R46" s="236"/>
      <c r="S46" s="236"/>
      <c r="T46" s="236">
        <f t="shared" si="24"/>
        <v>244226.66886079279</v>
      </c>
      <c r="V46" s="215">
        <v>197860.97789046098</v>
      </c>
      <c r="W46" s="849">
        <v>48409</v>
      </c>
      <c r="X46" s="236"/>
      <c r="Y46" s="236"/>
      <c r="Z46" s="236"/>
      <c r="AA46" s="236">
        <f t="shared" si="15"/>
        <v>246269.97789046098</v>
      </c>
      <c r="AB46" s="236" t="s">
        <v>53</v>
      </c>
      <c r="AC46" s="236" t="s">
        <v>53</v>
      </c>
    </row>
    <row r="47" spans="1:29" ht="36" customHeight="1" x14ac:dyDescent="0.2">
      <c r="A47" s="652">
        <v>580650265</v>
      </c>
      <c r="B47" s="1021" t="s">
        <v>3376</v>
      </c>
      <c r="D47" s="847"/>
      <c r="E47" s="848"/>
      <c r="F47" s="236"/>
      <c r="G47" s="236"/>
      <c r="I47" s="1027"/>
      <c r="J47" s="1028"/>
      <c r="K47" s="1028"/>
      <c r="L47" s="1028"/>
      <c r="M47" s="1028"/>
      <c r="N47" s="1029"/>
      <c r="P47" s="215"/>
      <c r="Q47" s="849"/>
      <c r="R47" s="236"/>
      <c r="S47" s="236"/>
      <c r="T47" s="236"/>
      <c r="V47" s="215">
        <v>160637.47786306951</v>
      </c>
      <c r="W47" s="849"/>
      <c r="X47" s="236"/>
      <c r="Y47" s="236"/>
      <c r="Z47" s="236"/>
      <c r="AA47" s="236">
        <f t="shared" si="15"/>
        <v>160637.47786306951</v>
      </c>
      <c r="AB47" s="236" t="s">
        <v>3377</v>
      </c>
      <c r="AC47" s="236" t="s">
        <v>32</v>
      </c>
    </row>
    <row r="48" spans="1:29" ht="36" customHeight="1" x14ac:dyDescent="0.2">
      <c r="A48" s="652">
        <v>580610962</v>
      </c>
      <c r="B48" s="1021" t="s">
        <v>3378</v>
      </c>
      <c r="D48" s="847"/>
      <c r="E48" s="848"/>
      <c r="F48" s="236"/>
      <c r="G48" s="236"/>
      <c r="I48" s="1027"/>
      <c r="J48" s="1028"/>
      <c r="K48" s="1028"/>
      <c r="L48" s="1028"/>
      <c r="M48" s="1028"/>
      <c r="N48" s="1029"/>
      <c r="P48" s="215"/>
      <c r="Q48" s="849"/>
      <c r="R48" s="236"/>
      <c r="S48" s="236"/>
      <c r="T48" s="236"/>
      <c r="V48" s="215">
        <v>131509.11158964454</v>
      </c>
      <c r="W48" s="849"/>
      <c r="X48" s="236"/>
      <c r="Y48" s="236"/>
      <c r="Z48" s="236">
        <v>30743</v>
      </c>
      <c r="AA48" s="236">
        <f t="shared" si="15"/>
        <v>162252.11158964454</v>
      </c>
      <c r="AB48" s="236" t="s">
        <v>699</v>
      </c>
      <c r="AC48" s="236" t="s">
        <v>32</v>
      </c>
    </row>
    <row r="49" spans="1:29" ht="36" customHeight="1" x14ac:dyDescent="0.2">
      <c r="A49" s="652">
        <v>580510105</v>
      </c>
      <c r="B49" s="1021" t="s">
        <v>3379</v>
      </c>
      <c r="D49" s="847"/>
      <c r="E49" s="848"/>
      <c r="F49" s="236"/>
      <c r="G49" s="236"/>
      <c r="I49" s="1027"/>
      <c r="J49" s="1028"/>
      <c r="K49" s="1028"/>
      <c r="L49" s="1028"/>
      <c r="M49" s="1028"/>
      <c r="N49" s="1029"/>
      <c r="P49" s="215"/>
      <c r="Q49" s="849"/>
      <c r="R49" s="236"/>
      <c r="S49" s="236"/>
      <c r="T49" s="236"/>
      <c r="V49" s="215">
        <v>75000</v>
      </c>
      <c r="W49" s="849"/>
      <c r="X49" s="236"/>
      <c r="Y49" s="236"/>
      <c r="Z49" s="236"/>
      <c r="AA49" s="236">
        <f t="shared" si="15"/>
        <v>75000</v>
      </c>
      <c r="AB49" s="435" t="s">
        <v>73</v>
      </c>
      <c r="AC49" s="435" t="s">
        <v>136</v>
      </c>
    </row>
    <row r="50" spans="1:29" ht="26.25" customHeight="1" x14ac:dyDescent="0.2">
      <c r="A50" s="823">
        <v>500250006</v>
      </c>
      <c r="B50" s="209" t="s">
        <v>3436</v>
      </c>
      <c r="D50" s="236">
        <v>161408</v>
      </c>
      <c r="E50" s="236"/>
      <c r="F50" s="236"/>
      <c r="G50" s="236">
        <f>SUM(D50:F50)</f>
        <v>161408</v>
      </c>
      <c r="I50" s="215">
        <v>124482</v>
      </c>
      <c r="J50" s="236"/>
      <c r="K50" s="236"/>
      <c r="L50" s="236"/>
      <c r="M50" s="236"/>
      <c r="N50" s="236">
        <f t="shared" si="22"/>
        <v>124482</v>
      </c>
      <c r="P50" s="215">
        <v>191113</v>
      </c>
      <c r="Q50" s="849"/>
      <c r="R50" s="236"/>
      <c r="S50" s="236"/>
      <c r="T50" s="236">
        <f t="shared" si="23"/>
        <v>191113</v>
      </c>
      <c r="V50" s="215">
        <v>130018</v>
      </c>
      <c r="W50" s="849"/>
      <c r="X50" s="236"/>
      <c r="Y50" s="236"/>
      <c r="Z50" s="236"/>
      <c r="AA50" s="236">
        <f t="shared" si="15"/>
        <v>130018</v>
      </c>
      <c r="AB50" s="236" t="s">
        <v>655</v>
      </c>
      <c r="AC50" s="236" t="s">
        <v>136</v>
      </c>
    </row>
    <row r="52" spans="1:29" s="207" customFormat="1" ht="28.5" customHeight="1" x14ac:dyDescent="0.2">
      <c r="A52" s="1092" t="s">
        <v>3344</v>
      </c>
      <c r="B52" s="1093"/>
      <c r="C52" s="344"/>
      <c r="D52" s="204"/>
      <c r="E52" s="204"/>
      <c r="F52" s="204"/>
      <c r="G52" s="204"/>
      <c r="H52" s="344"/>
      <c r="I52" s="204"/>
      <c r="J52" s="204"/>
      <c r="K52" s="204"/>
      <c r="L52" s="204"/>
      <c r="M52" s="204"/>
      <c r="N52" s="204"/>
      <c r="O52" s="344"/>
      <c r="P52" s="204"/>
      <c r="Q52" s="204"/>
      <c r="R52" s="204"/>
      <c r="S52" s="204"/>
      <c r="T52" s="204"/>
      <c r="U52" s="344"/>
      <c r="V52" s="204">
        <f>SUM(V53:V75)</f>
        <v>1699999</v>
      </c>
      <c r="W52" s="204">
        <f t="shared" ref="W52:AA52" si="25">SUM(W53:W75)</f>
        <v>0</v>
      </c>
      <c r="X52" s="204">
        <f t="shared" si="25"/>
        <v>0</v>
      </c>
      <c r="Y52" s="204">
        <f t="shared" si="25"/>
        <v>0</v>
      </c>
      <c r="Z52" s="204"/>
      <c r="AA52" s="204">
        <f t="shared" si="25"/>
        <v>1699999</v>
      </c>
      <c r="AB52" s="204"/>
      <c r="AC52" s="204"/>
    </row>
    <row r="53" spans="1:29" ht="36" customHeight="1" x14ac:dyDescent="0.2">
      <c r="A53" s="108" t="s">
        <v>2764</v>
      </c>
      <c r="B53" s="1021" t="s">
        <v>3323</v>
      </c>
      <c r="D53" s="847"/>
      <c r="E53" s="848"/>
      <c r="F53" s="236"/>
      <c r="G53" s="236"/>
      <c r="I53" s="1089"/>
      <c r="J53" s="1090"/>
      <c r="K53" s="1090"/>
      <c r="L53" s="1090"/>
      <c r="M53" s="1090"/>
      <c r="N53" s="1091"/>
      <c r="P53" s="215"/>
      <c r="Q53" s="849"/>
      <c r="R53" s="236"/>
      <c r="S53" s="236"/>
      <c r="T53" s="236"/>
      <c r="V53" s="215">
        <v>173193</v>
      </c>
      <c r="W53" s="849"/>
      <c r="X53" s="236"/>
      <c r="Y53" s="236"/>
      <c r="Z53" s="236"/>
      <c r="AA53" s="236">
        <f t="shared" ref="AA53:AA75" si="26">SUM(V53:Z53)</f>
        <v>173193</v>
      </c>
      <c r="AB53" s="236" t="s">
        <v>11</v>
      </c>
      <c r="AC53" s="236" t="s">
        <v>12</v>
      </c>
    </row>
    <row r="54" spans="1:29" ht="36" customHeight="1" x14ac:dyDescent="0.2">
      <c r="A54" s="108" t="s">
        <v>3310</v>
      </c>
      <c r="B54" s="1021" t="s">
        <v>3311</v>
      </c>
      <c r="D54" s="847"/>
      <c r="E54" s="848"/>
      <c r="F54" s="236"/>
      <c r="G54" s="236"/>
      <c r="I54" s="1089"/>
      <c r="J54" s="1090"/>
      <c r="K54" s="1090"/>
      <c r="L54" s="1090"/>
      <c r="M54" s="1090"/>
      <c r="N54" s="1091"/>
      <c r="P54" s="215"/>
      <c r="Q54" s="849"/>
      <c r="R54" s="236"/>
      <c r="S54" s="236"/>
      <c r="T54" s="236"/>
      <c r="V54" s="215">
        <v>167998</v>
      </c>
      <c r="W54" s="849"/>
      <c r="X54" s="236"/>
      <c r="Y54" s="236"/>
      <c r="Z54" s="236"/>
      <c r="AA54" s="236">
        <f t="shared" si="26"/>
        <v>167998</v>
      </c>
      <c r="AB54" s="236" t="s">
        <v>53</v>
      </c>
      <c r="AC54" s="236" t="s">
        <v>53</v>
      </c>
    </row>
    <row r="55" spans="1:29" ht="36" customHeight="1" x14ac:dyDescent="0.2">
      <c r="A55" s="108" t="s">
        <v>3312</v>
      </c>
      <c r="B55" s="1021" t="s">
        <v>3324</v>
      </c>
      <c r="D55" s="847"/>
      <c r="E55" s="848"/>
      <c r="F55" s="236"/>
      <c r="G55" s="236"/>
      <c r="I55" s="1089"/>
      <c r="J55" s="1090"/>
      <c r="K55" s="1090"/>
      <c r="L55" s="1090"/>
      <c r="M55" s="1090"/>
      <c r="N55" s="1091"/>
      <c r="P55" s="215"/>
      <c r="Q55" s="849"/>
      <c r="R55" s="236"/>
      <c r="S55" s="236"/>
      <c r="T55" s="236"/>
      <c r="V55" s="215">
        <v>35493</v>
      </c>
      <c r="W55" s="849"/>
      <c r="X55" s="236"/>
      <c r="Y55" s="236"/>
      <c r="Z55" s="236"/>
      <c r="AA55" s="236">
        <f t="shared" si="26"/>
        <v>35493</v>
      </c>
      <c r="AB55" s="236" t="s">
        <v>43</v>
      </c>
      <c r="AC55" s="236" t="s">
        <v>9</v>
      </c>
    </row>
    <row r="56" spans="1:29" ht="36" customHeight="1" x14ac:dyDescent="0.2">
      <c r="A56" s="108" t="s">
        <v>3312</v>
      </c>
      <c r="B56" s="1021" t="s">
        <v>3325</v>
      </c>
      <c r="D56" s="847"/>
      <c r="E56" s="848"/>
      <c r="F56" s="236"/>
      <c r="G56" s="236"/>
      <c r="I56" s="1089"/>
      <c r="J56" s="1090"/>
      <c r="K56" s="1090"/>
      <c r="L56" s="1090"/>
      <c r="M56" s="1090"/>
      <c r="N56" s="1091"/>
      <c r="P56" s="215"/>
      <c r="Q56" s="849"/>
      <c r="R56" s="236"/>
      <c r="S56" s="236"/>
      <c r="T56" s="236"/>
      <c r="V56" s="215">
        <v>35493</v>
      </c>
      <c r="W56" s="849"/>
      <c r="X56" s="236"/>
      <c r="Y56" s="236"/>
      <c r="Z56" s="236"/>
      <c r="AA56" s="236">
        <f t="shared" si="26"/>
        <v>35493</v>
      </c>
      <c r="AB56" s="236" t="s">
        <v>774</v>
      </c>
      <c r="AC56" s="236" t="s">
        <v>12</v>
      </c>
    </row>
    <row r="57" spans="1:29" ht="36" customHeight="1" x14ac:dyDescent="0.2">
      <c r="A57" s="108" t="s">
        <v>2290</v>
      </c>
      <c r="B57" s="1021" t="s">
        <v>3326</v>
      </c>
      <c r="D57" s="847"/>
      <c r="E57" s="848"/>
      <c r="F57" s="236"/>
      <c r="G57" s="236"/>
      <c r="I57" s="1089"/>
      <c r="J57" s="1090"/>
      <c r="K57" s="1090"/>
      <c r="L57" s="1090"/>
      <c r="M57" s="1090"/>
      <c r="N57" s="1091"/>
      <c r="P57" s="215"/>
      <c r="Q57" s="849"/>
      <c r="R57" s="236"/>
      <c r="S57" s="236"/>
      <c r="T57" s="236"/>
      <c r="V57" s="215">
        <v>93848</v>
      </c>
      <c r="W57" s="849"/>
      <c r="X57" s="236"/>
      <c r="Y57" s="236"/>
      <c r="Z57" s="236"/>
      <c r="AA57" s="236">
        <f t="shared" si="26"/>
        <v>93848</v>
      </c>
      <c r="AB57" s="236" t="s">
        <v>3342</v>
      </c>
      <c r="AC57" s="236" t="s">
        <v>9</v>
      </c>
    </row>
    <row r="58" spans="1:29" ht="36" customHeight="1" x14ac:dyDescent="0.2">
      <c r="A58" s="108" t="s">
        <v>2821</v>
      </c>
      <c r="B58" s="1021" t="s">
        <v>3327</v>
      </c>
      <c r="D58" s="847"/>
      <c r="E58" s="848"/>
      <c r="F58" s="236"/>
      <c r="G58" s="236"/>
      <c r="I58" s="1089"/>
      <c r="J58" s="1090"/>
      <c r="K58" s="1090"/>
      <c r="L58" s="1090"/>
      <c r="M58" s="1090"/>
      <c r="N58" s="1091"/>
      <c r="P58" s="215"/>
      <c r="Q58" s="849"/>
      <c r="R58" s="236"/>
      <c r="S58" s="236"/>
      <c r="T58" s="236"/>
      <c r="V58" s="215">
        <v>100000</v>
      </c>
      <c r="W58" s="849"/>
      <c r="X58" s="236"/>
      <c r="Y58" s="236"/>
      <c r="Z58" s="236"/>
      <c r="AA58" s="236">
        <f t="shared" si="26"/>
        <v>100000</v>
      </c>
      <c r="AB58" s="236" t="s">
        <v>400</v>
      </c>
      <c r="AC58" s="236" t="s">
        <v>32</v>
      </c>
    </row>
    <row r="59" spans="1:29" ht="36" customHeight="1" x14ac:dyDescent="0.2">
      <c r="A59" s="108" t="s">
        <v>3167</v>
      </c>
      <c r="B59" s="1021" t="s">
        <v>3328</v>
      </c>
      <c r="D59" s="847"/>
      <c r="E59" s="848"/>
      <c r="F59" s="236"/>
      <c r="G59" s="236"/>
      <c r="I59" s="1089"/>
      <c r="J59" s="1090"/>
      <c r="K59" s="1090"/>
      <c r="L59" s="1090"/>
      <c r="M59" s="1090"/>
      <c r="N59" s="1091"/>
      <c r="P59" s="215"/>
      <c r="Q59" s="849"/>
      <c r="R59" s="236"/>
      <c r="S59" s="236"/>
      <c r="T59" s="236"/>
      <c r="V59" s="215">
        <v>121691</v>
      </c>
      <c r="W59" s="849"/>
      <c r="X59" s="236"/>
      <c r="Y59" s="236"/>
      <c r="Z59" s="236"/>
      <c r="AA59" s="236">
        <f t="shared" si="26"/>
        <v>121691</v>
      </c>
      <c r="AB59" s="236" t="s">
        <v>1060</v>
      </c>
      <c r="AC59" s="236" t="s">
        <v>9</v>
      </c>
    </row>
    <row r="60" spans="1:29" ht="36" customHeight="1" x14ac:dyDescent="0.2">
      <c r="A60" s="108" t="s">
        <v>3313</v>
      </c>
      <c r="B60" s="1021" t="s">
        <v>3329</v>
      </c>
      <c r="D60" s="847"/>
      <c r="E60" s="848"/>
      <c r="F60" s="236"/>
      <c r="G60" s="236"/>
      <c r="I60" s="1089"/>
      <c r="J60" s="1090"/>
      <c r="K60" s="1090"/>
      <c r="L60" s="1090"/>
      <c r="M60" s="1090"/>
      <c r="N60" s="1091"/>
      <c r="P60" s="215"/>
      <c r="Q60" s="849"/>
      <c r="R60" s="236"/>
      <c r="S60" s="236"/>
      <c r="T60" s="236"/>
      <c r="V60" s="215">
        <v>70986</v>
      </c>
      <c r="W60" s="849"/>
      <c r="X60" s="236"/>
      <c r="Y60" s="236"/>
      <c r="Z60" s="236"/>
      <c r="AA60" s="236">
        <f t="shared" si="26"/>
        <v>70986</v>
      </c>
      <c r="AB60" s="236" t="s">
        <v>652</v>
      </c>
      <c r="AC60" s="236" t="s">
        <v>9</v>
      </c>
    </row>
    <row r="61" spans="1:29" ht="36" customHeight="1" x14ac:dyDescent="0.2">
      <c r="A61" s="108" t="s">
        <v>3314</v>
      </c>
      <c r="B61" s="1021" t="s">
        <v>3330</v>
      </c>
      <c r="D61" s="847"/>
      <c r="E61" s="848"/>
      <c r="F61" s="236"/>
      <c r="G61" s="236"/>
      <c r="I61" s="1089"/>
      <c r="J61" s="1090"/>
      <c r="K61" s="1090"/>
      <c r="L61" s="1090"/>
      <c r="M61" s="1090"/>
      <c r="N61" s="1091"/>
      <c r="P61" s="215"/>
      <c r="Q61" s="849"/>
      <c r="R61" s="236"/>
      <c r="S61" s="236"/>
      <c r="T61" s="236"/>
      <c r="V61" s="215">
        <v>45634</v>
      </c>
      <c r="W61" s="849"/>
      <c r="X61" s="236"/>
      <c r="Y61" s="236"/>
      <c r="Z61" s="236"/>
      <c r="AA61" s="236">
        <f t="shared" si="26"/>
        <v>45634</v>
      </c>
      <c r="AB61" s="236" t="s">
        <v>670</v>
      </c>
      <c r="AC61" s="236" t="s">
        <v>12</v>
      </c>
    </row>
    <row r="62" spans="1:29" ht="36" customHeight="1" x14ac:dyDescent="0.2">
      <c r="A62" s="108" t="s">
        <v>2702</v>
      </c>
      <c r="B62" s="1021" t="s">
        <v>3331</v>
      </c>
      <c r="D62" s="847"/>
      <c r="E62" s="848"/>
      <c r="F62" s="236"/>
      <c r="G62" s="236"/>
      <c r="I62" s="1089"/>
      <c r="J62" s="1090"/>
      <c r="K62" s="1090"/>
      <c r="L62" s="1090"/>
      <c r="M62" s="1090"/>
      <c r="N62" s="1091"/>
      <c r="P62" s="215"/>
      <c r="Q62" s="849"/>
      <c r="R62" s="236"/>
      <c r="S62" s="236"/>
      <c r="T62" s="236"/>
      <c r="V62" s="215">
        <v>50000</v>
      </c>
      <c r="W62" s="849"/>
      <c r="X62" s="236"/>
      <c r="Y62" s="236"/>
      <c r="Z62" s="236"/>
      <c r="AA62" s="236">
        <f t="shared" si="26"/>
        <v>50000</v>
      </c>
      <c r="AB62" s="236" t="s">
        <v>437</v>
      </c>
      <c r="AC62" s="236" t="s">
        <v>9</v>
      </c>
    </row>
    <row r="63" spans="1:29" ht="36" customHeight="1" x14ac:dyDescent="0.2">
      <c r="A63" s="108" t="s">
        <v>3315</v>
      </c>
      <c r="B63" s="1021" t="s">
        <v>3316</v>
      </c>
      <c r="D63" s="847"/>
      <c r="E63" s="848"/>
      <c r="F63" s="236"/>
      <c r="G63" s="236"/>
      <c r="I63" s="1089"/>
      <c r="J63" s="1090"/>
      <c r="K63" s="1090"/>
      <c r="L63" s="1090"/>
      <c r="M63" s="1090"/>
      <c r="N63" s="1091"/>
      <c r="P63" s="215"/>
      <c r="Q63" s="849"/>
      <c r="R63" s="236"/>
      <c r="S63" s="236"/>
      <c r="T63" s="236"/>
      <c r="V63" s="215">
        <v>40000</v>
      </c>
      <c r="W63" s="849"/>
      <c r="X63" s="236"/>
      <c r="Y63" s="236"/>
      <c r="Z63" s="236"/>
      <c r="AA63" s="236">
        <f t="shared" si="26"/>
        <v>40000</v>
      </c>
      <c r="AB63" s="236" t="s">
        <v>696</v>
      </c>
      <c r="AC63" s="236" t="s">
        <v>9</v>
      </c>
    </row>
    <row r="64" spans="1:29" ht="36" customHeight="1" x14ac:dyDescent="0.2">
      <c r="A64" s="108" t="s">
        <v>3317</v>
      </c>
      <c r="B64" s="1021" t="s">
        <v>3332</v>
      </c>
      <c r="D64" s="847"/>
      <c r="E64" s="848"/>
      <c r="F64" s="236"/>
      <c r="G64" s="236"/>
      <c r="I64" s="1089"/>
      <c r="J64" s="1090"/>
      <c r="K64" s="1090"/>
      <c r="L64" s="1090"/>
      <c r="M64" s="1090"/>
      <c r="N64" s="1091"/>
      <c r="P64" s="215"/>
      <c r="Q64" s="849"/>
      <c r="R64" s="236"/>
      <c r="S64" s="236"/>
      <c r="T64" s="236"/>
      <c r="V64" s="215">
        <v>52774</v>
      </c>
      <c r="W64" s="849"/>
      <c r="X64" s="236"/>
      <c r="Y64" s="236"/>
      <c r="Z64" s="236"/>
      <c r="AA64" s="236">
        <f t="shared" si="26"/>
        <v>52774</v>
      </c>
      <c r="AB64" s="236" t="s">
        <v>1409</v>
      </c>
      <c r="AC64" s="236" t="s">
        <v>32</v>
      </c>
    </row>
    <row r="65" spans="1:29" ht="36" customHeight="1" x14ac:dyDescent="0.2">
      <c r="A65" s="108" t="s">
        <v>3164</v>
      </c>
      <c r="B65" s="1021" t="s">
        <v>3333</v>
      </c>
      <c r="D65" s="847"/>
      <c r="E65" s="848"/>
      <c r="F65" s="236"/>
      <c r="G65" s="236"/>
      <c r="I65" s="1089"/>
      <c r="J65" s="1090"/>
      <c r="K65" s="1090"/>
      <c r="L65" s="1090"/>
      <c r="M65" s="1090"/>
      <c r="N65" s="1091"/>
      <c r="P65" s="215"/>
      <c r="Q65" s="849"/>
      <c r="R65" s="236"/>
      <c r="S65" s="236"/>
      <c r="T65" s="236"/>
      <c r="V65" s="215">
        <v>20261</v>
      </c>
      <c r="W65" s="849"/>
      <c r="X65" s="236"/>
      <c r="Y65" s="236"/>
      <c r="Z65" s="236"/>
      <c r="AA65" s="236">
        <f t="shared" si="26"/>
        <v>20261</v>
      </c>
      <c r="AB65" s="236" t="s">
        <v>2524</v>
      </c>
      <c r="AC65" s="236" t="s">
        <v>9</v>
      </c>
    </row>
    <row r="66" spans="1:29" ht="36" customHeight="1" x14ac:dyDescent="0.2">
      <c r="A66" s="108" t="s">
        <v>3133</v>
      </c>
      <c r="B66" s="1021" t="s">
        <v>3134</v>
      </c>
      <c r="D66" s="847"/>
      <c r="E66" s="848"/>
      <c r="F66" s="236"/>
      <c r="G66" s="236"/>
      <c r="I66" s="1089"/>
      <c r="J66" s="1090"/>
      <c r="K66" s="1090"/>
      <c r="L66" s="1090"/>
      <c r="M66" s="1090"/>
      <c r="N66" s="1091"/>
      <c r="P66" s="215"/>
      <c r="Q66" s="849"/>
      <c r="R66" s="236"/>
      <c r="S66" s="236"/>
      <c r="T66" s="236"/>
      <c r="V66" s="215">
        <v>34790</v>
      </c>
      <c r="W66" s="849"/>
      <c r="X66" s="236"/>
      <c r="Y66" s="236"/>
      <c r="Z66" s="236"/>
      <c r="AA66" s="236">
        <f t="shared" si="26"/>
        <v>34790</v>
      </c>
      <c r="AB66" s="236" t="s">
        <v>3135</v>
      </c>
      <c r="AC66" s="236" t="s">
        <v>136</v>
      </c>
    </row>
    <row r="67" spans="1:29" ht="36" customHeight="1" x14ac:dyDescent="0.2">
      <c r="A67" s="108" t="s">
        <v>2294</v>
      </c>
      <c r="B67" s="1021" t="s">
        <v>3334</v>
      </c>
      <c r="D67" s="847"/>
      <c r="E67" s="848"/>
      <c r="F67" s="236"/>
      <c r="G67" s="236"/>
      <c r="I67" s="1089"/>
      <c r="J67" s="1090"/>
      <c r="K67" s="1090"/>
      <c r="L67" s="1090"/>
      <c r="M67" s="1090"/>
      <c r="N67" s="1091"/>
      <c r="P67" s="215"/>
      <c r="Q67" s="849"/>
      <c r="R67" s="236"/>
      <c r="S67" s="236"/>
      <c r="T67" s="236"/>
      <c r="V67" s="215">
        <v>34639</v>
      </c>
      <c r="W67" s="849"/>
      <c r="X67" s="236"/>
      <c r="Y67" s="236"/>
      <c r="Z67" s="236"/>
      <c r="AA67" s="236">
        <f t="shared" si="26"/>
        <v>34639</v>
      </c>
      <c r="AB67" s="236" t="s">
        <v>467</v>
      </c>
      <c r="AC67" s="236" t="s">
        <v>12</v>
      </c>
    </row>
    <row r="68" spans="1:29" ht="36" customHeight="1" x14ac:dyDescent="0.2">
      <c r="A68" s="108" t="s">
        <v>3318</v>
      </c>
      <c r="B68" s="1021" t="s">
        <v>3335</v>
      </c>
      <c r="D68" s="847"/>
      <c r="E68" s="848"/>
      <c r="F68" s="236"/>
      <c r="G68" s="236"/>
      <c r="I68" s="1089"/>
      <c r="J68" s="1090"/>
      <c r="K68" s="1090"/>
      <c r="L68" s="1090"/>
      <c r="M68" s="1090"/>
      <c r="N68" s="1091"/>
      <c r="P68" s="215"/>
      <c r="Q68" s="849"/>
      <c r="R68" s="236"/>
      <c r="S68" s="236"/>
      <c r="T68" s="236"/>
      <c r="V68" s="215">
        <v>33720</v>
      </c>
      <c r="W68" s="849"/>
      <c r="X68" s="236"/>
      <c r="Y68" s="236"/>
      <c r="Z68" s="236"/>
      <c r="AA68" s="236">
        <f t="shared" si="26"/>
        <v>33720</v>
      </c>
      <c r="AB68" s="236" t="s">
        <v>3343</v>
      </c>
      <c r="AC68" s="236" t="s">
        <v>32</v>
      </c>
    </row>
    <row r="69" spans="1:29" ht="36" customHeight="1" x14ac:dyDescent="0.2">
      <c r="A69" s="108" t="s">
        <v>3319</v>
      </c>
      <c r="B69" s="1021" t="s">
        <v>3336</v>
      </c>
      <c r="D69" s="847"/>
      <c r="E69" s="848"/>
      <c r="F69" s="236"/>
      <c r="G69" s="236"/>
      <c r="I69" s="1089"/>
      <c r="J69" s="1090"/>
      <c r="K69" s="1090"/>
      <c r="L69" s="1090"/>
      <c r="M69" s="1090"/>
      <c r="N69" s="1091"/>
      <c r="P69" s="215"/>
      <c r="Q69" s="849"/>
      <c r="R69" s="236"/>
      <c r="S69" s="236"/>
      <c r="T69" s="236"/>
      <c r="V69" s="215">
        <v>60000</v>
      </c>
      <c r="W69" s="849"/>
      <c r="X69" s="236"/>
      <c r="Y69" s="236"/>
      <c r="Z69" s="236"/>
      <c r="AA69" s="236">
        <f t="shared" si="26"/>
        <v>60000</v>
      </c>
      <c r="AB69" s="236" t="s">
        <v>655</v>
      </c>
      <c r="AC69" s="236" t="s">
        <v>136</v>
      </c>
    </row>
    <row r="70" spans="1:29" ht="36" customHeight="1" x14ac:dyDescent="0.2">
      <c r="A70" s="108" t="s">
        <v>3320</v>
      </c>
      <c r="B70" s="1021" t="s">
        <v>3337</v>
      </c>
      <c r="D70" s="847"/>
      <c r="E70" s="848"/>
      <c r="F70" s="236"/>
      <c r="G70" s="236"/>
      <c r="I70" s="1089"/>
      <c r="J70" s="1090"/>
      <c r="K70" s="1090"/>
      <c r="L70" s="1090"/>
      <c r="M70" s="1090"/>
      <c r="N70" s="1091"/>
      <c r="P70" s="215"/>
      <c r="Q70" s="849"/>
      <c r="R70" s="236"/>
      <c r="S70" s="236"/>
      <c r="T70" s="236"/>
      <c r="V70" s="215">
        <v>115790</v>
      </c>
      <c r="W70" s="849"/>
      <c r="X70" s="236"/>
      <c r="Y70" s="236"/>
      <c r="Z70" s="236"/>
      <c r="AA70" s="236">
        <f t="shared" si="26"/>
        <v>115790</v>
      </c>
      <c r="AB70" s="236" t="s">
        <v>680</v>
      </c>
      <c r="AC70" s="236" t="s">
        <v>32</v>
      </c>
    </row>
    <row r="71" spans="1:29" ht="36" customHeight="1" x14ac:dyDescent="0.2">
      <c r="A71" s="108" t="s">
        <v>2733</v>
      </c>
      <c r="B71" s="1021" t="s">
        <v>2734</v>
      </c>
      <c r="D71" s="847"/>
      <c r="E71" s="848"/>
      <c r="F71" s="236"/>
      <c r="G71" s="236"/>
      <c r="I71" s="1089"/>
      <c r="J71" s="1090"/>
      <c r="K71" s="1090"/>
      <c r="L71" s="1090"/>
      <c r="M71" s="1090"/>
      <c r="N71" s="1091"/>
      <c r="P71" s="215"/>
      <c r="Q71" s="849"/>
      <c r="R71" s="236"/>
      <c r="S71" s="236"/>
      <c r="T71" s="236"/>
      <c r="V71" s="215">
        <v>65916</v>
      </c>
      <c r="W71" s="849"/>
      <c r="X71" s="236"/>
      <c r="Y71" s="236"/>
      <c r="Z71" s="236"/>
      <c r="AA71" s="236">
        <f t="shared" si="26"/>
        <v>65916</v>
      </c>
      <c r="AB71" s="236" t="s">
        <v>1547</v>
      </c>
      <c r="AC71" s="236" t="s">
        <v>32</v>
      </c>
    </row>
    <row r="72" spans="1:29" ht="36" customHeight="1" x14ac:dyDescent="0.2">
      <c r="A72" s="108" t="s">
        <v>3321</v>
      </c>
      <c r="B72" s="1021" t="s">
        <v>3338</v>
      </c>
      <c r="D72" s="847"/>
      <c r="E72" s="848"/>
      <c r="F72" s="236"/>
      <c r="G72" s="236"/>
      <c r="I72" s="1089"/>
      <c r="J72" s="1090"/>
      <c r="K72" s="1090"/>
      <c r="L72" s="1090"/>
      <c r="M72" s="1090"/>
      <c r="N72" s="1091"/>
      <c r="P72" s="215"/>
      <c r="Q72" s="849"/>
      <c r="R72" s="236"/>
      <c r="S72" s="236"/>
      <c r="T72" s="236"/>
      <c r="V72" s="215">
        <v>69715</v>
      </c>
      <c r="W72" s="849"/>
      <c r="X72" s="236"/>
      <c r="Y72" s="236"/>
      <c r="Z72" s="236"/>
      <c r="AA72" s="236">
        <f t="shared" si="26"/>
        <v>69715</v>
      </c>
      <c r="AB72" s="236" t="s">
        <v>461</v>
      </c>
      <c r="AC72" s="236" t="s">
        <v>12</v>
      </c>
    </row>
    <row r="73" spans="1:29" ht="36" customHeight="1" x14ac:dyDescent="0.2">
      <c r="A73" s="108" t="s">
        <v>3322</v>
      </c>
      <c r="B73" s="1021" t="s">
        <v>3339</v>
      </c>
      <c r="D73" s="847"/>
      <c r="E73" s="848"/>
      <c r="F73" s="236"/>
      <c r="G73" s="236"/>
      <c r="I73" s="1089"/>
      <c r="J73" s="1090"/>
      <c r="K73" s="1090"/>
      <c r="L73" s="1090"/>
      <c r="M73" s="1090"/>
      <c r="N73" s="1091"/>
      <c r="P73" s="215"/>
      <c r="Q73" s="849"/>
      <c r="R73" s="236"/>
      <c r="S73" s="236"/>
      <c r="T73" s="236"/>
      <c r="V73" s="215">
        <v>27477</v>
      </c>
      <c r="W73" s="849"/>
      <c r="X73" s="236"/>
      <c r="Y73" s="236"/>
      <c r="Z73" s="236"/>
      <c r="AA73" s="236">
        <f t="shared" si="26"/>
        <v>27477</v>
      </c>
      <c r="AB73" s="236" t="s">
        <v>36</v>
      </c>
      <c r="AC73" s="236" t="s">
        <v>9</v>
      </c>
    </row>
    <row r="74" spans="1:29" ht="36" customHeight="1" x14ac:dyDescent="0.2">
      <c r="A74" s="108" t="s">
        <v>2739</v>
      </c>
      <c r="B74" s="1021" t="s">
        <v>3340</v>
      </c>
      <c r="D74" s="847"/>
      <c r="E74" s="848"/>
      <c r="F74" s="236"/>
      <c r="G74" s="236"/>
      <c r="I74" s="1089"/>
      <c r="J74" s="1090"/>
      <c r="K74" s="1090"/>
      <c r="L74" s="1090"/>
      <c r="M74" s="1090"/>
      <c r="N74" s="1091"/>
      <c r="P74" s="215"/>
      <c r="Q74" s="849"/>
      <c r="R74" s="236"/>
      <c r="S74" s="236"/>
      <c r="T74" s="236"/>
      <c r="V74" s="215">
        <v>160581</v>
      </c>
      <c r="W74" s="849"/>
      <c r="X74" s="236"/>
      <c r="Y74" s="236"/>
      <c r="Z74" s="236"/>
      <c r="AA74" s="236">
        <f t="shared" si="26"/>
        <v>160581</v>
      </c>
      <c r="AB74" s="236" t="s">
        <v>896</v>
      </c>
      <c r="AC74" s="236" t="s">
        <v>12</v>
      </c>
    </row>
    <row r="75" spans="1:29" ht="36" customHeight="1" x14ac:dyDescent="0.2">
      <c r="A75" s="108" t="s">
        <v>2296</v>
      </c>
      <c r="B75" s="1021" t="s">
        <v>3341</v>
      </c>
      <c r="D75" s="847"/>
      <c r="E75" s="848"/>
      <c r="F75" s="236"/>
      <c r="G75" s="236"/>
      <c r="I75" s="1089"/>
      <c r="J75" s="1090"/>
      <c r="K75" s="1090"/>
      <c r="L75" s="1090"/>
      <c r="M75" s="1090"/>
      <c r="N75" s="1091"/>
      <c r="P75" s="215"/>
      <c r="Q75" s="849"/>
      <c r="R75" s="236"/>
      <c r="S75" s="236"/>
      <c r="T75" s="236"/>
      <c r="V75" s="215">
        <v>90000</v>
      </c>
      <c r="W75" s="849"/>
      <c r="X75" s="236"/>
      <c r="Y75" s="236"/>
      <c r="Z75" s="236"/>
      <c r="AA75" s="236">
        <f t="shared" si="26"/>
        <v>90000</v>
      </c>
      <c r="AB75" s="236" t="s">
        <v>1585</v>
      </c>
      <c r="AC75" s="236" t="s">
        <v>32</v>
      </c>
    </row>
  </sheetData>
  <mergeCells count="31">
    <mergeCell ref="I72:N72"/>
    <mergeCell ref="I73:N73"/>
    <mergeCell ref="I74:N74"/>
    <mergeCell ref="I75:N75"/>
    <mergeCell ref="I67:N67"/>
    <mergeCell ref="I68:N68"/>
    <mergeCell ref="I69:N69"/>
    <mergeCell ref="I70:N70"/>
    <mergeCell ref="I71:N71"/>
    <mergeCell ref="I62:N62"/>
    <mergeCell ref="I63:N63"/>
    <mergeCell ref="I64:N64"/>
    <mergeCell ref="I65:N65"/>
    <mergeCell ref="I66:N66"/>
    <mergeCell ref="I57:N57"/>
    <mergeCell ref="I58:N58"/>
    <mergeCell ref="I59:N59"/>
    <mergeCell ref="I60:N60"/>
    <mergeCell ref="I61:N61"/>
    <mergeCell ref="A52:B52"/>
    <mergeCell ref="I53:N53"/>
    <mergeCell ref="I54:N54"/>
    <mergeCell ref="I55:N55"/>
    <mergeCell ref="I56:N56"/>
    <mergeCell ref="V2:AA2"/>
    <mergeCell ref="I46:N46"/>
    <mergeCell ref="P2:T2"/>
    <mergeCell ref="I2:N2"/>
    <mergeCell ref="A20:B20"/>
    <mergeCell ref="A5:B5"/>
    <mergeCell ref="D2:G2"/>
  </mergeCells>
  <pageMargins left="0" right="0.15748031496062992" top="1.1417322834645669" bottom="0.35433070866141736" header="0.74803149606299213" footer="0.11811023622047245"/>
  <pageSetup paperSize="9" scale="52" fitToHeight="4" orientation="landscape" r:id="rId1"/>
  <headerFooter alignWithMargins="0">
    <oddHeader>&amp;L&amp;D&amp;C&amp;"Arial,מודגש"מינהל תרבות
&amp;11תקציב על שינויו 2016-2019 ש"ח בהתאם להחלטת ועדת התמיכות&amp;R&amp;"Arial,מודגש"&amp;14תקנה 42-02-20 - מחול
תקנה 42-02-58</oddHeader>
    <oddFooter>&amp;L&amp;F&amp;C&amp;P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A1:I305"/>
  <sheetViews>
    <sheetView rightToLeft="1" zoomScaleNormal="100" workbookViewId="0">
      <pane xSplit="2" ySplit="3" topLeftCell="C4" activePane="bottomRight" state="frozen"/>
      <selection activeCell="S19" sqref="S19"/>
      <selection pane="topRight" activeCell="S19" sqref="S19"/>
      <selection pane="bottomLeft" activeCell="S19" sqref="S19"/>
      <selection pane="bottomRight" activeCell="H1" sqref="H1:I1048576"/>
    </sheetView>
  </sheetViews>
  <sheetFormatPr defaultColWidth="2.140625" defaultRowHeight="12.75" x14ac:dyDescent="0.2"/>
  <cols>
    <col min="1" max="1" width="14.140625" style="163" bestFit="1" customWidth="1"/>
    <col min="2" max="2" width="36.5703125" style="343" customWidth="1"/>
    <col min="3" max="3" width="0.42578125" style="344" customWidth="1"/>
    <col min="4" max="7" width="11.42578125" style="163" customWidth="1"/>
    <col min="8" max="9" width="11.42578125" style="163" hidden="1" customWidth="1"/>
    <col min="10" max="254" width="2.140625" style="163"/>
    <col min="255" max="255" width="14.140625" style="163" bestFit="1" customWidth="1"/>
    <col min="256" max="256" width="36.5703125" style="163" customWidth="1"/>
    <col min="257" max="257" width="0.42578125" style="163" customWidth="1"/>
    <col min="258" max="258" width="11.42578125" style="163" customWidth="1"/>
    <col min="259" max="259" width="0.42578125" style="163" customWidth="1"/>
    <col min="260" max="260" width="11.42578125" style="163" customWidth="1"/>
    <col min="261" max="261" width="0.42578125" style="163" customWidth="1"/>
    <col min="262" max="265" width="11.42578125" style="163" customWidth="1"/>
    <col min="266" max="510" width="2.140625" style="163"/>
    <col min="511" max="511" width="14.140625" style="163" bestFit="1" customWidth="1"/>
    <col min="512" max="512" width="36.5703125" style="163" customWidth="1"/>
    <col min="513" max="513" width="0.42578125" style="163" customWidth="1"/>
    <col min="514" max="514" width="11.42578125" style="163" customWidth="1"/>
    <col min="515" max="515" width="0.42578125" style="163" customWidth="1"/>
    <col min="516" max="516" width="11.42578125" style="163" customWidth="1"/>
    <col min="517" max="517" width="0.42578125" style="163" customWidth="1"/>
    <col min="518" max="521" width="11.42578125" style="163" customWidth="1"/>
    <col min="522" max="766" width="2.140625" style="163"/>
    <col min="767" max="767" width="14.140625" style="163" bestFit="1" customWidth="1"/>
    <col min="768" max="768" width="36.5703125" style="163" customWidth="1"/>
    <col min="769" max="769" width="0.42578125" style="163" customWidth="1"/>
    <col min="770" max="770" width="11.42578125" style="163" customWidth="1"/>
    <col min="771" max="771" width="0.42578125" style="163" customWidth="1"/>
    <col min="772" max="772" width="11.42578125" style="163" customWidth="1"/>
    <col min="773" max="773" width="0.42578125" style="163" customWidth="1"/>
    <col min="774" max="777" width="11.42578125" style="163" customWidth="1"/>
    <col min="778" max="1022" width="2.140625" style="163"/>
    <col min="1023" max="1023" width="14.140625" style="163" bestFit="1" customWidth="1"/>
    <col min="1024" max="1024" width="36.5703125" style="163" customWidth="1"/>
    <col min="1025" max="1025" width="0.42578125" style="163" customWidth="1"/>
    <col min="1026" max="1026" width="11.42578125" style="163" customWidth="1"/>
    <col min="1027" max="1027" width="0.42578125" style="163" customWidth="1"/>
    <col min="1028" max="1028" width="11.42578125" style="163" customWidth="1"/>
    <col min="1029" max="1029" width="0.42578125" style="163" customWidth="1"/>
    <col min="1030" max="1033" width="11.42578125" style="163" customWidth="1"/>
    <col min="1034" max="1278" width="2.140625" style="163"/>
    <col min="1279" max="1279" width="14.140625" style="163" bestFit="1" customWidth="1"/>
    <col min="1280" max="1280" width="36.5703125" style="163" customWidth="1"/>
    <col min="1281" max="1281" width="0.42578125" style="163" customWidth="1"/>
    <col min="1282" max="1282" width="11.42578125" style="163" customWidth="1"/>
    <col min="1283" max="1283" width="0.42578125" style="163" customWidth="1"/>
    <col min="1284" max="1284" width="11.42578125" style="163" customWidth="1"/>
    <col min="1285" max="1285" width="0.42578125" style="163" customWidth="1"/>
    <col min="1286" max="1289" width="11.42578125" style="163" customWidth="1"/>
    <col min="1290" max="1534" width="2.140625" style="163"/>
    <col min="1535" max="1535" width="14.140625" style="163" bestFit="1" customWidth="1"/>
    <col min="1536" max="1536" width="36.5703125" style="163" customWidth="1"/>
    <col min="1537" max="1537" width="0.42578125" style="163" customWidth="1"/>
    <col min="1538" max="1538" width="11.42578125" style="163" customWidth="1"/>
    <col min="1539" max="1539" width="0.42578125" style="163" customWidth="1"/>
    <col min="1540" max="1540" width="11.42578125" style="163" customWidth="1"/>
    <col min="1541" max="1541" width="0.42578125" style="163" customWidth="1"/>
    <col min="1542" max="1545" width="11.42578125" style="163" customWidth="1"/>
    <col min="1546" max="1790" width="2.140625" style="163"/>
    <col min="1791" max="1791" width="14.140625" style="163" bestFit="1" customWidth="1"/>
    <col min="1792" max="1792" width="36.5703125" style="163" customWidth="1"/>
    <col min="1793" max="1793" width="0.42578125" style="163" customWidth="1"/>
    <col min="1794" max="1794" width="11.42578125" style="163" customWidth="1"/>
    <col min="1795" max="1795" width="0.42578125" style="163" customWidth="1"/>
    <col min="1796" max="1796" width="11.42578125" style="163" customWidth="1"/>
    <col min="1797" max="1797" width="0.42578125" style="163" customWidth="1"/>
    <col min="1798" max="1801" width="11.42578125" style="163" customWidth="1"/>
    <col min="1802" max="2046" width="2.140625" style="163"/>
    <col min="2047" max="2047" width="14.140625" style="163" bestFit="1" customWidth="1"/>
    <col min="2048" max="2048" width="36.5703125" style="163" customWidth="1"/>
    <col min="2049" max="2049" width="0.42578125" style="163" customWidth="1"/>
    <col min="2050" max="2050" width="11.42578125" style="163" customWidth="1"/>
    <col min="2051" max="2051" width="0.42578125" style="163" customWidth="1"/>
    <col min="2052" max="2052" width="11.42578125" style="163" customWidth="1"/>
    <col min="2053" max="2053" width="0.42578125" style="163" customWidth="1"/>
    <col min="2054" max="2057" width="11.42578125" style="163" customWidth="1"/>
    <col min="2058" max="2302" width="2.140625" style="163"/>
    <col min="2303" max="2303" width="14.140625" style="163" bestFit="1" customWidth="1"/>
    <col min="2304" max="2304" width="36.5703125" style="163" customWidth="1"/>
    <col min="2305" max="2305" width="0.42578125" style="163" customWidth="1"/>
    <col min="2306" max="2306" width="11.42578125" style="163" customWidth="1"/>
    <col min="2307" max="2307" width="0.42578125" style="163" customWidth="1"/>
    <col min="2308" max="2308" width="11.42578125" style="163" customWidth="1"/>
    <col min="2309" max="2309" width="0.42578125" style="163" customWidth="1"/>
    <col min="2310" max="2313" width="11.42578125" style="163" customWidth="1"/>
    <col min="2314" max="2558" width="2.140625" style="163"/>
    <col min="2559" max="2559" width="14.140625" style="163" bestFit="1" customWidth="1"/>
    <col min="2560" max="2560" width="36.5703125" style="163" customWidth="1"/>
    <col min="2561" max="2561" width="0.42578125" style="163" customWidth="1"/>
    <col min="2562" max="2562" width="11.42578125" style="163" customWidth="1"/>
    <col min="2563" max="2563" width="0.42578125" style="163" customWidth="1"/>
    <col min="2564" max="2564" width="11.42578125" style="163" customWidth="1"/>
    <col min="2565" max="2565" width="0.42578125" style="163" customWidth="1"/>
    <col min="2566" max="2569" width="11.42578125" style="163" customWidth="1"/>
    <col min="2570" max="2814" width="2.140625" style="163"/>
    <col min="2815" max="2815" width="14.140625" style="163" bestFit="1" customWidth="1"/>
    <col min="2816" max="2816" width="36.5703125" style="163" customWidth="1"/>
    <col min="2817" max="2817" width="0.42578125" style="163" customWidth="1"/>
    <col min="2818" max="2818" width="11.42578125" style="163" customWidth="1"/>
    <col min="2819" max="2819" width="0.42578125" style="163" customWidth="1"/>
    <col min="2820" max="2820" width="11.42578125" style="163" customWidth="1"/>
    <col min="2821" max="2821" width="0.42578125" style="163" customWidth="1"/>
    <col min="2822" max="2825" width="11.42578125" style="163" customWidth="1"/>
    <col min="2826" max="3070" width="2.140625" style="163"/>
    <col min="3071" max="3071" width="14.140625" style="163" bestFit="1" customWidth="1"/>
    <col min="3072" max="3072" width="36.5703125" style="163" customWidth="1"/>
    <col min="3073" max="3073" width="0.42578125" style="163" customWidth="1"/>
    <col min="3074" max="3074" width="11.42578125" style="163" customWidth="1"/>
    <col min="3075" max="3075" width="0.42578125" style="163" customWidth="1"/>
    <col min="3076" max="3076" width="11.42578125" style="163" customWidth="1"/>
    <col min="3077" max="3077" width="0.42578125" style="163" customWidth="1"/>
    <col min="3078" max="3081" width="11.42578125" style="163" customWidth="1"/>
    <col min="3082" max="3326" width="2.140625" style="163"/>
    <col min="3327" max="3327" width="14.140625" style="163" bestFit="1" customWidth="1"/>
    <col min="3328" max="3328" width="36.5703125" style="163" customWidth="1"/>
    <col min="3329" max="3329" width="0.42578125" style="163" customWidth="1"/>
    <col min="3330" max="3330" width="11.42578125" style="163" customWidth="1"/>
    <col min="3331" max="3331" width="0.42578125" style="163" customWidth="1"/>
    <col min="3332" max="3332" width="11.42578125" style="163" customWidth="1"/>
    <col min="3333" max="3333" width="0.42578125" style="163" customWidth="1"/>
    <col min="3334" max="3337" width="11.42578125" style="163" customWidth="1"/>
    <col min="3338" max="3582" width="2.140625" style="163"/>
    <col min="3583" max="3583" width="14.140625" style="163" bestFit="1" customWidth="1"/>
    <col min="3584" max="3584" width="36.5703125" style="163" customWidth="1"/>
    <col min="3585" max="3585" width="0.42578125" style="163" customWidth="1"/>
    <col min="3586" max="3586" width="11.42578125" style="163" customWidth="1"/>
    <col min="3587" max="3587" width="0.42578125" style="163" customWidth="1"/>
    <col min="3588" max="3588" width="11.42578125" style="163" customWidth="1"/>
    <col min="3589" max="3589" width="0.42578125" style="163" customWidth="1"/>
    <col min="3590" max="3593" width="11.42578125" style="163" customWidth="1"/>
    <col min="3594" max="3838" width="2.140625" style="163"/>
    <col min="3839" max="3839" width="14.140625" style="163" bestFit="1" customWidth="1"/>
    <col min="3840" max="3840" width="36.5703125" style="163" customWidth="1"/>
    <col min="3841" max="3841" width="0.42578125" style="163" customWidth="1"/>
    <col min="3842" max="3842" width="11.42578125" style="163" customWidth="1"/>
    <col min="3843" max="3843" width="0.42578125" style="163" customWidth="1"/>
    <col min="3844" max="3844" width="11.42578125" style="163" customWidth="1"/>
    <col min="3845" max="3845" width="0.42578125" style="163" customWidth="1"/>
    <col min="3846" max="3849" width="11.42578125" style="163" customWidth="1"/>
    <col min="3850" max="4094" width="2.140625" style="163"/>
    <col min="4095" max="4095" width="14.140625" style="163" bestFit="1" customWidth="1"/>
    <col min="4096" max="4096" width="36.5703125" style="163" customWidth="1"/>
    <col min="4097" max="4097" width="0.42578125" style="163" customWidth="1"/>
    <col min="4098" max="4098" width="11.42578125" style="163" customWidth="1"/>
    <col min="4099" max="4099" width="0.42578125" style="163" customWidth="1"/>
    <col min="4100" max="4100" width="11.42578125" style="163" customWidth="1"/>
    <col min="4101" max="4101" width="0.42578125" style="163" customWidth="1"/>
    <col min="4102" max="4105" width="11.42578125" style="163" customWidth="1"/>
    <col min="4106" max="4350" width="2.140625" style="163"/>
    <col min="4351" max="4351" width="14.140625" style="163" bestFit="1" customWidth="1"/>
    <col min="4352" max="4352" width="36.5703125" style="163" customWidth="1"/>
    <col min="4353" max="4353" width="0.42578125" style="163" customWidth="1"/>
    <col min="4354" max="4354" width="11.42578125" style="163" customWidth="1"/>
    <col min="4355" max="4355" width="0.42578125" style="163" customWidth="1"/>
    <col min="4356" max="4356" width="11.42578125" style="163" customWidth="1"/>
    <col min="4357" max="4357" width="0.42578125" style="163" customWidth="1"/>
    <col min="4358" max="4361" width="11.42578125" style="163" customWidth="1"/>
    <col min="4362" max="4606" width="2.140625" style="163"/>
    <col min="4607" max="4607" width="14.140625" style="163" bestFit="1" customWidth="1"/>
    <col min="4608" max="4608" width="36.5703125" style="163" customWidth="1"/>
    <col min="4609" max="4609" width="0.42578125" style="163" customWidth="1"/>
    <col min="4610" max="4610" width="11.42578125" style="163" customWidth="1"/>
    <col min="4611" max="4611" width="0.42578125" style="163" customWidth="1"/>
    <col min="4612" max="4612" width="11.42578125" style="163" customWidth="1"/>
    <col min="4613" max="4613" width="0.42578125" style="163" customWidth="1"/>
    <col min="4614" max="4617" width="11.42578125" style="163" customWidth="1"/>
    <col min="4618" max="4862" width="2.140625" style="163"/>
    <col min="4863" max="4863" width="14.140625" style="163" bestFit="1" customWidth="1"/>
    <col min="4864" max="4864" width="36.5703125" style="163" customWidth="1"/>
    <col min="4865" max="4865" width="0.42578125" style="163" customWidth="1"/>
    <col min="4866" max="4866" width="11.42578125" style="163" customWidth="1"/>
    <col min="4867" max="4867" width="0.42578125" style="163" customWidth="1"/>
    <col min="4868" max="4868" width="11.42578125" style="163" customWidth="1"/>
    <col min="4869" max="4869" width="0.42578125" style="163" customWidth="1"/>
    <col min="4870" max="4873" width="11.42578125" style="163" customWidth="1"/>
    <col min="4874" max="5118" width="2.140625" style="163"/>
    <col min="5119" max="5119" width="14.140625" style="163" bestFit="1" customWidth="1"/>
    <col min="5120" max="5120" width="36.5703125" style="163" customWidth="1"/>
    <col min="5121" max="5121" width="0.42578125" style="163" customWidth="1"/>
    <col min="5122" max="5122" width="11.42578125" style="163" customWidth="1"/>
    <col min="5123" max="5123" width="0.42578125" style="163" customWidth="1"/>
    <col min="5124" max="5124" width="11.42578125" style="163" customWidth="1"/>
    <col min="5125" max="5125" width="0.42578125" style="163" customWidth="1"/>
    <col min="5126" max="5129" width="11.42578125" style="163" customWidth="1"/>
    <col min="5130" max="5374" width="2.140625" style="163"/>
    <col min="5375" max="5375" width="14.140625" style="163" bestFit="1" customWidth="1"/>
    <col min="5376" max="5376" width="36.5703125" style="163" customWidth="1"/>
    <col min="5377" max="5377" width="0.42578125" style="163" customWidth="1"/>
    <col min="5378" max="5378" width="11.42578125" style="163" customWidth="1"/>
    <col min="5379" max="5379" width="0.42578125" style="163" customWidth="1"/>
    <col min="5380" max="5380" width="11.42578125" style="163" customWidth="1"/>
    <col min="5381" max="5381" width="0.42578125" style="163" customWidth="1"/>
    <col min="5382" max="5385" width="11.42578125" style="163" customWidth="1"/>
    <col min="5386" max="5630" width="2.140625" style="163"/>
    <col min="5631" max="5631" width="14.140625" style="163" bestFit="1" customWidth="1"/>
    <col min="5632" max="5632" width="36.5703125" style="163" customWidth="1"/>
    <col min="5633" max="5633" width="0.42578125" style="163" customWidth="1"/>
    <col min="5634" max="5634" width="11.42578125" style="163" customWidth="1"/>
    <col min="5635" max="5635" width="0.42578125" style="163" customWidth="1"/>
    <col min="5636" max="5636" width="11.42578125" style="163" customWidth="1"/>
    <col min="5637" max="5637" width="0.42578125" style="163" customWidth="1"/>
    <col min="5638" max="5641" width="11.42578125" style="163" customWidth="1"/>
    <col min="5642" max="5886" width="2.140625" style="163"/>
    <col min="5887" max="5887" width="14.140625" style="163" bestFit="1" customWidth="1"/>
    <col min="5888" max="5888" width="36.5703125" style="163" customWidth="1"/>
    <col min="5889" max="5889" width="0.42578125" style="163" customWidth="1"/>
    <col min="5890" max="5890" width="11.42578125" style="163" customWidth="1"/>
    <col min="5891" max="5891" width="0.42578125" style="163" customWidth="1"/>
    <col min="5892" max="5892" width="11.42578125" style="163" customWidth="1"/>
    <col min="5893" max="5893" width="0.42578125" style="163" customWidth="1"/>
    <col min="5894" max="5897" width="11.42578125" style="163" customWidth="1"/>
    <col min="5898" max="6142" width="2.140625" style="163"/>
    <col min="6143" max="6143" width="14.140625" style="163" bestFit="1" customWidth="1"/>
    <col min="6144" max="6144" width="36.5703125" style="163" customWidth="1"/>
    <col min="6145" max="6145" width="0.42578125" style="163" customWidth="1"/>
    <col min="6146" max="6146" width="11.42578125" style="163" customWidth="1"/>
    <col min="6147" max="6147" width="0.42578125" style="163" customWidth="1"/>
    <col min="6148" max="6148" width="11.42578125" style="163" customWidth="1"/>
    <col min="6149" max="6149" width="0.42578125" style="163" customWidth="1"/>
    <col min="6150" max="6153" width="11.42578125" style="163" customWidth="1"/>
    <col min="6154" max="6398" width="2.140625" style="163"/>
    <col min="6399" max="6399" width="14.140625" style="163" bestFit="1" customWidth="1"/>
    <col min="6400" max="6400" width="36.5703125" style="163" customWidth="1"/>
    <col min="6401" max="6401" width="0.42578125" style="163" customWidth="1"/>
    <col min="6402" max="6402" width="11.42578125" style="163" customWidth="1"/>
    <col min="6403" max="6403" width="0.42578125" style="163" customWidth="1"/>
    <col min="6404" max="6404" width="11.42578125" style="163" customWidth="1"/>
    <col min="6405" max="6405" width="0.42578125" style="163" customWidth="1"/>
    <col min="6406" max="6409" width="11.42578125" style="163" customWidth="1"/>
    <col min="6410" max="6654" width="2.140625" style="163"/>
    <col min="6655" max="6655" width="14.140625" style="163" bestFit="1" customWidth="1"/>
    <col min="6656" max="6656" width="36.5703125" style="163" customWidth="1"/>
    <col min="6657" max="6657" width="0.42578125" style="163" customWidth="1"/>
    <col min="6658" max="6658" width="11.42578125" style="163" customWidth="1"/>
    <col min="6659" max="6659" width="0.42578125" style="163" customWidth="1"/>
    <col min="6660" max="6660" width="11.42578125" style="163" customWidth="1"/>
    <col min="6661" max="6661" width="0.42578125" style="163" customWidth="1"/>
    <col min="6662" max="6665" width="11.42578125" style="163" customWidth="1"/>
    <col min="6666" max="6910" width="2.140625" style="163"/>
    <col min="6911" max="6911" width="14.140625" style="163" bestFit="1" customWidth="1"/>
    <col min="6912" max="6912" width="36.5703125" style="163" customWidth="1"/>
    <col min="6913" max="6913" width="0.42578125" style="163" customWidth="1"/>
    <col min="6914" max="6914" width="11.42578125" style="163" customWidth="1"/>
    <col min="6915" max="6915" width="0.42578125" style="163" customWidth="1"/>
    <col min="6916" max="6916" width="11.42578125" style="163" customWidth="1"/>
    <col min="6917" max="6917" width="0.42578125" style="163" customWidth="1"/>
    <col min="6918" max="6921" width="11.42578125" style="163" customWidth="1"/>
    <col min="6922" max="7166" width="2.140625" style="163"/>
    <col min="7167" max="7167" width="14.140625" style="163" bestFit="1" customWidth="1"/>
    <col min="7168" max="7168" width="36.5703125" style="163" customWidth="1"/>
    <col min="7169" max="7169" width="0.42578125" style="163" customWidth="1"/>
    <col min="7170" max="7170" width="11.42578125" style="163" customWidth="1"/>
    <col min="7171" max="7171" width="0.42578125" style="163" customWidth="1"/>
    <col min="7172" max="7172" width="11.42578125" style="163" customWidth="1"/>
    <col min="7173" max="7173" width="0.42578125" style="163" customWidth="1"/>
    <col min="7174" max="7177" width="11.42578125" style="163" customWidth="1"/>
    <col min="7178" max="7422" width="2.140625" style="163"/>
    <col min="7423" max="7423" width="14.140625" style="163" bestFit="1" customWidth="1"/>
    <col min="7424" max="7424" width="36.5703125" style="163" customWidth="1"/>
    <col min="7425" max="7425" width="0.42578125" style="163" customWidth="1"/>
    <col min="7426" max="7426" width="11.42578125" style="163" customWidth="1"/>
    <col min="7427" max="7427" width="0.42578125" style="163" customWidth="1"/>
    <col min="7428" max="7428" width="11.42578125" style="163" customWidth="1"/>
    <col min="7429" max="7429" width="0.42578125" style="163" customWidth="1"/>
    <col min="7430" max="7433" width="11.42578125" style="163" customWidth="1"/>
    <col min="7434" max="7678" width="2.140625" style="163"/>
    <col min="7679" max="7679" width="14.140625" style="163" bestFit="1" customWidth="1"/>
    <col min="7680" max="7680" width="36.5703125" style="163" customWidth="1"/>
    <col min="7681" max="7681" width="0.42578125" style="163" customWidth="1"/>
    <col min="7682" max="7682" width="11.42578125" style="163" customWidth="1"/>
    <col min="7683" max="7683" width="0.42578125" style="163" customWidth="1"/>
    <col min="7684" max="7684" width="11.42578125" style="163" customWidth="1"/>
    <col min="7685" max="7685" width="0.42578125" style="163" customWidth="1"/>
    <col min="7686" max="7689" width="11.42578125" style="163" customWidth="1"/>
    <col min="7690" max="7934" width="2.140625" style="163"/>
    <col min="7935" max="7935" width="14.140625" style="163" bestFit="1" customWidth="1"/>
    <col min="7936" max="7936" width="36.5703125" style="163" customWidth="1"/>
    <col min="7937" max="7937" width="0.42578125" style="163" customWidth="1"/>
    <col min="7938" max="7938" width="11.42578125" style="163" customWidth="1"/>
    <col min="7939" max="7939" width="0.42578125" style="163" customWidth="1"/>
    <col min="7940" max="7940" width="11.42578125" style="163" customWidth="1"/>
    <col min="7941" max="7941" width="0.42578125" style="163" customWidth="1"/>
    <col min="7942" max="7945" width="11.42578125" style="163" customWidth="1"/>
    <col min="7946" max="8190" width="2.140625" style="163"/>
    <col min="8191" max="8191" width="14.140625" style="163" bestFit="1" customWidth="1"/>
    <col min="8192" max="8192" width="36.5703125" style="163" customWidth="1"/>
    <col min="8193" max="8193" width="0.42578125" style="163" customWidth="1"/>
    <col min="8194" max="8194" width="11.42578125" style="163" customWidth="1"/>
    <col min="8195" max="8195" width="0.42578125" style="163" customWidth="1"/>
    <col min="8196" max="8196" width="11.42578125" style="163" customWidth="1"/>
    <col min="8197" max="8197" width="0.42578125" style="163" customWidth="1"/>
    <col min="8198" max="8201" width="11.42578125" style="163" customWidth="1"/>
    <col min="8202" max="8446" width="2.140625" style="163"/>
    <col min="8447" max="8447" width="14.140625" style="163" bestFit="1" customWidth="1"/>
    <col min="8448" max="8448" width="36.5703125" style="163" customWidth="1"/>
    <col min="8449" max="8449" width="0.42578125" style="163" customWidth="1"/>
    <col min="8450" max="8450" width="11.42578125" style="163" customWidth="1"/>
    <col min="8451" max="8451" width="0.42578125" style="163" customWidth="1"/>
    <col min="8452" max="8452" width="11.42578125" style="163" customWidth="1"/>
    <col min="8453" max="8453" width="0.42578125" style="163" customWidth="1"/>
    <col min="8454" max="8457" width="11.42578125" style="163" customWidth="1"/>
    <col min="8458" max="8702" width="2.140625" style="163"/>
    <col min="8703" max="8703" width="14.140625" style="163" bestFit="1" customWidth="1"/>
    <col min="8704" max="8704" width="36.5703125" style="163" customWidth="1"/>
    <col min="8705" max="8705" width="0.42578125" style="163" customWidth="1"/>
    <col min="8706" max="8706" width="11.42578125" style="163" customWidth="1"/>
    <col min="8707" max="8707" width="0.42578125" style="163" customWidth="1"/>
    <col min="8708" max="8708" width="11.42578125" style="163" customWidth="1"/>
    <col min="8709" max="8709" width="0.42578125" style="163" customWidth="1"/>
    <col min="8710" max="8713" width="11.42578125" style="163" customWidth="1"/>
    <col min="8714" max="8958" width="2.140625" style="163"/>
    <col min="8959" max="8959" width="14.140625" style="163" bestFit="1" customWidth="1"/>
    <col min="8960" max="8960" width="36.5703125" style="163" customWidth="1"/>
    <col min="8961" max="8961" width="0.42578125" style="163" customWidth="1"/>
    <col min="8962" max="8962" width="11.42578125" style="163" customWidth="1"/>
    <col min="8963" max="8963" width="0.42578125" style="163" customWidth="1"/>
    <col min="8964" max="8964" width="11.42578125" style="163" customWidth="1"/>
    <col min="8965" max="8965" width="0.42578125" style="163" customWidth="1"/>
    <col min="8966" max="8969" width="11.42578125" style="163" customWidth="1"/>
    <col min="8970" max="9214" width="2.140625" style="163"/>
    <col min="9215" max="9215" width="14.140625" style="163" bestFit="1" customWidth="1"/>
    <col min="9216" max="9216" width="36.5703125" style="163" customWidth="1"/>
    <col min="9217" max="9217" width="0.42578125" style="163" customWidth="1"/>
    <col min="9218" max="9218" width="11.42578125" style="163" customWidth="1"/>
    <col min="9219" max="9219" width="0.42578125" style="163" customWidth="1"/>
    <col min="9220" max="9220" width="11.42578125" style="163" customWidth="1"/>
    <col min="9221" max="9221" width="0.42578125" style="163" customWidth="1"/>
    <col min="9222" max="9225" width="11.42578125" style="163" customWidth="1"/>
    <col min="9226" max="9470" width="2.140625" style="163"/>
    <col min="9471" max="9471" width="14.140625" style="163" bestFit="1" customWidth="1"/>
    <col min="9472" max="9472" width="36.5703125" style="163" customWidth="1"/>
    <col min="9473" max="9473" width="0.42578125" style="163" customWidth="1"/>
    <col min="9474" max="9474" width="11.42578125" style="163" customWidth="1"/>
    <col min="9475" max="9475" width="0.42578125" style="163" customWidth="1"/>
    <col min="9476" max="9476" width="11.42578125" style="163" customWidth="1"/>
    <col min="9477" max="9477" width="0.42578125" style="163" customWidth="1"/>
    <col min="9478" max="9481" width="11.42578125" style="163" customWidth="1"/>
    <col min="9482" max="9726" width="2.140625" style="163"/>
    <col min="9727" max="9727" width="14.140625" style="163" bestFit="1" customWidth="1"/>
    <col min="9728" max="9728" width="36.5703125" style="163" customWidth="1"/>
    <col min="9729" max="9729" width="0.42578125" style="163" customWidth="1"/>
    <col min="9730" max="9730" width="11.42578125" style="163" customWidth="1"/>
    <col min="9731" max="9731" width="0.42578125" style="163" customWidth="1"/>
    <col min="9732" max="9732" width="11.42578125" style="163" customWidth="1"/>
    <col min="9733" max="9733" width="0.42578125" style="163" customWidth="1"/>
    <col min="9734" max="9737" width="11.42578125" style="163" customWidth="1"/>
    <col min="9738" max="9982" width="2.140625" style="163"/>
    <col min="9983" max="9983" width="14.140625" style="163" bestFit="1" customWidth="1"/>
    <col min="9984" max="9984" width="36.5703125" style="163" customWidth="1"/>
    <col min="9985" max="9985" width="0.42578125" style="163" customWidth="1"/>
    <col min="9986" max="9986" width="11.42578125" style="163" customWidth="1"/>
    <col min="9987" max="9987" width="0.42578125" style="163" customWidth="1"/>
    <col min="9988" max="9988" width="11.42578125" style="163" customWidth="1"/>
    <col min="9989" max="9989" width="0.42578125" style="163" customWidth="1"/>
    <col min="9990" max="9993" width="11.42578125" style="163" customWidth="1"/>
    <col min="9994" max="10238" width="2.140625" style="163"/>
    <col min="10239" max="10239" width="14.140625" style="163" bestFit="1" customWidth="1"/>
    <col min="10240" max="10240" width="36.5703125" style="163" customWidth="1"/>
    <col min="10241" max="10241" width="0.42578125" style="163" customWidth="1"/>
    <col min="10242" max="10242" width="11.42578125" style="163" customWidth="1"/>
    <col min="10243" max="10243" width="0.42578125" style="163" customWidth="1"/>
    <col min="10244" max="10244" width="11.42578125" style="163" customWidth="1"/>
    <col min="10245" max="10245" width="0.42578125" style="163" customWidth="1"/>
    <col min="10246" max="10249" width="11.42578125" style="163" customWidth="1"/>
    <col min="10250" max="10494" width="2.140625" style="163"/>
    <col min="10495" max="10495" width="14.140625" style="163" bestFit="1" customWidth="1"/>
    <col min="10496" max="10496" width="36.5703125" style="163" customWidth="1"/>
    <col min="10497" max="10497" width="0.42578125" style="163" customWidth="1"/>
    <col min="10498" max="10498" width="11.42578125" style="163" customWidth="1"/>
    <col min="10499" max="10499" width="0.42578125" style="163" customWidth="1"/>
    <col min="10500" max="10500" width="11.42578125" style="163" customWidth="1"/>
    <col min="10501" max="10501" width="0.42578125" style="163" customWidth="1"/>
    <col min="10502" max="10505" width="11.42578125" style="163" customWidth="1"/>
    <col min="10506" max="10750" width="2.140625" style="163"/>
    <col min="10751" max="10751" width="14.140625" style="163" bestFit="1" customWidth="1"/>
    <col min="10752" max="10752" width="36.5703125" style="163" customWidth="1"/>
    <col min="10753" max="10753" width="0.42578125" style="163" customWidth="1"/>
    <col min="10754" max="10754" width="11.42578125" style="163" customWidth="1"/>
    <col min="10755" max="10755" width="0.42578125" style="163" customWidth="1"/>
    <col min="10756" max="10756" width="11.42578125" style="163" customWidth="1"/>
    <col min="10757" max="10757" width="0.42578125" style="163" customWidth="1"/>
    <col min="10758" max="10761" width="11.42578125" style="163" customWidth="1"/>
    <col min="10762" max="11006" width="2.140625" style="163"/>
    <col min="11007" max="11007" width="14.140625" style="163" bestFit="1" customWidth="1"/>
    <col min="11008" max="11008" width="36.5703125" style="163" customWidth="1"/>
    <col min="11009" max="11009" width="0.42578125" style="163" customWidth="1"/>
    <col min="11010" max="11010" width="11.42578125" style="163" customWidth="1"/>
    <col min="11011" max="11011" width="0.42578125" style="163" customWidth="1"/>
    <col min="11012" max="11012" width="11.42578125" style="163" customWidth="1"/>
    <col min="11013" max="11013" width="0.42578125" style="163" customWidth="1"/>
    <col min="11014" max="11017" width="11.42578125" style="163" customWidth="1"/>
    <col min="11018" max="11262" width="2.140625" style="163"/>
    <col min="11263" max="11263" width="14.140625" style="163" bestFit="1" customWidth="1"/>
    <col min="11264" max="11264" width="36.5703125" style="163" customWidth="1"/>
    <col min="11265" max="11265" width="0.42578125" style="163" customWidth="1"/>
    <col min="11266" max="11266" width="11.42578125" style="163" customWidth="1"/>
    <col min="11267" max="11267" width="0.42578125" style="163" customWidth="1"/>
    <col min="11268" max="11268" width="11.42578125" style="163" customWidth="1"/>
    <col min="11269" max="11269" width="0.42578125" style="163" customWidth="1"/>
    <col min="11270" max="11273" width="11.42578125" style="163" customWidth="1"/>
    <col min="11274" max="11518" width="2.140625" style="163"/>
    <col min="11519" max="11519" width="14.140625" style="163" bestFit="1" customWidth="1"/>
    <col min="11520" max="11520" width="36.5703125" style="163" customWidth="1"/>
    <col min="11521" max="11521" width="0.42578125" style="163" customWidth="1"/>
    <col min="11522" max="11522" width="11.42578125" style="163" customWidth="1"/>
    <col min="11523" max="11523" width="0.42578125" style="163" customWidth="1"/>
    <col min="11524" max="11524" width="11.42578125" style="163" customWidth="1"/>
    <col min="11525" max="11525" width="0.42578125" style="163" customWidth="1"/>
    <col min="11526" max="11529" width="11.42578125" style="163" customWidth="1"/>
    <col min="11530" max="11774" width="2.140625" style="163"/>
    <col min="11775" max="11775" width="14.140625" style="163" bestFit="1" customWidth="1"/>
    <col min="11776" max="11776" width="36.5703125" style="163" customWidth="1"/>
    <col min="11777" max="11777" width="0.42578125" style="163" customWidth="1"/>
    <col min="11778" max="11778" width="11.42578125" style="163" customWidth="1"/>
    <col min="11779" max="11779" width="0.42578125" style="163" customWidth="1"/>
    <col min="11780" max="11780" width="11.42578125" style="163" customWidth="1"/>
    <col min="11781" max="11781" width="0.42578125" style="163" customWidth="1"/>
    <col min="11782" max="11785" width="11.42578125" style="163" customWidth="1"/>
    <col min="11786" max="12030" width="2.140625" style="163"/>
    <col min="12031" max="12031" width="14.140625" style="163" bestFit="1" customWidth="1"/>
    <col min="12032" max="12032" width="36.5703125" style="163" customWidth="1"/>
    <col min="12033" max="12033" width="0.42578125" style="163" customWidth="1"/>
    <col min="12034" max="12034" width="11.42578125" style="163" customWidth="1"/>
    <col min="12035" max="12035" width="0.42578125" style="163" customWidth="1"/>
    <col min="12036" max="12036" width="11.42578125" style="163" customWidth="1"/>
    <col min="12037" max="12037" width="0.42578125" style="163" customWidth="1"/>
    <col min="12038" max="12041" width="11.42578125" style="163" customWidth="1"/>
    <col min="12042" max="12286" width="2.140625" style="163"/>
    <col min="12287" max="12287" width="14.140625" style="163" bestFit="1" customWidth="1"/>
    <col min="12288" max="12288" width="36.5703125" style="163" customWidth="1"/>
    <col min="12289" max="12289" width="0.42578125" style="163" customWidth="1"/>
    <col min="12290" max="12290" width="11.42578125" style="163" customWidth="1"/>
    <col min="12291" max="12291" width="0.42578125" style="163" customWidth="1"/>
    <col min="12292" max="12292" width="11.42578125" style="163" customWidth="1"/>
    <col min="12293" max="12293" width="0.42578125" style="163" customWidth="1"/>
    <col min="12294" max="12297" width="11.42578125" style="163" customWidth="1"/>
    <col min="12298" max="12542" width="2.140625" style="163"/>
    <col min="12543" max="12543" width="14.140625" style="163" bestFit="1" customWidth="1"/>
    <col min="12544" max="12544" width="36.5703125" style="163" customWidth="1"/>
    <col min="12545" max="12545" width="0.42578125" style="163" customWidth="1"/>
    <col min="12546" max="12546" width="11.42578125" style="163" customWidth="1"/>
    <col min="12547" max="12547" width="0.42578125" style="163" customWidth="1"/>
    <col min="12548" max="12548" width="11.42578125" style="163" customWidth="1"/>
    <col min="12549" max="12549" width="0.42578125" style="163" customWidth="1"/>
    <col min="12550" max="12553" width="11.42578125" style="163" customWidth="1"/>
    <col min="12554" max="12798" width="2.140625" style="163"/>
    <col min="12799" max="12799" width="14.140625" style="163" bestFit="1" customWidth="1"/>
    <col min="12800" max="12800" width="36.5703125" style="163" customWidth="1"/>
    <col min="12801" max="12801" width="0.42578125" style="163" customWidth="1"/>
    <col min="12802" max="12802" width="11.42578125" style="163" customWidth="1"/>
    <col min="12803" max="12803" width="0.42578125" style="163" customWidth="1"/>
    <col min="12804" max="12804" width="11.42578125" style="163" customWidth="1"/>
    <col min="12805" max="12805" width="0.42578125" style="163" customWidth="1"/>
    <col min="12806" max="12809" width="11.42578125" style="163" customWidth="1"/>
    <col min="12810" max="13054" width="2.140625" style="163"/>
    <col min="13055" max="13055" width="14.140625" style="163" bestFit="1" customWidth="1"/>
    <col min="13056" max="13056" width="36.5703125" style="163" customWidth="1"/>
    <col min="13057" max="13057" width="0.42578125" style="163" customWidth="1"/>
    <col min="13058" max="13058" width="11.42578125" style="163" customWidth="1"/>
    <col min="13059" max="13059" width="0.42578125" style="163" customWidth="1"/>
    <col min="13060" max="13060" width="11.42578125" style="163" customWidth="1"/>
    <col min="13061" max="13061" width="0.42578125" style="163" customWidth="1"/>
    <col min="13062" max="13065" width="11.42578125" style="163" customWidth="1"/>
    <col min="13066" max="13310" width="2.140625" style="163"/>
    <col min="13311" max="13311" width="14.140625" style="163" bestFit="1" customWidth="1"/>
    <col min="13312" max="13312" width="36.5703125" style="163" customWidth="1"/>
    <col min="13313" max="13313" width="0.42578125" style="163" customWidth="1"/>
    <col min="13314" max="13314" width="11.42578125" style="163" customWidth="1"/>
    <col min="13315" max="13315" width="0.42578125" style="163" customWidth="1"/>
    <col min="13316" max="13316" width="11.42578125" style="163" customWidth="1"/>
    <col min="13317" max="13317" width="0.42578125" style="163" customWidth="1"/>
    <col min="13318" max="13321" width="11.42578125" style="163" customWidth="1"/>
    <col min="13322" max="13566" width="2.140625" style="163"/>
    <col min="13567" max="13567" width="14.140625" style="163" bestFit="1" customWidth="1"/>
    <col min="13568" max="13568" width="36.5703125" style="163" customWidth="1"/>
    <col min="13569" max="13569" width="0.42578125" style="163" customWidth="1"/>
    <col min="13570" max="13570" width="11.42578125" style="163" customWidth="1"/>
    <col min="13571" max="13571" width="0.42578125" style="163" customWidth="1"/>
    <col min="13572" max="13572" width="11.42578125" style="163" customWidth="1"/>
    <col min="13573" max="13573" width="0.42578125" style="163" customWidth="1"/>
    <col min="13574" max="13577" width="11.42578125" style="163" customWidth="1"/>
    <col min="13578" max="13822" width="2.140625" style="163"/>
    <col min="13823" max="13823" width="14.140625" style="163" bestFit="1" customWidth="1"/>
    <col min="13824" max="13824" width="36.5703125" style="163" customWidth="1"/>
    <col min="13825" max="13825" width="0.42578125" style="163" customWidth="1"/>
    <col min="13826" max="13826" width="11.42578125" style="163" customWidth="1"/>
    <col min="13827" max="13827" width="0.42578125" style="163" customWidth="1"/>
    <col min="13828" max="13828" width="11.42578125" style="163" customWidth="1"/>
    <col min="13829" max="13829" width="0.42578125" style="163" customWidth="1"/>
    <col min="13830" max="13833" width="11.42578125" style="163" customWidth="1"/>
    <col min="13834" max="14078" width="2.140625" style="163"/>
    <col min="14079" max="14079" width="14.140625" style="163" bestFit="1" customWidth="1"/>
    <col min="14080" max="14080" width="36.5703125" style="163" customWidth="1"/>
    <col min="14081" max="14081" width="0.42578125" style="163" customWidth="1"/>
    <col min="14082" max="14082" width="11.42578125" style="163" customWidth="1"/>
    <col min="14083" max="14083" width="0.42578125" style="163" customWidth="1"/>
    <col min="14084" max="14084" width="11.42578125" style="163" customWidth="1"/>
    <col min="14085" max="14085" width="0.42578125" style="163" customWidth="1"/>
    <col min="14086" max="14089" width="11.42578125" style="163" customWidth="1"/>
    <col min="14090" max="14334" width="2.140625" style="163"/>
    <col min="14335" max="14335" width="14.140625" style="163" bestFit="1" customWidth="1"/>
    <col min="14336" max="14336" width="36.5703125" style="163" customWidth="1"/>
    <col min="14337" max="14337" width="0.42578125" style="163" customWidth="1"/>
    <col min="14338" max="14338" width="11.42578125" style="163" customWidth="1"/>
    <col min="14339" max="14339" width="0.42578125" style="163" customWidth="1"/>
    <col min="14340" max="14340" width="11.42578125" style="163" customWidth="1"/>
    <col min="14341" max="14341" width="0.42578125" style="163" customWidth="1"/>
    <col min="14342" max="14345" width="11.42578125" style="163" customWidth="1"/>
    <col min="14346" max="14590" width="2.140625" style="163"/>
    <col min="14591" max="14591" width="14.140625" style="163" bestFit="1" customWidth="1"/>
    <col min="14592" max="14592" width="36.5703125" style="163" customWidth="1"/>
    <col min="14593" max="14593" width="0.42578125" style="163" customWidth="1"/>
    <col min="14594" max="14594" width="11.42578125" style="163" customWidth="1"/>
    <col min="14595" max="14595" width="0.42578125" style="163" customWidth="1"/>
    <col min="14596" max="14596" width="11.42578125" style="163" customWidth="1"/>
    <col min="14597" max="14597" width="0.42578125" style="163" customWidth="1"/>
    <col min="14598" max="14601" width="11.42578125" style="163" customWidth="1"/>
    <col min="14602" max="14846" width="2.140625" style="163"/>
    <col min="14847" max="14847" width="14.140625" style="163" bestFit="1" customWidth="1"/>
    <col min="14848" max="14848" width="36.5703125" style="163" customWidth="1"/>
    <col min="14849" max="14849" width="0.42578125" style="163" customWidth="1"/>
    <col min="14850" max="14850" width="11.42578125" style="163" customWidth="1"/>
    <col min="14851" max="14851" width="0.42578125" style="163" customWidth="1"/>
    <col min="14852" max="14852" width="11.42578125" style="163" customWidth="1"/>
    <col min="14853" max="14853" width="0.42578125" style="163" customWidth="1"/>
    <col min="14854" max="14857" width="11.42578125" style="163" customWidth="1"/>
    <col min="14858" max="15102" width="2.140625" style="163"/>
    <col min="15103" max="15103" width="14.140625" style="163" bestFit="1" customWidth="1"/>
    <col min="15104" max="15104" width="36.5703125" style="163" customWidth="1"/>
    <col min="15105" max="15105" width="0.42578125" style="163" customWidth="1"/>
    <col min="15106" max="15106" width="11.42578125" style="163" customWidth="1"/>
    <col min="15107" max="15107" width="0.42578125" style="163" customWidth="1"/>
    <col min="15108" max="15108" width="11.42578125" style="163" customWidth="1"/>
    <col min="15109" max="15109" width="0.42578125" style="163" customWidth="1"/>
    <col min="15110" max="15113" width="11.42578125" style="163" customWidth="1"/>
    <col min="15114" max="15358" width="2.140625" style="163"/>
    <col min="15359" max="15359" width="14.140625" style="163" bestFit="1" customWidth="1"/>
    <col min="15360" max="15360" width="36.5703125" style="163" customWidth="1"/>
    <col min="15361" max="15361" width="0.42578125" style="163" customWidth="1"/>
    <col min="15362" max="15362" width="11.42578125" style="163" customWidth="1"/>
    <col min="15363" max="15363" width="0.42578125" style="163" customWidth="1"/>
    <col min="15364" max="15364" width="11.42578125" style="163" customWidth="1"/>
    <col min="15365" max="15365" width="0.42578125" style="163" customWidth="1"/>
    <col min="15366" max="15369" width="11.42578125" style="163" customWidth="1"/>
    <col min="15370" max="15614" width="2.140625" style="163"/>
    <col min="15615" max="15615" width="14.140625" style="163" bestFit="1" customWidth="1"/>
    <col min="15616" max="15616" width="36.5703125" style="163" customWidth="1"/>
    <col min="15617" max="15617" width="0.42578125" style="163" customWidth="1"/>
    <col min="15618" max="15618" width="11.42578125" style="163" customWidth="1"/>
    <col min="15619" max="15619" width="0.42578125" style="163" customWidth="1"/>
    <col min="15620" max="15620" width="11.42578125" style="163" customWidth="1"/>
    <col min="15621" max="15621" width="0.42578125" style="163" customWidth="1"/>
    <col min="15622" max="15625" width="11.42578125" style="163" customWidth="1"/>
    <col min="15626" max="15870" width="2.140625" style="163"/>
    <col min="15871" max="15871" width="14.140625" style="163" bestFit="1" customWidth="1"/>
    <col min="15872" max="15872" width="36.5703125" style="163" customWidth="1"/>
    <col min="15873" max="15873" width="0.42578125" style="163" customWidth="1"/>
    <col min="15874" max="15874" width="11.42578125" style="163" customWidth="1"/>
    <col min="15875" max="15875" width="0.42578125" style="163" customWidth="1"/>
    <col min="15876" max="15876" width="11.42578125" style="163" customWidth="1"/>
    <col min="15877" max="15877" width="0.42578125" style="163" customWidth="1"/>
    <col min="15878" max="15881" width="11.42578125" style="163" customWidth="1"/>
    <col min="15882" max="16126" width="2.140625" style="163"/>
    <col min="16127" max="16127" width="14.140625" style="163" bestFit="1" customWidth="1"/>
    <col min="16128" max="16128" width="36.5703125" style="163" customWidth="1"/>
    <col min="16129" max="16129" width="0.42578125" style="163" customWidth="1"/>
    <col min="16130" max="16130" width="11.42578125" style="163" customWidth="1"/>
    <col min="16131" max="16131" width="0.42578125" style="163" customWidth="1"/>
    <col min="16132" max="16132" width="11.42578125" style="163" customWidth="1"/>
    <col min="16133" max="16133" width="0.42578125" style="163" customWidth="1"/>
    <col min="16134" max="16137" width="11.42578125" style="163" customWidth="1"/>
    <col min="16138" max="16384" width="2.140625" style="163"/>
  </cols>
  <sheetData>
    <row r="1" spans="1:9" ht="22.5" customHeight="1" x14ac:dyDescent="0.35">
      <c r="B1" s="154"/>
      <c r="D1" s="895">
        <v>2016</v>
      </c>
      <c r="E1" s="916">
        <v>2017</v>
      </c>
      <c r="F1" s="931">
        <v>2018</v>
      </c>
      <c r="G1" s="1004">
        <v>2019</v>
      </c>
      <c r="H1" s="345"/>
      <c r="I1" s="345"/>
    </row>
    <row r="2" spans="1:9" ht="53.25" customHeight="1" x14ac:dyDescent="0.2">
      <c r="A2" s="325" t="s">
        <v>272</v>
      </c>
      <c r="B2" s="162" t="s">
        <v>1</v>
      </c>
      <c r="D2" s="162" t="s">
        <v>2</v>
      </c>
      <c r="E2" s="162" t="s">
        <v>2</v>
      </c>
      <c r="F2" s="162" t="s">
        <v>2</v>
      </c>
      <c r="G2" s="162"/>
      <c r="H2" s="162" t="s">
        <v>340</v>
      </c>
      <c r="I2" s="162" t="s">
        <v>6</v>
      </c>
    </row>
    <row r="3" spans="1:9" s="207" customFormat="1" ht="18" customHeight="1" x14ac:dyDescent="0.2">
      <c r="A3" s="203"/>
      <c r="B3" s="204" t="s">
        <v>7</v>
      </c>
      <c r="C3" s="344"/>
      <c r="D3" s="204">
        <f>D5</f>
        <v>21550000</v>
      </c>
      <c r="E3" s="204">
        <f>E5</f>
        <v>19600000</v>
      </c>
      <c r="F3" s="204">
        <f>F5</f>
        <v>19450000</v>
      </c>
      <c r="G3" s="204">
        <f>G5</f>
        <v>19726000</v>
      </c>
      <c r="H3" s="204"/>
      <c r="I3" s="204"/>
    </row>
    <row r="4" spans="1:9" ht="39.75" customHeight="1" x14ac:dyDescent="0.2">
      <c r="A4" s="195">
        <v>580099638</v>
      </c>
      <c r="B4" s="996" t="s">
        <v>709</v>
      </c>
      <c r="D4" s="173">
        <v>21550000</v>
      </c>
      <c r="E4" s="173">
        <v>19600000</v>
      </c>
      <c r="F4" s="173">
        <v>19450000</v>
      </c>
      <c r="G4" s="173">
        <v>19726000</v>
      </c>
      <c r="H4" s="46" t="s">
        <v>73</v>
      </c>
      <c r="I4" s="46" t="s">
        <v>136</v>
      </c>
    </row>
    <row r="5" spans="1:9" s="348" customFormat="1" ht="15" x14ac:dyDescent="0.25">
      <c r="A5" s="163"/>
      <c r="B5" s="346" t="s">
        <v>7</v>
      </c>
      <c r="C5" s="347"/>
      <c r="D5" s="346">
        <f>SUM(D4:D4)</f>
        <v>21550000</v>
      </c>
      <c r="E5" s="346">
        <f>SUM(E4:E4)</f>
        <v>19600000</v>
      </c>
      <c r="F5" s="346">
        <f>SUM(F4:F4)</f>
        <v>19450000</v>
      </c>
      <c r="G5" s="346">
        <f>SUM(G4:G4)</f>
        <v>19726000</v>
      </c>
      <c r="H5" s="346"/>
      <c r="I5" s="346"/>
    </row>
    <row r="6" spans="1:9" x14ac:dyDescent="0.2">
      <c r="C6" s="343"/>
      <c r="D6" s="343"/>
      <c r="E6" s="343"/>
      <c r="F6" s="343"/>
      <c r="G6" s="343"/>
      <c r="H6" s="343"/>
      <c r="I6" s="343"/>
    </row>
    <row r="7" spans="1:9" x14ac:dyDescent="0.2">
      <c r="C7" s="343"/>
      <c r="D7" s="343"/>
      <c r="E7" s="343"/>
      <c r="F7" s="343"/>
      <c r="G7" s="343"/>
      <c r="H7" s="343"/>
      <c r="I7" s="343"/>
    </row>
    <row r="8" spans="1:9" x14ac:dyDescent="0.2">
      <c r="C8" s="343"/>
      <c r="D8" s="343"/>
      <c r="E8" s="343"/>
      <c r="F8" s="343"/>
      <c r="G8" s="343"/>
      <c r="H8" s="343"/>
      <c r="I8" s="343"/>
    </row>
    <row r="9" spans="1:9" x14ac:dyDescent="0.2">
      <c r="C9" s="343"/>
      <c r="D9" s="343"/>
      <c r="E9" s="343"/>
      <c r="F9" s="343"/>
      <c r="G9" s="343"/>
      <c r="H9" s="343"/>
      <c r="I9" s="343"/>
    </row>
    <row r="10" spans="1:9" x14ac:dyDescent="0.2">
      <c r="C10" s="343"/>
      <c r="D10" s="343"/>
      <c r="E10" s="343"/>
      <c r="F10" s="343"/>
      <c r="G10" s="343"/>
      <c r="H10" s="343"/>
      <c r="I10" s="343"/>
    </row>
    <row r="11" spans="1:9" x14ac:dyDescent="0.2">
      <c r="C11" s="343"/>
      <c r="D11" s="343"/>
      <c r="E11" s="343"/>
      <c r="F11" s="343"/>
      <c r="G11" s="343"/>
      <c r="H11" s="343"/>
      <c r="I11" s="343"/>
    </row>
    <row r="12" spans="1:9" x14ac:dyDescent="0.2">
      <c r="C12" s="343"/>
      <c r="D12" s="343"/>
      <c r="E12" s="343"/>
      <c r="F12" s="343"/>
      <c r="G12" s="343"/>
      <c r="H12" s="343"/>
      <c r="I12" s="343"/>
    </row>
    <row r="13" spans="1:9" x14ac:dyDescent="0.2">
      <c r="C13" s="343"/>
      <c r="D13" s="343"/>
      <c r="E13" s="343"/>
      <c r="F13" s="343"/>
      <c r="G13" s="343"/>
      <c r="H13" s="343"/>
      <c r="I13" s="343"/>
    </row>
    <row r="14" spans="1:9" x14ac:dyDescent="0.2">
      <c r="C14" s="343"/>
      <c r="D14" s="343"/>
      <c r="E14" s="343"/>
      <c r="F14" s="343"/>
      <c r="G14" s="343"/>
      <c r="H14" s="343"/>
      <c r="I14" s="343"/>
    </row>
    <row r="15" spans="1:9" x14ac:dyDescent="0.2">
      <c r="C15" s="343"/>
      <c r="D15" s="343"/>
      <c r="E15" s="343"/>
      <c r="F15" s="343"/>
      <c r="G15" s="343"/>
      <c r="H15" s="343"/>
      <c r="I15" s="343"/>
    </row>
    <row r="16" spans="1:9" x14ac:dyDescent="0.2">
      <c r="C16" s="343"/>
      <c r="D16" s="343"/>
      <c r="E16" s="343"/>
      <c r="F16" s="343"/>
      <c r="G16" s="343"/>
      <c r="H16" s="343"/>
      <c r="I16" s="343"/>
    </row>
    <row r="17" spans="3:9" x14ac:dyDescent="0.2">
      <c r="C17" s="343"/>
      <c r="D17" s="343"/>
      <c r="E17" s="343"/>
      <c r="F17" s="343"/>
      <c r="G17" s="343"/>
      <c r="H17" s="343"/>
      <c r="I17" s="343"/>
    </row>
    <row r="18" spans="3:9" x14ac:dyDescent="0.2">
      <c r="C18" s="343"/>
      <c r="D18" s="343"/>
      <c r="E18" s="343"/>
      <c r="F18" s="343"/>
      <c r="G18" s="343"/>
      <c r="H18" s="343"/>
      <c r="I18" s="343"/>
    </row>
    <row r="19" spans="3:9" x14ac:dyDescent="0.2">
      <c r="C19" s="343"/>
      <c r="D19" s="343"/>
      <c r="E19" s="343"/>
      <c r="F19" s="343"/>
      <c r="G19" s="343"/>
      <c r="H19" s="343"/>
      <c r="I19" s="343"/>
    </row>
    <row r="20" spans="3:9" x14ac:dyDescent="0.2">
      <c r="C20" s="343"/>
      <c r="D20" s="343"/>
      <c r="E20" s="343"/>
      <c r="F20" s="343"/>
      <c r="G20" s="343"/>
      <c r="H20" s="343"/>
      <c r="I20" s="343"/>
    </row>
    <row r="21" spans="3:9" x14ac:dyDescent="0.2">
      <c r="C21" s="343"/>
      <c r="D21" s="343"/>
      <c r="E21" s="343"/>
      <c r="F21" s="343"/>
      <c r="G21" s="343"/>
      <c r="H21" s="343"/>
      <c r="I21" s="343"/>
    </row>
    <row r="22" spans="3:9" x14ac:dyDescent="0.2">
      <c r="C22" s="343"/>
      <c r="D22" s="343"/>
      <c r="E22" s="343"/>
      <c r="F22" s="343"/>
      <c r="G22" s="343"/>
      <c r="H22" s="343"/>
      <c r="I22" s="343"/>
    </row>
    <row r="23" spans="3:9" x14ac:dyDescent="0.2">
      <c r="C23" s="343"/>
      <c r="D23" s="343"/>
      <c r="E23" s="343"/>
      <c r="F23" s="343"/>
      <c r="G23" s="343"/>
      <c r="H23" s="343"/>
      <c r="I23" s="343"/>
    </row>
    <row r="24" spans="3:9" x14ac:dyDescent="0.2">
      <c r="C24" s="343"/>
      <c r="D24" s="343"/>
      <c r="E24" s="343"/>
      <c r="F24" s="343"/>
      <c r="G24" s="343"/>
      <c r="H24" s="343"/>
      <c r="I24" s="343"/>
    </row>
    <row r="25" spans="3:9" x14ac:dyDescent="0.2">
      <c r="C25" s="343"/>
      <c r="D25" s="343"/>
      <c r="E25" s="343"/>
      <c r="F25" s="343"/>
      <c r="G25" s="343"/>
      <c r="H25" s="343"/>
      <c r="I25" s="343"/>
    </row>
    <row r="26" spans="3:9" x14ac:dyDescent="0.2">
      <c r="C26" s="343"/>
      <c r="D26" s="343"/>
      <c r="E26" s="343"/>
      <c r="F26" s="343"/>
      <c r="G26" s="343"/>
      <c r="H26" s="343"/>
      <c r="I26" s="343"/>
    </row>
    <row r="27" spans="3:9" x14ac:dyDescent="0.2">
      <c r="C27" s="343"/>
      <c r="D27" s="343"/>
      <c r="E27" s="343"/>
      <c r="F27" s="343"/>
      <c r="G27" s="343"/>
      <c r="H27" s="343"/>
      <c r="I27" s="343"/>
    </row>
    <row r="28" spans="3:9" x14ac:dyDescent="0.2">
      <c r="C28" s="343"/>
      <c r="D28" s="343"/>
      <c r="E28" s="343"/>
      <c r="F28" s="343"/>
      <c r="G28" s="343"/>
      <c r="H28" s="343"/>
      <c r="I28" s="343"/>
    </row>
    <row r="29" spans="3:9" x14ac:dyDescent="0.2">
      <c r="C29" s="343"/>
      <c r="D29" s="343"/>
      <c r="E29" s="343"/>
      <c r="F29" s="343"/>
      <c r="G29" s="343"/>
      <c r="H29" s="343"/>
      <c r="I29" s="343"/>
    </row>
    <row r="30" spans="3:9" x14ac:dyDescent="0.2">
      <c r="C30" s="343"/>
      <c r="D30" s="343"/>
      <c r="E30" s="343"/>
      <c r="F30" s="343"/>
      <c r="G30" s="343"/>
      <c r="H30" s="343"/>
      <c r="I30" s="343"/>
    </row>
    <row r="31" spans="3:9" x14ac:dyDescent="0.2">
      <c r="C31" s="343"/>
      <c r="D31" s="343"/>
      <c r="E31" s="343"/>
      <c r="F31" s="343"/>
      <c r="G31" s="343"/>
      <c r="H31" s="343"/>
      <c r="I31" s="343"/>
    </row>
    <row r="32" spans="3:9" x14ac:dyDescent="0.2">
      <c r="C32" s="343"/>
      <c r="D32" s="343"/>
      <c r="E32" s="343"/>
      <c r="F32" s="343"/>
      <c r="G32" s="343"/>
      <c r="H32" s="343"/>
      <c r="I32" s="343"/>
    </row>
    <row r="33" spans="3:9" x14ac:dyDescent="0.2">
      <c r="C33" s="343"/>
      <c r="D33" s="343"/>
      <c r="E33" s="343"/>
      <c r="F33" s="343"/>
      <c r="G33" s="343"/>
      <c r="H33" s="343"/>
      <c r="I33" s="343"/>
    </row>
    <row r="34" spans="3:9" x14ac:dyDescent="0.2">
      <c r="C34" s="343"/>
      <c r="D34" s="343"/>
      <c r="E34" s="343"/>
      <c r="F34" s="343"/>
      <c r="G34" s="343"/>
      <c r="H34" s="343"/>
      <c r="I34" s="343"/>
    </row>
    <row r="35" spans="3:9" x14ac:dyDescent="0.2">
      <c r="C35" s="343"/>
      <c r="D35" s="343"/>
      <c r="E35" s="343"/>
      <c r="F35" s="343"/>
      <c r="G35" s="343"/>
      <c r="H35" s="343"/>
      <c r="I35" s="343"/>
    </row>
    <row r="36" spans="3:9" x14ac:dyDescent="0.2">
      <c r="C36" s="343"/>
      <c r="D36" s="343"/>
      <c r="E36" s="343"/>
      <c r="F36" s="343"/>
      <c r="G36" s="343"/>
      <c r="H36" s="343"/>
      <c r="I36" s="343"/>
    </row>
    <row r="37" spans="3:9" x14ac:dyDescent="0.2">
      <c r="C37" s="343"/>
      <c r="D37" s="343"/>
      <c r="E37" s="343"/>
      <c r="F37" s="343"/>
      <c r="G37" s="343"/>
      <c r="H37" s="343"/>
      <c r="I37" s="343"/>
    </row>
    <row r="38" spans="3:9" x14ac:dyDescent="0.2">
      <c r="C38" s="343"/>
      <c r="D38" s="343"/>
      <c r="E38" s="343"/>
      <c r="F38" s="343"/>
      <c r="G38" s="343"/>
      <c r="H38" s="343"/>
      <c r="I38" s="343"/>
    </row>
    <row r="39" spans="3:9" x14ac:dyDescent="0.2">
      <c r="C39" s="343"/>
      <c r="D39" s="343"/>
      <c r="E39" s="343"/>
      <c r="F39" s="343"/>
      <c r="G39" s="343"/>
      <c r="H39" s="343"/>
      <c r="I39" s="343"/>
    </row>
    <row r="40" spans="3:9" x14ac:dyDescent="0.2">
      <c r="C40" s="343"/>
      <c r="D40" s="343"/>
      <c r="E40" s="343"/>
      <c r="F40" s="343"/>
      <c r="G40" s="343"/>
      <c r="H40" s="343"/>
      <c r="I40" s="343"/>
    </row>
    <row r="41" spans="3:9" x14ac:dyDescent="0.2">
      <c r="C41" s="343"/>
      <c r="D41" s="343"/>
      <c r="E41" s="343"/>
      <c r="F41" s="343"/>
      <c r="G41" s="343"/>
      <c r="H41" s="343"/>
      <c r="I41" s="343"/>
    </row>
    <row r="42" spans="3:9" x14ac:dyDescent="0.2">
      <c r="C42" s="343"/>
      <c r="D42" s="343"/>
      <c r="E42" s="343"/>
      <c r="F42" s="343"/>
      <c r="G42" s="343"/>
      <c r="H42" s="343"/>
      <c r="I42" s="343"/>
    </row>
    <row r="43" spans="3:9" x14ac:dyDescent="0.2">
      <c r="C43" s="343"/>
      <c r="D43" s="343"/>
      <c r="E43" s="343"/>
      <c r="F43" s="343"/>
      <c r="G43" s="343"/>
      <c r="H43" s="343"/>
      <c r="I43" s="343"/>
    </row>
    <row r="44" spans="3:9" x14ac:dyDescent="0.2">
      <c r="C44" s="343"/>
      <c r="D44" s="343"/>
      <c r="E44" s="343"/>
      <c r="F44" s="343"/>
      <c r="G44" s="343"/>
      <c r="H44" s="343"/>
      <c r="I44" s="343"/>
    </row>
    <row r="45" spans="3:9" x14ac:dyDescent="0.2">
      <c r="C45" s="343"/>
      <c r="D45" s="343"/>
      <c r="E45" s="343"/>
      <c r="F45" s="343"/>
      <c r="G45" s="343"/>
      <c r="H45" s="343"/>
      <c r="I45" s="343"/>
    </row>
    <row r="46" spans="3:9" x14ac:dyDescent="0.2">
      <c r="C46" s="343"/>
      <c r="D46" s="343"/>
      <c r="E46" s="343"/>
      <c r="F46" s="343"/>
      <c r="G46" s="343"/>
      <c r="H46" s="343"/>
      <c r="I46" s="343"/>
    </row>
    <row r="47" spans="3:9" x14ac:dyDescent="0.2">
      <c r="C47" s="343"/>
      <c r="D47" s="343"/>
      <c r="E47" s="343"/>
      <c r="F47" s="343"/>
      <c r="G47" s="343"/>
      <c r="H47" s="343"/>
      <c r="I47" s="343"/>
    </row>
    <row r="48" spans="3:9" x14ac:dyDescent="0.2">
      <c r="C48" s="343"/>
      <c r="D48" s="343"/>
      <c r="E48" s="343"/>
      <c r="F48" s="343"/>
      <c r="G48" s="343"/>
      <c r="H48" s="343"/>
      <c r="I48" s="343"/>
    </row>
    <row r="49" spans="3:9" x14ac:dyDescent="0.2">
      <c r="C49" s="343"/>
      <c r="D49" s="343"/>
      <c r="E49" s="343"/>
      <c r="F49" s="343"/>
      <c r="G49" s="343"/>
      <c r="H49" s="343"/>
      <c r="I49" s="343"/>
    </row>
    <row r="50" spans="3:9" x14ac:dyDescent="0.2">
      <c r="C50" s="343"/>
      <c r="D50" s="343"/>
      <c r="E50" s="343"/>
      <c r="F50" s="343"/>
      <c r="G50" s="343"/>
      <c r="H50" s="343"/>
      <c r="I50" s="343"/>
    </row>
    <row r="51" spans="3:9" x14ac:dyDescent="0.2">
      <c r="C51" s="343"/>
      <c r="D51" s="343"/>
      <c r="E51" s="343"/>
      <c r="F51" s="343"/>
      <c r="G51" s="343"/>
      <c r="H51" s="343"/>
      <c r="I51" s="343"/>
    </row>
    <row r="52" spans="3:9" x14ac:dyDescent="0.2">
      <c r="C52" s="343"/>
      <c r="D52" s="343"/>
      <c r="E52" s="343"/>
      <c r="F52" s="343"/>
      <c r="G52" s="343"/>
      <c r="H52" s="343"/>
      <c r="I52" s="343"/>
    </row>
    <row r="53" spans="3:9" x14ac:dyDescent="0.2">
      <c r="C53" s="343"/>
      <c r="D53" s="343"/>
      <c r="E53" s="343"/>
      <c r="F53" s="343"/>
      <c r="G53" s="343"/>
      <c r="H53" s="343"/>
      <c r="I53" s="343"/>
    </row>
    <row r="54" spans="3:9" x14ac:dyDescent="0.2">
      <c r="C54" s="343"/>
      <c r="D54" s="343"/>
      <c r="E54" s="343"/>
      <c r="F54" s="343"/>
      <c r="G54" s="343"/>
      <c r="H54" s="343"/>
      <c r="I54" s="343"/>
    </row>
    <row r="55" spans="3:9" x14ac:dyDescent="0.2">
      <c r="C55" s="343"/>
      <c r="D55" s="343"/>
      <c r="E55" s="343"/>
      <c r="F55" s="343"/>
      <c r="G55" s="343"/>
      <c r="H55" s="343"/>
      <c r="I55" s="343"/>
    </row>
    <row r="56" spans="3:9" x14ac:dyDescent="0.2">
      <c r="C56" s="343"/>
      <c r="D56" s="343"/>
      <c r="E56" s="343"/>
      <c r="F56" s="343"/>
      <c r="G56" s="343"/>
      <c r="H56" s="343"/>
      <c r="I56" s="343"/>
    </row>
    <row r="57" spans="3:9" x14ac:dyDescent="0.2">
      <c r="C57" s="343"/>
      <c r="D57" s="343"/>
      <c r="E57" s="343"/>
      <c r="F57" s="343"/>
      <c r="G57" s="343"/>
      <c r="H57" s="343"/>
      <c r="I57" s="343"/>
    </row>
    <row r="58" spans="3:9" x14ac:dyDescent="0.2">
      <c r="C58" s="343"/>
      <c r="D58" s="343"/>
      <c r="E58" s="343"/>
      <c r="F58" s="343"/>
      <c r="G58" s="343"/>
      <c r="H58" s="343"/>
      <c r="I58" s="343"/>
    </row>
    <row r="59" spans="3:9" x14ac:dyDescent="0.2">
      <c r="C59" s="343"/>
      <c r="D59" s="343"/>
      <c r="E59" s="343"/>
      <c r="F59" s="343"/>
      <c r="G59" s="343"/>
      <c r="H59" s="343"/>
      <c r="I59" s="343"/>
    </row>
    <row r="60" spans="3:9" x14ac:dyDescent="0.2">
      <c r="C60" s="343"/>
      <c r="D60" s="343"/>
      <c r="E60" s="343"/>
      <c r="F60" s="343"/>
      <c r="G60" s="343"/>
      <c r="H60" s="343"/>
      <c r="I60" s="343"/>
    </row>
    <row r="61" spans="3:9" x14ac:dyDescent="0.2">
      <c r="C61" s="343"/>
      <c r="D61" s="343"/>
      <c r="E61" s="343"/>
      <c r="F61" s="343"/>
      <c r="G61" s="343"/>
      <c r="H61" s="343"/>
      <c r="I61" s="343"/>
    </row>
    <row r="62" spans="3:9" x14ac:dyDescent="0.2">
      <c r="C62" s="343"/>
      <c r="D62" s="343"/>
      <c r="E62" s="343"/>
      <c r="F62" s="343"/>
      <c r="G62" s="343"/>
      <c r="H62" s="343"/>
      <c r="I62" s="343"/>
    </row>
    <row r="63" spans="3:9" x14ac:dyDescent="0.2">
      <c r="C63" s="343"/>
      <c r="D63" s="343"/>
      <c r="E63" s="343"/>
      <c r="F63" s="343"/>
      <c r="G63" s="343"/>
      <c r="H63" s="343"/>
      <c r="I63" s="343"/>
    </row>
    <row r="64" spans="3:9" x14ac:dyDescent="0.2">
      <c r="C64" s="343"/>
      <c r="D64" s="343"/>
      <c r="E64" s="343"/>
      <c r="F64" s="343"/>
      <c r="G64" s="343"/>
      <c r="H64" s="343"/>
      <c r="I64" s="343"/>
    </row>
    <row r="65" spans="3:9" x14ac:dyDescent="0.2">
      <c r="C65" s="343"/>
      <c r="D65" s="343"/>
      <c r="E65" s="343"/>
      <c r="F65" s="343"/>
      <c r="G65" s="343"/>
      <c r="H65" s="343"/>
      <c r="I65" s="343"/>
    </row>
    <row r="66" spans="3:9" x14ac:dyDescent="0.2">
      <c r="C66" s="343"/>
      <c r="D66" s="343"/>
      <c r="E66" s="343"/>
      <c r="F66" s="343"/>
      <c r="G66" s="343"/>
      <c r="H66" s="343"/>
      <c r="I66" s="343"/>
    </row>
    <row r="67" spans="3:9" x14ac:dyDescent="0.2">
      <c r="C67" s="343"/>
      <c r="D67" s="343"/>
      <c r="E67" s="343"/>
      <c r="F67" s="343"/>
      <c r="G67" s="343"/>
      <c r="H67" s="343"/>
      <c r="I67" s="343"/>
    </row>
    <row r="68" spans="3:9" x14ac:dyDescent="0.2">
      <c r="C68" s="343"/>
      <c r="D68" s="343"/>
      <c r="E68" s="343"/>
      <c r="F68" s="343"/>
      <c r="G68" s="343"/>
      <c r="H68" s="343"/>
      <c r="I68" s="343"/>
    </row>
    <row r="69" spans="3:9" x14ac:dyDescent="0.2">
      <c r="C69" s="343"/>
      <c r="D69" s="343"/>
      <c r="E69" s="343"/>
      <c r="F69" s="343"/>
      <c r="G69" s="343"/>
      <c r="H69" s="343"/>
      <c r="I69" s="343"/>
    </row>
    <row r="70" spans="3:9" x14ac:dyDescent="0.2">
      <c r="C70" s="343"/>
      <c r="D70" s="343"/>
      <c r="E70" s="343"/>
      <c r="F70" s="343"/>
      <c r="G70" s="343"/>
      <c r="H70" s="343"/>
      <c r="I70" s="343"/>
    </row>
    <row r="71" spans="3:9" x14ac:dyDescent="0.2">
      <c r="C71" s="343"/>
      <c r="D71" s="343"/>
      <c r="E71" s="343"/>
      <c r="F71" s="343"/>
      <c r="G71" s="343"/>
      <c r="H71" s="343"/>
      <c r="I71" s="343"/>
    </row>
    <row r="72" spans="3:9" x14ac:dyDescent="0.2">
      <c r="C72" s="343"/>
      <c r="D72" s="343"/>
      <c r="E72" s="343"/>
      <c r="F72" s="343"/>
      <c r="G72" s="343"/>
      <c r="H72" s="343"/>
      <c r="I72" s="343"/>
    </row>
    <row r="73" spans="3:9" x14ac:dyDescent="0.2">
      <c r="C73" s="343"/>
      <c r="D73" s="343"/>
      <c r="E73" s="343"/>
      <c r="F73" s="343"/>
      <c r="G73" s="343"/>
      <c r="H73" s="343"/>
      <c r="I73" s="343"/>
    </row>
    <row r="74" spans="3:9" x14ac:dyDescent="0.2">
      <c r="C74" s="343"/>
      <c r="D74" s="343"/>
      <c r="E74" s="343"/>
      <c r="F74" s="343"/>
      <c r="G74" s="343"/>
      <c r="H74" s="343"/>
      <c r="I74" s="343"/>
    </row>
    <row r="75" spans="3:9" x14ac:dyDescent="0.2">
      <c r="C75" s="343"/>
      <c r="D75" s="343"/>
      <c r="E75" s="343"/>
      <c r="F75" s="343"/>
      <c r="G75" s="343"/>
      <c r="H75" s="343"/>
      <c r="I75" s="343"/>
    </row>
    <row r="76" spans="3:9" x14ac:dyDescent="0.2">
      <c r="C76" s="343"/>
      <c r="D76" s="343"/>
      <c r="E76" s="343"/>
      <c r="F76" s="343"/>
      <c r="G76" s="343"/>
      <c r="H76" s="343"/>
      <c r="I76" s="343"/>
    </row>
    <row r="77" spans="3:9" x14ac:dyDescent="0.2">
      <c r="C77" s="343"/>
      <c r="D77" s="343"/>
      <c r="E77" s="343"/>
      <c r="F77" s="343"/>
      <c r="G77" s="343"/>
      <c r="H77" s="343"/>
      <c r="I77" s="343"/>
    </row>
    <row r="78" spans="3:9" x14ac:dyDescent="0.2">
      <c r="C78" s="343"/>
      <c r="D78" s="343"/>
      <c r="E78" s="343"/>
      <c r="F78" s="343"/>
      <c r="G78" s="343"/>
      <c r="H78" s="343"/>
      <c r="I78" s="343"/>
    </row>
    <row r="79" spans="3:9" x14ac:dyDescent="0.2">
      <c r="C79" s="343"/>
      <c r="D79" s="343"/>
      <c r="E79" s="343"/>
      <c r="F79" s="343"/>
      <c r="G79" s="343"/>
      <c r="H79" s="343"/>
      <c r="I79" s="343"/>
    </row>
    <row r="80" spans="3:9" x14ac:dyDescent="0.2">
      <c r="C80" s="343"/>
      <c r="D80" s="343"/>
      <c r="E80" s="343"/>
      <c r="F80" s="343"/>
      <c r="G80" s="343"/>
      <c r="H80" s="343"/>
      <c r="I80" s="343"/>
    </row>
    <row r="81" spans="3:9" x14ac:dyDescent="0.2">
      <c r="C81" s="343"/>
      <c r="D81" s="343"/>
      <c r="E81" s="343"/>
      <c r="F81" s="343"/>
      <c r="G81" s="343"/>
      <c r="H81" s="343"/>
      <c r="I81" s="343"/>
    </row>
    <row r="82" spans="3:9" x14ac:dyDescent="0.2">
      <c r="C82" s="343"/>
      <c r="D82" s="343"/>
      <c r="E82" s="343"/>
      <c r="F82" s="343"/>
      <c r="G82" s="343"/>
      <c r="H82" s="343"/>
      <c r="I82" s="343"/>
    </row>
    <row r="83" spans="3:9" x14ac:dyDescent="0.2">
      <c r="C83" s="343"/>
      <c r="D83" s="343"/>
      <c r="E83" s="343"/>
      <c r="F83" s="343"/>
      <c r="G83" s="343"/>
      <c r="H83" s="343"/>
      <c r="I83" s="343"/>
    </row>
    <row r="84" spans="3:9" x14ac:dyDescent="0.2">
      <c r="C84" s="343"/>
      <c r="D84" s="343"/>
      <c r="E84" s="343"/>
      <c r="F84" s="343"/>
      <c r="G84" s="343"/>
      <c r="H84" s="343"/>
      <c r="I84" s="343"/>
    </row>
    <row r="85" spans="3:9" x14ac:dyDescent="0.2">
      <c r="C85" s="343"/>
      <c r="D85" s="343"/>
      <c r="E85" s="343"/>
      <c r="F85" s="343"/>
      <c r="G85" s="343"/>
      <c r="H85" s="343"/>
      <c r="I85" s="343"/>
    </row>
    <row r="86" spans="3:9" x14ac:dyDescent="0.2">
      <c r="C86" s="343"/>
      <c r="D86" s="343"/>
      <c r="E86" s="343"/>
      <c r="F86" s="343"/>
      <c r="G86" s="343"/>
      <c r="H86" s="343"/>
      <c r="I86" s="343"/>
    </row>
    <row r="87" spans="3:9" x14ac:dyDescent="0.2">
      <c r="C87" s="343"/>
      <c r="D87" s="343"/>
      <c r="E87" s="343"/>
      <c r="F87" s="343"/>
      <c r="G87" s="343"/>
      <c r="H87" s="343"/>
      <c r="I87" s="343"/>
    </row>
    <row r="88" spans="3:9" x14ac:dyDescent="0.2">
      <c r="C88" s="343"/>
      <c r="D88" s="343"/>
      <c r="E88" s="343"/>
      <c r="F88" s="343"/>
      <c r="G88" s="343"/>
      <c r="H88" s="343"/>
      <c r="I88" s="343"/>
    </row>
    <row r="89" spans="3:9" x14ac:dyDescent="0.2">
      <c r="C89" s="343"/>
      <c r="D89" s="343"/>
      <c r="E89" s="343"/>
      <c r="F89" s="343"/>
      <c r="G89" s="343"/>
      <c r="H89" s="343"/>
      <c r="I89" s="343"/>
    </row>
    <row r="90" spans="3:9" x14ac:dyDescent="0.2">
      <c r="C90" s="343"/>
      <c r="D90" s="343"/>
      <c r="E90" s="343"/>
      <c r="F90" s="343"/>
      <c r="G90" s="343"/>
      <c r="H90" s="343"/>
      <c r="I90" s="343"/>
    </row>
    <row r="91" spans="3:9" x14ac:dyDescent="0.2">
      <c r="C91" s="343"/>
      <c r="D91" s="343"/>
      <c r="E91" s="343"/>
      <c r="F91" s="343"/>
      <c r="G91" s="343"/>
      <c r="H91" s="343"/>
      <c r="I91" s="343"/>
    </row>
    <row r="92" spans="3:9" x14ac:dyDescent="0.2">
      <c r="C92" s="343"/>
      <c r="D92" s="343"/>
      <c r="E92" s="343"/>
      <c r="F92" s="343"/>
      <c r="G92" s="343"/>
      <c r="H92" s="343"/>
      <c r="I92" s="343"/>
    </row>
    <row r="93" spans="3:9" x14ac:dyDescent="0.2">
      <c r="C93" s="343"/>
      <c r="D93" s="343"/>
      <c r="E93" s="343"/>
      <c r="F93" s="343"/>
      <c r="G93" s="343"/>
      <c r="H93" s="343"/>
      <c r="I93" s="343"/>
    </row>
    <row r="94" spans="3:9" x14ac:dyDescent="0.2">
      <c r="C94" s="343"/>
      <c r="D94" s="343"/>
      <c r="E94" s="343"/>
      <c r="F94" s="343"/>
      <c r="G94" s="343"/>
      <c r="H94" s="343"/>
      <c r="I94" s="343"/>
    </row>
    <row r="95" spans="3:9" x14ac:dyDescent="0.2">
      <c r="C95" s="343"/>
      <c r="D95" s="343"/>
      <c r="E95" s="343"/>
      <c r="F95" s="343"/>
      <c r="G95" s="343"/>
      <c r="H95" s="343"/>
      <c r="I95" s="343"/>
    </row>
    <row r="96" spans="3:9" x14ac:dyDescent="0.2">
      <c r="C96" s="343"/>
      <c r="D96" s="343"/>
      <c r="E96" s="343"/>
      <c r="F96" s="343"/>
      <c r="G96" s="343"/>
      <c r="H96" s="343"/>
      <c r="I96" s="343"/>
    </row>
    <row r="97" spans="3:9" x14ac:dyDescent="0.2">
      <c r="C97" s="343"/>
      <c r="D97" s="343"/>
      <c r="E97" s="343"/>
      <c r="F97" s="343"/>
      <c r="G97" s="343"/>
      <c r="H97" s="343"/>
      <c r="I97" s="343"/>
    </row>
    <row r="98" spans="3:9" x14ac:dyDescent="0.2">
      <c r="C98" s="343"/>
      <c r="D98" s="343"/>
      <c r="E98" s="343"/>
      <c r="F98" s="343"/>
      <c r="G98" s="343"/>
      <c r="H98" s="343"/>
      <c r="I98" s="343"/>
    </row>
    <row r="99" spans="3:9" x14ac:dyDescent="0.2">
      <c r="C99" s="343"/>
      <c r="D99" s="343"/>
      <c r="E99" s="343"/>
      <c r="F99" s="343"/>
      <c r="G99" s="343"/>
      <c r="H99" s="343"/>
      <c r="I99" s="343"/>
    </row>
    <row r="100" spans="3:9" x14ac:dyDescent="0.2">
      <c r="C100" s="343"/>
      <c r="D100" s="343"/>
      <c r="E100" s="343"/>
      <c r="F100" s="343"/>
      <c r="G100" s="343"/>
      <c r="H100" s="343"/>
      <c r="I100" s="343"/>
    </row>
    <row r="101" spans="3:9" x14ac:dyDescent="0.2">
      <c r="C101" s="343"/>
      <c r="D101" s="343"/>
      <c r="E101" s="343"/>
      <c r="F101" s="343"/>
      <c r="G101" s="343"/>
      <c r="H101" s="343"/>
      <c r="I101" s="343"/>
    </row>
    <row r="102" spans="3:9" x14ac:dyDescent="0.2">
      <c r="C102" s="343"/>
      <c r="D102" s="343"/>
      <c r="E102" s="343"/>
      <c r="F102" s="343"/>
      <c r="G102" s="343"/>
      <c r="H102" s="343"/>
      <c r="I102" s="343"/>
    </row>
    <row r="103" spans="3:9" x14ac:dyDescent="0.2">
      <c r="C103" s="343"/>
      <c r="D103" s="343"/>
      <c r="E103" s="343"/>
      <c r="F103" s="343"/>
      <c r="G103" s="343"/>
      <c r="H103" s="343"/>
      <c r="I103" s="343"/>
    </row>
    <row r="104" spans="3:9" x14ac:dyDescent="0.2">
      <c r="C104" s="343"/>
      <c r="D104" s="343"/>
      <c r="E104" s="343"/>
      <c r="F104" s="343"/>
      <c r="G104" s="343"/>
      <c r="H104" s="343"/>
      <c r="I104" s="343"/>
    </row>
    <row r="105" spans="3:9" x14ac:dyDescent="0.2">
      <c r="C105" s="343"/>
      <c r="D105" s="343"/>
      <c r="E105" s="343"/>
      <c r="F105" s="343"/>
      <c r="G105" s="343"/>
      <c r="H105" s="343"/>
      <c r="I105" s="343"/>
    </row>
    <row r="106" spans="3:9" x14ac:dyDescent="0.2">
      <c r="C106" s="343"/>
      <c r="D106" s="343"/>
      <c r="E106" s="343"/>
      <c r="F106" s="343"/>
      <c r="G106" s="343"/>
      <c r="H106" s="343"/>
      <c r="I106" s="343"/>
    </row>
    <row r="107" spans="3:9" x14ac:dyDescent="0.2">
      <c r="C107" s="343"/>
      <c r="D107" s="343"/>
      <c r="E107" s="343"/>
      <c r="F107" s="343"/>
      <c r="G107" s="343"/>
      <c r="H107" s="343"/>
      <c r="I107" s="343"/>
    </row>
    <row r="108" spans="3:9" x14ac:dyDescent="0.2">
      <c r="C108" s="343"/>
      <c r="D108" s="343"/>
      <c r="E108" s="343"/>
      <c r="F108" s="343"/>
      <c r="G108" s="343"/>
      <c r="H108" s="343"/>
      <c r="I108" s="343"/>
    </row>
    <row r="109" spans="3:9" x14ac:dyDescent="0.2">
      <c r="C109" s="343"/>
      <c r="D109" s="343"/>
      <c r="E109" s="343"/>
      <c r="F109" s="343"/>
      <c r="G109" s="343"/>
      <c r="H109" s="343"/>
      <c r="I109" s="343"/>
    </row>
    <row r="110" spans="3:9" x14ac:dyDescent="0.2">
      <c r="C110" s="343"/>
      <c r="D110" s="343"/>
      <c r="E110" s="343"/>
      <c r="F110" s="343"/>
      <c r="G110" s="343"/>
      <c r="H110" s="343"/>
      <c r="I110" s="343"/>
    </row>
    <row r="111" spans="3:9" x14ac:dyDescent="0.2">
      <c r="C111" s="343"/>
      <c r="D111" s="343"/>
      <c r="E111" s="343"/>
      <c r="F111" s="343"/>
      <c r="G111" s="343"/>
      <c r="H111" s="343"/>
      <c r="I111" s="343"/>
    </row>
    <row r="112" spans="3:9" x14ac:dyDescent="0.2">
      <c r="C112" s="343"/>
      <c r="D112" s="343"/>
      <c r="E112" s="343"/>
      <c r="F112" s="343"/>
      <c r="G112" s="343"/>
      <c r="H112" s="343"/>
      <c r="I112" s="343"/>
    </row>
    <row r="113" spans="3:9" x14ac:dyDescent="0.2">
      <c r="C113" s="343"/>
      <c r="D113" s="343"/>
      <c r="E113" s="343"/>
      <c r="F113" s="343"/>
      <c r="G113" s="343"/>
      <c r="H113" s="343"/>
      <c r="I113" s="343"/>
    </row>
    <row r="114" spans="3:9" x14ac:dyDescent="0.2">
      <c r="C114" s="343"/>
      <c r="D114" s="343"/>
      <c r="E114" s="343"/>
      <c r="F114" s="343"/>
      <c r="G114" s="343"/>
      <c r="H114" s="343"/>
      <c r="I114" s="343"/>
    </row>
    <row r="115" spans="3:9" x14ac:dyDescent="0.2">
      <c r="C115" s="343"/>
      <c r="D115" s="343"/>
      <c r="E115" s="343"/>
      <c r="F115" s="343"/>
      <c r="G115" s="343"/>
      <c r="H115" s="343"/>
      <c r="I115" s="343"/>
    </row>
    <row r="116" spans="3:9" x14ac:dyDescent="0.2">
      <c r="C116" s="343"/>
      <c r="D116" s="343"/>
      <c r="E116" s="343"/>
      <c r="F116" s="343"/>
      <c r="G116" s="343"/>
      <c r="H116" s="343"/>
      <c r="I116" s="343"/>
    </row>
    <row r="117" spans="3:9" x14ac:dyDescent="0.2">
      <c r="C117" s="343"/>
      <c r="D117" s="343"/>
      <c r="E117" s="343"/>
      <c r="F117" s="343"/>
      <c r="G117" s="343"/>
      <c r="H117" s="343"/>
      <c r="I117" s="343"/>
    </row>
    <row r="118" spans="3:9" x14ac:dyDescent="0.2">
      <c r="C118" s="343"/>
      <c r="D118" s="343"/>
      <c r="E118" s="343"/>
      <c r="F118" s="343"/>
      <c r="G118" s="343"/>
      <c r="H118" s="343"/>
      <c r="I118" s="343"/>
    </row>
    <row r="119" spans="3:9" x14ac:dyDescent="0.2">
      <c r="C119" s="343"/>
      <c r="D119" s="343"/>
      <c r="E119" s="343"/>
      <c r="F119" s="343"/>
      <c r="G119" s="343"/>
      <c r="H119" s="343"/>
      <c r="I119" s="343"/>
    </row>
    <row r="120" spans="3:9" x14ac:dyDescent="0.2">
      <c r="C120" s="343"/>
      <c r="D120" s="343"/>
      <c r="E120" s="343"/>
      <c r="F120" s="343"/>
      <c r="G120" s="343"/>
      <c r="H120" s="343"/>
      <c r="I120" s="343"/>
    </row>
    <row r="121" spans="3:9" x14ac:dyDescent="0.2">
      <c r="C121" s="343"/>
      <c r="D121" s="343"/>
      <c r="E121" s="343"/>
      <c r="F121" s="343"/>
      <c r="G121" s="343"/>
      <c r="H121" s="343"/>
      <c r="I121" s="343"/>
    </row>
    <row r="122" spans="3:9" x14ac:dyDescent="0.2">
      <c r="C122" s="343"/>
      <c r="D122" s="343"/>
      <c r="E122" s="343"/>
      <c r="F122" s="343"/>
      <c r="G122" s="343"/>
      <c r="H122" s="343"/>
      <c r="I122" s="343"/>
    </row>
    <row r="123" spans="3:9" x14ac:dyDescent="0.2">
      <c r="C123" s="343"/>
      <c r="D123" s="343"/>
      <c r="E123" s="343"/>
      <c r="F123" s="343"/>
      <c r="G123" s="343"/>
      <c r="H123" s="343"/>
      <c r="I123" s="343"/>
    </row>
    <row r="124" spans="3:9" x14ac:dyDescent="0.2">
      <c r="C124" s="343"/>
      <c r="D124" s="343"/>
      <c r="E124" s="343"/>
      <c r="F124" s="343"/>
      <c r="G124" s="343"/>
      <c r="H124" s="343"/>
      <c r="I124" s="343"/>
    </row>
    <row r="125" spans="3:9" x14ac:dyDescent="0.2">
      <c r="C125" s="343"/>
      <c r="D125" s="343"/>
      <c r="E125" s="343"/>
      <c r="F125" s="343"/>
      <c r="G125" s="343"/>
      <c r="H125" s="343"/>
      <c r="I125" s="343"/>
    </row>
    <row r="126" spans="3:9" x14ac:dyDescent="0.2">
      <c r="C126" s="343"/>
      <c r="D126" s="343"/>
      <c r="E126" s="343"/>
      <c r="F126" s="343"/>
      <c r="G126" s="343"/>
      <c r="H126" s="343"/>
      <c r="I126" s="343"/>
    </row>
    <row r="127" spans="3:9" x14ac:dyDescent="0.2">
      <c r="C127" s="343"/>
      <c r="D127" s="343"/>
      <c r="E127" s="343"/>
      <c r="F127" s="343"/>
      <c r="G127" s="343"/>
      <c r="H127" s="343"/>
      <c r="I127" s="343"/>
    </row>
    <row r="128" spans="3:9" x14ac:dyDescent="0.2">
      <c r="C128" s="343"/>
      <c r="D128" s="343"/>
      <c r="E128" s="343"/>
      <c r="F128" s="343"/>
      <c r="G128" s="343"/>
      <c r="H128" s="343"/>
      <c r="I128" s="343"/>
    </row>
    <row r="129" spans="3:9" x14ac:dyDescent="0.2">
      <c r="C129" s="343"/>
      <c r="D129" s="343"/>
      <c r="E129" s="343"/>
      <c r="F129" s="343"/>
      <c r="G129" s="343"/>
      <c r="H129" s="343"/>
      <c r="I129" s="343"/>
    </row>
    <row r="130" spans="3:9" x14ac:dyDescent="0.2">
      <c r="C130" s="343"/>
      <c r="D130" s="343"/>
      <c r="E130" s="343"/>
      <c r="F130" s="343"/>
      <c r="G130" s="343"/>
      <c r="H130" s="343"/>
      <c r="I130" s="343"/>
    </row>
    <row r="131" spans="3:9" x14ac:dyDescent="0.2">
      <c r="C131" s="343"/>
      <c r="D131" s="343"/>
      <c r="E131" s="343"/>
      <c r="F131" s="343"/>
      <c r="G131" s="343"/>
      <c r="H131" s="343"/>
      <c r="I131" s="343"/>
    </row>
    <row r="132" spans="3:9" x14ac:dyDescent="0.2">
      <c r="C132" s="343"/>
      <c r="D132" s="343"/>
      <c r="E132" s="343"/>
      <c r="F132" s="343"/>
      <c r="G132" s="343"/>
      <c r="H132" s="343"/>
      <c r="I132" s="343"/>
    </row>
    <row r="133" spans="3:9" x14ac:dyDescent="0.2">
      <c r="C133" s="343"/>
      <c r="D133" s="343"/>
      <c r="E133" s="343"/>
      <c r="F133" s="343"/>
      <c r="G133" s="343"/>
      <c r="H133" s="343"/>
      <c r="I133" s="343"/>
    </row>
    <row r="134" spans="3:9" x14ac:dyDescent="0.2">
      <c r="C134" s="343"/>
      <c r="D134" s="343"/>
      <c r="E134" s="343"/>
      <c r="F134" s="343"/>
      <c r="G134" s="343"/>
      <c r="H134" s="343"/>
      <c r="I134" s="343"/>
    </row>
    <row r="135" spans="3:9" x14ac:dyDescent="0.2">
      <c r="C135" s="343"/>
      <c r="D135" s="343"/>
      <c r="E135" s="343"/>
      <c r="F135" s="343"/>
      <c r="G135" s="343"/>
      <c r="H135" s="343"/>
      <c r="I135" s="343"/>
    </row>
    <row r="136" spans="3:9" x14ac:dyDescent="0.2">
      <c r="C136" s="343"/>
      <c r="D136" s="343"/>
      <c r="E136" s="343"/>
      <c r="F136" s="343"/>
      <c r="G136" s="343"/>
      <c r="H136" s="343"/>
      <c r="I136" s="343"/>
    </row>
    <row r="137" spans="3:9" x14ac:dyDescent="0.2">
      <c r="C137" s="343"/>
      <c r="D137" s="343"/>
      <c r="E137" s="343"/>
      <c r="F137" s="343"/>
      <c r="G137" s="343"/>
      <c r="H137" s="343"/>
      <c r="I137" s="343"/>
    </row>
    <row r="138" spans="3:9" x14ac:dyDescent="0.2">
      <c r="C138" s="343"/>
      <c r="D138" s="343"/>
      <c r="E138" s="343"/>
      <c r="F138" s="343"/>
      <c r="G138" s="343"/>
      <c r="H138" s="343"/>
      <c r="I138" s="343"/>
    </row>
    <row r="139" spans="3:9" x14ac:dyDescent="0.2">
      <c r="C139" s="343"/>
      <c r="D139" s="343"/>
      <c r="E139" s="343"/>
      <c r="F139" s="343"/>
      <c r="G139" s="343"/>
      <c r="H139" s="343"/>
      <c r="I139" s="343"/>
    </row>
    <row r="140" spans="3:9" x14ac:dyDescent="0.2">
      <c r="C140" s="343"/>
      <c r="D140" s="343"/>
      <c r="E140" s="343"/>
      <c r="F140" s="343"/>
      <c r="G140" s="343"/>
      <c r="H140" s="343"/>
      <c r="I140" s="343"/>
    </row>
    <row r="141" spans="3:9" x14ac:dyDescent="0.2">
      <c r="C141" s="343"/>
      <c r="D141" s="343"/>
      <c r="E141" s="343"/>
      <c r="F141" s="343"/>
      <c r="G141" s="343"/>
      <c r="H141" s="343"/>
      <c r="I141" s="343"/>
    </row>
    <row r="142" spans="3:9" x14ac:dyDescent="0.2">
      <c r="C142" s="343"/>
      <c r="D142" s="343"/>
      <c r="E142" s="343"/>
      <c r="F142" s="343"/>
      <c r="G142" s="343"/>
      <c r="H142" s="343"/>
      <c r="I142" s="343"/>
    </row>
    <row r="143" spans="3:9" x14ac:dyDescent="0.2">
      <c r="C143" s="343"/>
      <c r="D143" s="343"/>
      <c r="E143" s="343"/>
      <c r="F143" s="343"/>
      <c r="G143" s="343"/>
      <c r="H143" s="343"/>
      <c r="I143" s="343"/>
    </row>
    <row r="144" spans="3:9" x14ac:dyDescent="0.2">
      <c r="C144" s="343"/>
      <c r="D144" s="343"/>
      <c r="E144" s="343"/>
      <c r="F144" s="343"/>
      <c r="G144" s="343"/>
      <c r="H144" s="343"/>
      <c r="I144" s="343"/>
    </row>
    <row r="145" spans="3:9" x14ac:dyDescent="0.2">
      <c r="C145" s="343"/>
      <c r="D145" s="343"/>
      <c r="E145" s="343"/>
      <c r="F145" s="343"/>
      <c r="G145" s="343"/>
      <c r="H145" s="343"/>
      <c r="I145" s="343"/>
    </row>
    <row r="146" spans="3:9" x14ac:dyDescent="0.2">
      <c r="C146" s="343"/>
      <c r="D146" s="343"/>
      <c r="E146" s="343"/>
      <c r="F146" s="343"/>
      <c r="G146" s="343"/>
      <c r="H146" s="343"/>
      <c r="I146" s="343"/>
    </row>
    <row r="147" spans="3:9" x14ac:dyDescent="0.2">
      <c r="C147" s="343"/>
      <c r="D147" s="343"/>
      <c r="E147" s="343"/>
      <c r="F147" s="343"/>
      <c r="G147" s="343"/>
      <c r="H147" s="343"/>
      <c r="I147" s="343"/>
    </row>
    <row r="148" spans="3:9" x14ac:dyDescent="0.2">
      <c r="C148" s="343"/>
      <c r="D148" s="343"/>
      <c r="E148" s="343"/>
      <c r="F148" s="343"/>
      <c r="G148" s="343"/>
      <c r="H148" s="343"/>
      <c r="I148" s="343"/>
    </row>
    <row r="149" spans="3:9" x14ac:dyDescent="0.2">
      <c r="C149" s="343"/>
      <c r="D149" s="343"/>
      <c r="E149" s="343"/>
      <c r="F149" s="343"/>
      <c r="G149" s="343"/>
      <c r="H149" s="343"/>
      <c r="I149" s="343"/>
    </row>
    <row r="150" spans="3:9" x14ac:dyDescent="0.2">
      <c r="C150" s="343"/>
      <c r="D150" s="343"/>
      <c r="E150" s="343"/>
      <c r="F150" s="343"/>
      <c r="G150" s="343"/>
      <c r="H150" s="343"/>
      <c r="I150" s="343"/>
    </row>
    <row r="151" spans="3:9" x14ac:dyDescent="0.2">
      <c r="C151" s="343"/>
      <c r="D151" s="343"/>
      <c r="E151" s="343"/>
      <c r="F151" s="343"/>
      <c r="G151" s="343"/>
      <c r="H151" s="343"/>
      <c r="I151" s="343"/>
    </row>
    <row r="152" spans="3:9" x14ac:dyDescent="0.2">
      <c r="C152" s="343"/>
      <c r="D152" s="343"/>
      <c r="E152" s="343"/>
      <c r="F152" s="343"/>
      <c r="G152" s="343"/>
      <c r="H152" s="343"/>
      <c r="I152" s="343"/>
    </row>
    <row r="153" spans="3:9" x14ac:dyDescent="0.2">
      <c r="C153" s="343"/>
      <c r="D153" s="343"/>
      <c r="E153" s="343"/>
      <c r="F153" s="343"/>
      <c r="G153" s="343"/>
      <c r="H153" s="343"/>
      <c r="I153" s="343"/>
    </row>
    <row r="154" spans="3:9" x14ac:dyDescent="0.2">
      <c r="C154" s="343"/>
      <c r="D154" s="343"/>
      <c r="E154" s="343"/>
      <c r="F154" s="343"/>
      <c r="G154" s="343"/>
      <c r="H154" s="343"/>
      <c r="I154" s="343"/>
    </row>
    <row r="155" spans="3:9" x14ac:dyDescent="0.2">
      <c r="C155" s="343"/>
      <c r="D155" s="343"/>
      <c r="E155" s="343"/>
      <c r="F155" s="343"/>
      <c r="G155" s="343"/>
      <c r="H155" s="343"/>
      <c r="I155" s="343"/>
    </row>
    <row r="156" spans="3:9" x14ac:dyDescent="0.2">
      <c r="C156" s="343"/>
      <c r="D156" s="343"/>
      <c r="E156" s="343"/>
      <c r="F156" s="343"/>
      <c r="G156" s="343"/>
      <c r="H156" s="343"/>
      <c r="I156" s="343"/>
    </row>
    <row r="157" spans="3:9" x14ac:dyDescent="0.2">
      <c r="C157" s="343"/>
      <c r="D157" s="343"/>
      <c r="E157" s="343"/>
      <c r="F157" s="343"/>
      <c r="G157" s="343"/>
      <c r="H157" s="343"/>
      <c r="I157" s="343"/>
    </row>
    <row r="158" spans="3:9" x14ac:dyDescent="0.2">
      <c r="C158" s="343"/>
      <c r="D158" s="343"/>
      <c r="E158" s="343"/>
      <c r="F158" s="343"/>
      <c r="G158" s="343"/>
      <c r="H158" s="343"/>
      <c r="I158" s="343"/>
    </row>
    <row r="159" spans="3:9" x14ac:dyDescent="0.2">
      <c r="C159" s="343"/>
      <c r="D159" s="343"/>
      <c r="E159" s="343"/>
      <c r="F159" s="343"/>
      <c r="G159" s="343"/>
      <c r="H159" s="343"/>
      <c r="I159" s="343"/>
    </row>
    <row r="160" spans="3:9" x14ac:dyDescent="0.2">
      <c r="C160" s="343"/>
      <c r="D160" s="343"/>
      <c r="E160" s="343"/>
      <c r="F160" s="343"/>
      <c r="G160" s="343"/>
      <c r="H160" s="343"/>
      <c r="I160" s="343"/>
    </row>
    <row r="161" spans="3:9" x14ac:dyDescent="0.2">
      <c r="C161" s="343"/>
      <c r="D161" s="343"/>
      <c r="E161" s="343"/>
      <c r="F161" s="343"/>
      <c r="G161" s="343"/>
      <c r="H161" s="343"/>
      <c r="I161" s="343"/>
    </row>
    <row r="162" spans="3:9" x14ac:dyDescent="0.2">
      <c r="C162" s="343"/>
      <c r="D162" s="343"/>
      <c r="E162" s="343"/>
      <c r="F162" s="343"/>
      <c r="G162" s="343"/>
      <c r="H162" s="343"/>
      <c r="I162" s="343"/>
    </row>
    <row r="163" spans="3:9" x14ac:dyDescent="0.2">
      <c r="C163" s="343"/>
      <c r="D163" s="343"/>
      <c r="E163" s="343"/>
      <c r="F163" s="343"/>
      <c r="G163" s="343"/>
      <c r="H163" s="343"/>
      <c r="I163" s="343"/>
    </row>
    <row r="164" spans="3:9" x14ac:dyDescent="0.2">
      <c r="C164" s="343"/>
      <c r="D164" s="343"/>
      <c r="E164" s="343"/>
      <c r="F164" s="343"/>
      <c r="G164" s="343"/>
      <c r="H164" s="343"/>
      <c r="I164" s="343"/>
    </row>
    <row r="165" spans="3:9" x14ac:dyDescent="0.2">
      <c r="C165" s="343"/>
      <c r="D165" s="343"/>
      <c r="E165" s="343"/>
      <c r="F165" s="343"/>
      <c r="G165" s="343"/>
      <c r="H165" s="343"/>
      <c r="I165" s="343"/>
    </row>
    <row r="166" spans="3:9" x14ac:dyDescent="0.2">
      <c r="C166" s="343"/>
      <c r="D166" s="343"/>
      <c r="E166" s="343"/>
      <c r="F166" s="343"/>
      <c r="G166" s="343"/>
      <c r="H166" s="343"/>
      <c r="I166" s="343"/>
    </row>
    <row r="167" spans="3:9" x14ac:dyDescent="0.2">
      <c r="C167" s="343"/>
      <c r="D167" s="343"/>
      <c r="E167" s="343"/>
      <c r="F167" s="343"/>
      <c r="G167" s="343"/>
      <c r="H167" s="343"/>
      <c r="I167" s="343"/>
    </row>
    <row r="168" spans="3:9" x14ac:dyDescent="0.2">
      <c r="C168" s="343"/>
      <c r="D168" s="343"/>
      <c r="E168" s="343"/>
      <c r="F168" s="343"/>
      <c r="G168" s="343"/>
      <c r="H168" s="343"/>
      <c r="I168" s="343"/>
    </row>
    <row r="169" spans="3:9" x14ac:dyDescent="0.2">
      <c r="C169" s="343"/>
      <c r="D169" s="343"/>
      <c r="E169" s="343"/>
      <c r="F169" s="343"/>
      <c r="G169" s="343"/>
      <c r="H169" s="343"/>
      <c r="I169" s="343"/>
    </row>
    <row r="170" spans="3:9" x14ac:dyDescent="0.2">
      <c r="C170" s="343"/>
      <c r="D170" s="343"/>
      <c r="E170" s="343"/>
      <c r="F170" s="343"/>
      <c r="G170" s="343"/>
      <c r="H170" s="343"/>
      <c r="I170" s="343"/>
    </row>
    <row r="171" spans="3:9" x14ac:dyDescent="0.2">
      <c r="C171" s="343"/>
      <c r="D171" s="343"/>
      <c r="E171" s="343"/>
      <c r="F171" s="343"/>
      <c r="G171" s="343"/>
      <c r="H171" s="343"/>
      <c r="I171" s="343"/>
    </row>
    <row r="172" spans="3:9" x14ac:dyDescent="0.2">
      <c r="C172" s="343"/>
      <c r="D172" s="343"/>
      <c r="E172" s="343"/>
      <c r="F172" s="343"/>
      <c r="G172" s="343"/>
      <c r="H172" s="343"/>
      <c r="I172" s="343"/>
    </row>
    <row r="173" spans="3:9" x14ac:dyDescent="0.2">
      <c r="C173" s="343"/>
      <c r="D173" s="343"/>
      <c r="E173" s="343"/>
      <c r="F173" s="343"/>
      <c r="G173" s="343"/>
      <c r="H173" s="343"/>
      <c r="I173" s="343"/>
    </row>
    <row r="174" spans="3:9" x14ac:dyDescent="0.2">
      <c r="C174" s="343"/>
      <c r="D174" s="343"/>
      <c r="E174" s="343"/>
      <c r="F174" s="343"/>
      <c r="G174" s="343"/>
      <c r="H174" s="343"/>
      <c r="I174" s="343"/>
    </row>
    <row r="175" spans="3:9" x14ac:dyDescent="0.2">
      <c r="C175" s="343"/>
      <c r="D175" s="343"/>
      <c r="E175" s="343"/>
      <c r="F175" s="343"/>
      <c r="G175" s="343"/>
      <c r="H175" s="343"/>
      <c r="I175" s="343"/>
    </row>
    <row r="176" spans="3:9" x14ac:dyDescent="0.2">
      <c r="C176" s="343"/>
      <c r="D176" s="343"/>
      <c r="E176" s="343"/>
      <c r="F176" s="343"/>
      <c r="G176" s="343"/>
      <c r="H176" s="343"/>
      <c r="I176" s="343"/>
    </row>
    <row r="177" spans="3:9" x14ac:dyDescent="0.2">
      <c r="C177" s="343"/>
      <c r="D177" s="343"/>
      <c r="E177" s="343"/>
      <c r="F177" s="343"/>
      <c r="G177" s="343"/>
      <c r="H177" s="343"/>
      <c r="I177" s="343"/>
    </row>
    <row r="178" spans="3:9" x14ac:dyDescent="0.2">
      <c r="C178" s="343"/>
      <c r="D178" s="343"/>
      <c r="E178" s="343"/>
      <c r="F178" s="343"/>
      <c r="G178" s="343"/>
      <c r="H178" s="343"/>
      <c r="I178" s="343"/>
    </row>
    <row r="179" spans="3:9" x14ac:dyDescent="0.2">
      <c r="C179" s="343"/>
      <c r="D179" s="343"/>
      <c r="E179" s="343"/>
      <c r="F179" s="343"/>
      <c r="G179" s="343"/>
      <c r="H179" s="343"/>
      <c r="I179" s="343"/>
    </row>
    <row r="180" spans="3:9" x14ac:dyDescent="0.2">
      <c r="C180" s="343"/>
      <c r="D180" s="343"/>
      <c r="E180" s="343"/>
      <c r="F180" s="343"/>
      <c r="G180" s="343"/>
      <c r="H180" s="343"/>
      <c r="I180" s="343"/>
    </row>
    <row r="181" spans="3:9" x14ac:dyDescent="0.2">
      <c r="C181" s="343"/>
      <c r="D181" s="343"/>
      <c r="E181" s="343"/>
      <c r="F181" s="343"/>
      <c r="G181" s="343"/>
      <c r="H181" s="343"/>
      <c r="I181" s="343"/>
    </row>
    <row r="182" spans="3:9" x14ac:dyDescent="0.2">
      <c r="C182" s="343"/>
      <c r="D182" s="343"/>
      <c r="E182" s="343"/>
      <c r="F182" s="343"/>
      <c r="G182" s="343"/>
      <c r="H182" s="343"/>
      <c r="I182" s="343"/>
    </row>
    <row r="183" spans="3:9" x14ac:dyDescent="0.2">
      <c r="C183" s="343"/>
      <c r="D183" s="343"/>
      <c r="E183" s="343"/>
      <c r="F183" s="343"/>
      <c r="G183" s="343"/>
      <c r="H183" s="343"/>
      <c r="I183" s="343"/>
    </row>
    <row r="184" spans="3:9" x14ac:dyDescent="0.2">
      <c r="C184" s="343"/>
      <c r="D184" s="343"/>
      <c r="E184" s="343"/>
      <c r="F184" s="343"/>
      <c r="G184" s="343"/>
      <c r="H184" s="343"/>
      <c r="I184" s="343"/>
    </row>
    <row r="185" spans="3:9" x14ac:dyDescent="0.2">
      <c r="C185" s="343"/>
      <c r="D185" s="343"/>
      <c r="E185" s="343"/>
      <c r="F185" s="343"/>
      <c r="G185" s="343"/>
      <c r="H185" s="343"/>
      <c r="I185" s="343"/>
    </row>
    <row r="186" spans="3:9" x14ac:dyDescent="0.2">
      <c r="C186" s="343"/>
      <c r="D186" s="343"/>
      <c r="E186" s="343"/>
      <c r="F186" s="343"/>
      <c r="G186" s="343"/>
      <c r="H186" s="343"/>
      <c r="I186" s="343"/>
    </row>
    <row r="187" spans="3:9" x14ac:dyDescent="0.2">
      <c r="C187" s="343"/>
      <c r="D187" s="343"/>
      <c r="E187" s="343"/>
      <c r="F187" s="343"/>
      <c r="G187" s="343"/>
      <c r="H187" s="343"/>
      <c r="I187" s="343"/>
    </row>
    <row r="188" spans="3:9" x14ac:dyDescent="0.2">
      <c r="C188" s="343"/>
      <c r="D188" s="343"/>
      <c r="E188" s="343"/>
      <c r="F188" s="343"/>
      <c r="G188" s="343"/>
      <c r="H188" s="343"/>
      <c r="I188" s="343"/>
    </row>
    <row r="189" spans="3:9" x14ac:dyDescent="0.2">
      <c r="C189" s="343"/>
      <c r="D189" s="343"/>
      <c r="E189" s="343"/>
      <c r="F189" s="343"/>
      <c r="G189" s="343"/>
      <c r="H189" s="343"/>
      <c r="I189" s="343"/>
    </row>
    <row r="190" spans="3:9" x14ac:dyDescent="0.2">
      <c r="C190" s="343"/>
      <c r="D190" s="343"/>
      <c r="E190" s="343"/>
      <c r="F190" s="343"/>
      <c r="G190" s="343"/>
      <c r="H190" s="343"/>
      <c r="I190" s="343"/>
    </row>
    <row r="191" spans="3:9" x14ac:dyDescent="0.2">
      <c r="C191" s="343"/>
      <c r="D191" s="343"/>
      <c r="E191" s="343"/>
      <c r="F191" s="343"/>
      <c r="G191" s="343"/>
      <c r="H191" s="343"/>
      <c r="I191" s="343"/>
    </row>
    <row r="192" spans="3:9" x14ac:dyDescent="0.2">
      <c r="C192" s="343"/>
      <c r="D192" s="343"/>
      <c r="E192" s="343"/>
      <c r="F192" s="343"/>
      <c r="G192" s="343"/>
      <c r="H192" s="343"/>
      <c r="I192" s="343"/>
    </row>
    <row r="193" spans="3:9" x14ac:dyDescent="0.2">
      <c r="C193" s="343"/>
      <c r="D193" s="343"/>
      <c r="E193" s="343"/>
      <c r="F193" s="343"/>
      <c r="G193" s="343"/>
      <c r="H193" s="343"/>
      <c r="I193" s="343"/>
    </row>
    <row r="194" spans="3:9" x14ac:dyDescent="0.2">
      <c r="C194" s="343"/>
      <c r="D194" s="343"/>
      <c r="E194" s="343"/>
      <c r="F194" s="343"/>
      <c r="G194" s="343"/>
      <c r="H194" s="343"/>
      <c r="I194" s="343"/>
    </row>
    <row r="195" spans="3:9" x14ac:dyDescent="0.2">
      <c r="C195" s="343"/>
      <c r="D195" s="343"/>
      <c r="E195" s="343"/>
      <c r="F195" s="343"/>
      <c r="G195" s="343"/>
      <c r="H195" s="343"/>
      <c r="I195" s="343"/>
    </row>
    <row r="196" spans="3:9" x14ac:dyDescent="0.2">
      <c r="C196" s="343"/>
      <c r="D196" s="343"/>
      <c r="E196" s="343"/>
      <c r="F196" s="343"/>
      <c r="G196" s="343"/>
      <c r="H196" s="343"/>
      <c r="I196" s="343"/>
    </row>
    <row r="197" spans="3:9" x14ac:dyDescent="0.2">
      <c r="C197" s="343"/>
      <c r="D197" s="343"/>
      <c r="E197" s="343"/>
      <c r="F197" s="343"/>
      <c r="G197" s="343"/>
      <c r="H197" s="343"/>
      <c r="I197" s="343"/>
    </row>
    <row r="198" spans="3:9" x14ac:dyDescent="0.2">
      <c r="C198" s="343"/>
      <c r="D198" s="343"/>
      <c r="E198" s="343"/>
      <c r="F198" s="343"/>
      <c r="G198" s="343"/>
      <c r="H198" s="343"/>
      <c r="I198" s="343"/>
    </row>
    <row r="199" spans="3:9" x14ac:dyDescent="0.2">
      <c r="C199" s="343"/>
      <c r="D199" s="343"/>
      <c r="E199" s="343"/>
      <c r="F199" s="343"/>
      <c r="G199" s="343"/>
      <c r="H199" s="343"/>
      <c r="I199" s="343"/>
    </row>
    <row r="200" spans="3:9" x14ac:dyDescent="0.2">
      <c r="C200" s="343"/>
      <c r="D200" s="343"/>
      <c r="E200" s="343"/>
      <c r="F200" s="343"/>
      <c r="G200" s="343"/>
      <c r="H200" s="343"/>
      <c r="I200" s="343"/>
    </row>
    <row r="201" spans="3:9" x14ac:dyDescent="0.2">
      <c r="C201" s="343"/>
      <c r="D201" s="343"/>
      <c r="E201" s="343"/>
      <c r="F201" s="343"/>
      <c r="G201" s="343"/>
      <c r="H201" s="343"/>
      <c r="I201" s="343"/>
    </row>
    <row r="202" spans="3:9" x14ac:dyDescent="0.2">
      <c r="C202" s="343"/>
      <c r="D202" s="343"/>
      <c r="E202" s="343"/>
      <c r="F202" s="343"/>
      <c r="G202" s="343"/>
      <c r="H202" s="343"/>
      <c r="I202" s="343"/>
    </row>
    <row r="203" spans="3:9" x14ac:dyDescent="0.2">
      <c r="C203" s="343"/>
      <c r="D203" s="343"/>
      <c r="E203" s="343"/>
      <c r="F203" s="343"/>
      <c r="G203" s="343"/>
      <c r="H203" s="343"/>
      <c r="I203" s="343"/>
    </row>
    <row r="204" spans="3:9" x14ac:dyDescent="0.2">
      <c r="C204" s="343"/>
      <c r="D204" s="343"/>
      <c r="E204" s="343"/>
      <c r="F204" s="343"/>
      <c r="G204" s="343"/>
      <c r="H204" s="343"/>
      <c r="I204" s="343"/>
    </row>
    <row r="205" spans="3:9" x14ac:dyDescent="0.2">
      <c r="C205" s="343"/>
      <c r="D205" s="343"/>
      <c r="E205" s="343"/>
      <c r="F205" s="343"/>
      <c r="G205" s="343"/>
      <c r="H205" s="343"/>
      <c r="I205" s="343"/>
    </row>
    <row r="206" spans="3:9" x14ac:dyDescent="0.2">
      <c r="C206" s="343"/>
      <c r="D206" s="343"/>
      <c r="E206" s="343"/>
      <c r="F206" s="343"/>
      <c r="G206" s="343"/>
      <c r="H206" s="343"/>
      <c r="I206" s="343"/>
    </row>
    <row r="207" spans="3:9" x14ac:dyDescent="0.2">
      <c r="C207" s="343"/>
      <c r="D207" s="343"/>
      <c r="E207" s="343"/>
      <c r="F207" s="343"/>
      <c r="G207" s="343"/>
      <c r="H207" s="343"/>
      <c r="I207" s="343"/>
    </row>
    <row r="208" spans="3:9" x14ac:dyDescent="0.2">
      <c r="C208" s="343"/>
      <c r="D208" s="343"/>
      <c r="E208" s="343"/>
      <c r="F208" s="343"/>
      <c r="G208" s="343"/>
      <c r="H208" s="343"/>
      <c r="I208" s="343"/>
    </row>
    <row r="209" spans="3:9" x14ac:dyDescent="0.2">
      <c r="C209" s="343"/>
      <c r="D209" s="343"/>
      <c r="E209" s="343"/>
      <c r="F209" s="343"/>
      <c r="G209" s="343"/>
      <c r="H209" s="343"/>
      <c r="I209" s="343"/>
    </row>
    <row r="210" spans="3:9" x14ac:dyDescent="0.2">
      <c r="C210" s="343"/>
      <c r="D210" s="343"/>
      <c r="E210" s="343"/>
      <c r="F210" s="343"/>
      <c r="G210" s="343"/>
      <c r="H210" s="343"/>
      <c r="I210" s="343"/>
    </row>
    <row r="211" spans="3:9" x14ac:dyDescent="0.2">
      <c r="C211" s="343"/>
      <c r="D211" s="343"/>
      <c r="E211" s="343"/>
      <c r="F211" s="343"/>
      <c r="G211" s="343"/>
      <c r="H211" s="343"/>
      <c r="I211" s="343"/>
    </row>
    <row r="212" spans="3:9" x14ac:dyDescent="0.2">
      <c r="C212" s="343"/>
      <c r="D212" s="343"/>
      <c r="E212" s="343"/>
      <c r="F212" s="343"/>
      <c r="G212" s="343"/>
      <c r="H212" s="343"/>
      <c r="I212" s="343"/>
    </row>
    <row r="213" spans="3:9" x14ac:dyDescent="0.2">
      <c r="C213" s="343"/>
      <c r="D213" s="343"/>
      <c r="E213" s="343"/>
      <c r="F213" s="343"/>
      <c r="G213" s="343"/>
      <c r="H213" s="343"/>
      <c r="I213" s="343"/>
    </row>
    <row r="214" spans="3:9" x14ac:dyDescent="0.2">
      <c r="C214" s="343"/>
      <c r="D214" s="343"/>
      <c r="E214" s="343"/>
      <c r="F214" s="343"/>
      <c r="G214" s="343"/>
      <c r="H214" s="343"/>
      <c r="I214" s="343"/>
    </row>
    <row r="215" spans="3:9" x14ac:dyDescent="0.2">
      <c r="C215" s="343"/>
      <c r="D215" s="343"/>
      <c r="E215" s="343"/>
      <c r="F215" s="343"/>
      <c r="G215" s="343"/>
      <c r="H215" s="343"/>
      <c r="I215" s="343"/>
    </row>
    <row r="216" spans="3:9" x14ac:dyDescent="0.2">
      <c r="C216" s="343"/>
      <c r="D216" s="343"/>
      <c r="E216" s="343"/>
      <c r="F216" s="343"/>
      <c r="G216" s="343"/>
      <c r="H216" s="343"/>
      <c r="I216" s="343"/>
    </row>
    <row r="217" spans="3:9" x14ac:dyDescent="0.2">
      <c r="C217" s="343"/>
      <c r="D217" s="343"/>
      <c r="E217" s="343"/>
      <c r="F217" s="343"/>
      <c r="G217" s="343"/>
      <c r="H217" s="343"/>
      <c r="I217" s="343"/>
    </row>
    <row r="218" spans="3:9" x14ac:dyDescent="0.2">
      <c r="C218" s="343"/>
      <c r="D218" s="343"/>
      <c r="E218" s="343"/>
      <c r="F218" s="343"/>
      <c r="G218" s="343"/>
      <c r="H218" s="343"/>
      <c r="I218" s="343"/>
    </row>
    <row r="219" spans="3:9" x14ac:dyDescent="0.2">
      <c r="C219" s="343"/>
      <c r="D219" s="343"/>
      <c r="E219" s="343"/>
      <c r="F219" s="343"/>
      <c r="G219" s="343"/>
      <c r="H219" s="343"/>
      <c r="I219" s="343"/>
    </row>
    <row r="220" spans="3:9" x14ac:dyDescent="0.2">
      <c r="C220" s="343"/>
      <c r="D220" s="343"/>
      <c r="E220" s="343"/>
      <c r="F220" s="343"/>
      <c r="G220" s="343"/>
      <c r="H220" s="343"/>
      <c r="I220" s="343"/>
    </row>
    <row r="221" spans="3:9" x14ac:dyDescent="0.2">
      <c r="C221" s="343"/>
      <c r="D221" s="343"/>
      <c r="E221" s="343"/>
      <c r="F221" s="343"/>
      <c r="G221" s="343"/>
      <c r="H221" s="343"/>
      <c r="I221" s="343"/>
    </row>
    <row r="222" spans="3:9" x14ac:dyDescent="0.2">
      <c r="C222" s="343"/>
      <c r="D222" s="343"/>
      <c r="E222" s="343"/>
      <c r="F222" s="343"/>
      <c r="G222" s="343"/>
      <c r="H222" s="343"/>
      <c r="I222" s="343"/>
    </row>
    <row r="223" spans="3:9" x14ac:dyDescent="0.2">
      <c r="C223" s="343"/>
      <c r="D223" s="343"/>
      <c r="E223" s="343"/>
      <c r="F223" s="343"/>
      <c r="G223" s="343"/>
      <c r="H223" s="343"/>
      <c r="I223" s="343"/>
    </row>
    <row r="224" spans="3:9" x14ac:dyDescent="0.2">
      <c r="C224" s="343"/>
      <c r="D224" s="343"/>
      <c r="E224" s="343"/>
      <c r="F224" s="343"/>
      <c r="G224" s="343"/>
      <c r="H224" s="343"/>
      <c r="I224" s="343"/>
    </row>
    <row r="225" spans="3:9" x14ac:dyDescent="0.2">
      <c r="C225" s="343"/>
      <c r="D225" s="343"/>
      <c r="E225" s="343"/>
      <c r="F225" s="343"/>
      <c r="G225" s="343"/>
      <c r="H225" s="343"/>
      <c r="I225" s="343"/>
    </row>
    <row r="226" spans="3:9" x14ac:dyDescent="0.2">
      <c r="C226" s="343"/>
      <c r="D226" s="343"/>
      <c r="E226" s="343"/>
      <c r="F226" s="343"/>
      <c r="G226" s="343"/>
      <c r="H226" s="343"/>
      <c r="I226" s="343"/>
    </row>
    <row r="227" spans="3:9" x14ac:dyDescent="0.2">
      <c r="C227" s="343"/>
      <c r="D227" s="343"/>
      <c r="E227" s="343"/>
      <c r="F227" s="343"/>
      <c r="G227" s="343"/>
      <c r="H227" s="343"/>
      <c r="I227" s="343"/>
    </row>
    <row r="228" spans="3:9" x14ac:dyDescent="0.2">
      <c r="C228" s="343"/>
      <c r="D228" s="343"/>
      <c r="E228" s="343"/>
      <c r="F228" s="343"/>
      <c r="G228" s="343"/>
      <c r="H228" s="343"/>
      <c r="I228" s="343"/>
    </row>
    <row r="229" spans="3:9" x14ac:dyDescent="0.2">
      <c r="C229" s="343"/>
      <c r="D229" s="343"/>
      <c r="E229" s="343"/>
      <c r="F229" s="343"/>
      <c r="G229" s="343"/>
      <c r="H229" s="343"/>
      <c r="I229" s="343"/>
    </row>
    <row r="230" spans="3:9" x14ac:dyDescent="0.2">
      <c r="C230" s="343"/>
      <c r="D230" s="343"/>
      <c r="E230" s="343"/>
      <c r="F230" s="343"/>
      <c r="G230" s="343"/>
      <c r="H230" s="343"/>
      <c r="I230" s="343"/>
    </row>
    <row r="231" spans="3:9" x14ac:dyDescent="0.2">
      <c r="C231" s="343"/>
      <c r="D231" s="343"/>
      <c r="E231" s="343"/>
      <c r="F231" s="343"/>
      <c r="G231" s="343"/>
      <c r="H231" s="343"/>
      <c r="I231" s="343"/>
    </row>
    <row r="232" spans="3:9" x14ac:dyDescent="0.2">
      <c r="C232" s="343"/>
      <c r="D232" s="343"/>
      <c r="E232" s="343"/>
      <c r="F232" s="343"/>
      <c r="G232" s="343"/>
      <c r="H232" s="343"/>
      <c r="I232" s="343"/>
    </row>
    <row r="233" spans="3:9" x14ac:dyDescent="0.2">
      <c r="C233" s="343"/>
      <c r="D233" s="343"/>
      <c r="E233" s="343"/>
      <c r="F233" s="343"/>
      <c r="G233" s="343"/>
      <c r="H233" s="343"/>
      <c r="I233" s="343"/>
    </row>
    <row r="234" spans="3:9" x14ac:dyDescent="0.2">
      <c r="C234" s="343"/>
      <c r="D234" s="343"/>
      <c r="E234" s="343"/>
      <c r="F234" s="343"/>
      <c r="G234" s="343"/>
      <c r="H234" s="343"/>
      <c r="I234" s="343"/>
    </row>
    <row r="235" spans="3:9" x14ac:dyDescent="0.2">
      <c r="C235" s="343"/>
      <c r="D235" s="343"/>
      <c r="E235" s="343"/>
      <c r="F235" s="343"/>
      <c r="G235" s="343"/>
      <c r="H235" s="343"/>
      <c r="I235" s="343"/>
    </row>
    <row r="236" spans="3:9" x14ac:dyDescent="0.2">
      <c r="C236" s="343"/>
      <c r="D236" s="343"/>
      <c r="E236" s="343"/>
      <c r="F236" s="343"/>
      <c r="G236" s="343"/>
      <c r="H236" s="343"/>
      <c r="I236" s="343"/>
    </row>
    <row r="237" spans="3:9" x14ac:dyDescent="0.2">
      <c r="C237" s="343"/>
      <c r="D237" s="343"/>
      <c r="E237" s="343"/>
      <c r="F237" s="343"/>
      <c r="G237" s="343"/>
      <c r="H237" s="343"/>
      <c r="I237" s="343"/>
    </row>
    <row r="238" spans="3:9" x14ac:dyDescent="0.2">
      <c r="C238" s="343"/>
      <c r="D238" s="343"/>
      <c r="E238" s="343"/>
      <c r="F238" s="343"/>
      <c r="G238" s="343"/>
      <c r="H238" s="343"/>
      <c r="I238" s="343"/>
    </row>
    <row r="239" spans="3:9" x14ac:dyDescent="0.2">
      <c r="C239" s="343"/>
      <c r="D239" s="343"/>
      <c r="E239" s="343"/>
      <c r="F239" s="343"/>
      <c r="G239" s="343"/>
      <c r="H239" s="343"/>
      <c r="I239" s="343"/>
    </row>
    <row r="240" spans="3:9" x14ac:dyDescent="0.2">
      <c r="C240" s="343"/>
      <c r="D240" s="343"/>
      <c r="E240" s="343"/>
      <c r="F240" s="343"/>
      <c r="G240" s="343"/>
      <c r="H240" s="343"/>
      <c r="I240" s="343"/>
    </row>
    <row r="241" spans="3:9" x14ac:dyDescent="0.2">
      <c r="C241" s="343"/>
      <c r="D241" s="343"/>
      <c r="E241" s="343"/>
      <c r="F241" s="343"/>
      <c r="G241" s="343"/>
      <c r="H241" s="343"/>
      <c r="I241" s="343"/>
    </row>
    <row r="242" spans="3:9" x14ac:dyDescent="0.2">
      <c r="C242" s="343"/>
      <c r="D242" s="343"/>
      <c r="E242" s="343"/>
      <c r="F242" s="343"/>
      <c r="G242" s="343"/>
      <c r="H242" s="343"/>
      <c r="I242" s="343"/>
    </row>
    <row r="243" spans="3:9" x14ac:dyDescent="0.2">
      <c r="C243" s="343"/>
      <c r="D243" s="343"/>
      <c r="E243" s="343"/>
      <c r="F243" s="343"/>
      <c r="G243" s="343"/>
      <c r="H243" s="343"/>
      <c r="I243" s="343"/>
    </row>
    <row r="244" spans="3:9" x14ac:dyDescent="0.2">
      <c r="C244" s="343"/>
      <c r="D244" s="343"/>
      <c r="E244" s="343"/>
      <c r="F244" s="343"/>
      <c r="G244" s="343"/>
      <c r="H244" s="343"/>
      <c r="I244" s="343"/>
    </row>
    <row r="245" spans="3:9" x14ac:dyDescent="0.2">
      <c r="C245" s="343"/>
      <c r="D245" s="343"/>
      <c r="E245" s="343"/>
      <c r="F245" s="343"/>
      <c r="G245" s="343"/>
      <c r="H245" s="343"/>
      <c r="I245" s="343"/>
    </row>
    <row r="246" spans="3:9" x14ac:dyDescent="0.2">
      <c r="C246" s="343"/>
      <c r="D246" s="343"/>
      <c r="E246" s="343"/>
      <c r="F246" s="343"/>
      <c r="G246" s="343"/>
      <c r="H246" s="343"/>
      <c r="I246" s="343"/>
    </row>
    <row r="247" spans="3:9" x14ac:dyDescent="0.2">
      <c r="C247" s="343"/>
      <c r="D247" s="343"/>
      <c r="E247" s="343"/>
      <c r="F247" s="343"/>
      <c r="G247" s="343"/>
      <c r="H247" s="343"/>
      <c r="I247" s="343"/>
    </row>
    <row r="248" spans="3:9" x14ac:dyDescent="0.2">
      <c r="C248" s="343"/>
      <c r="D248" s="343"/>
      <c r="E248" s="343"/>
      <c r="F248" s="343"/>
      <c r="G248" s="343"/>
      <c r="H248" s="343"/>
      <c r="I248" s="343"/>
    </row>
    <row r="249" spans="3:9" x14ac:dyDescent="0.2">
      <c r="C249" s="343"/>
      <c r="D249" s="343"/>
      <c r="E249" s="343"/>
      <c r="F249" s="343"/>
      <c r="G249" s="343"/>
      <c r="H249" s="343"/>
      <c r="I249" s="343"/>
    </row>
    <row r="250" spans="3:9" x14ac:dyDescent="0.2">
      <c r="C250" s="343"/>
      <c r="D250" s="343"/>
      <c r="E250" s="343"/>
      <c r="F250" s="343"/>
      <c r="G250" s="343"/>
      <c r="H250" s="343"/>
      <c r="I250" s="343"/>
    </row>
    <row r="251" spans="3:9" x14ac:dyDescent="0.2">
      <c r="C251" s="343"/>
      <c r="D251" s="343"/>
      <c r="E251" s="343"/>
      <c r="F251" s="343"/>
      <c r="G251" s="343"/>
      <c r="H251" s="343"/>
      <c r="I251" s="343"/>
    </row>
    <row r="252" spans="3:9" x14ac:dyDescent="0.2">
      <c r="C252" s="343"/>
      <c r="D252" s="343"/>
      <c r="E252" s="343"/>
      <c r="F252" s="343"/>
      <c r="G252" s="343"/>
      <c r="H252" s="343"/>
      <c r="I252" s="343"/>
    </row>
    <row r="253" spans="3:9" x14ac:dyDescent="0.2">
      <c r="C253" s="343"/>
      <c r="D253" s="343"/>
      <c r="E253" s="343"/>
      <c r="F253" s="343"/>
      <c r="G253" s="343"/>
      <c r="H253" s="343"/>
      <c r="I253" s="343"/>
    </row>
    <row r="254" spans="3:9" x14ac:dyDescent="0.2">
      <c r="C254" s="343"/>
      <c r="D254" s="343"/>
      <c r="E254" s="343"/>
      <c r="F254" s="343"/>
      <c r="G254" s="343"/>
      <c r="H254" s="343"/>
      <c r="I254" s="343"/>
    </row>
    <row r="255" spans="3:9" x14ac:dyDescent="0.2">
      <c r="C255" s="343"/>
      <c r="D255" s="343"/>
      <c r="E255" s="343"/>
      <c r="F255" s="343"/>
      <c r="G255" s="343"/>
      <c r="H255" s="343"/>
      <c r="I255" s="343"/>
    </row>
    <row r="256" spans="3:9" x14ac:dyDescent="0.2">
      <c r="C256" s="343"/>
      <c r="D256" s="343"/>
      <c r="E256" s="343"/>
      <c r="F256" s="343"/>
      <c r="G256" s="343"/>
      <c r="H256" s="343"/>
      <c r="I256" s="343"/>
    </row>
    <row r="257" spans="3:9" x14ac:dyDescent="0.2">
      <c r="C257" s="343"/>
      <c r="D257" s="343"/>
      <c r="E257" s="343"/>
      <c r="F257" s="343"/>
      <c r="G257" s="343"/>
      <c r="H257" s="343"/>
      <c r="I257" s="343"/>
    </row>
    <row r="258" spans="3:9" x14ac:dyDescent="0.2">
      <c r="C258" s="343"/>
      <c r="D258" s="343"/>
      <c r="E258" s="343"/>
      <c r="F258" s="343"/>
      <c r="G258" s="343"/>
      <c r="H258" s="343"/>
      <c r="I258" s="343"/>
    </row>
    <row r="259" spans="3:9" x14ac:dyDescent="0.2">
      <c r="C259" s="343"/>
      <c r="D259" s="343"/>
      <c r="E259" s="343"/>
      <c r="F259" s="343"/>
      <c r="G259" s="343"/>
      <c r="H259" s="343"/>
      <c r="I259" s="343"/>
    </row>
    <row r="260" spans="3:9" x14ac:dyDescent="0.2">
      <c r="C260" s="343"/>
      <c r="D260" s="343"/>
      <c r="E260" s="343"/>
      <c r="F260" s="343"/>
      <c r="G260" s="343"/>
      <c r="H260" s="343"/>
      <c r="I260" s="343"/>
    </row>
    <row r="261" spans="3:9" x14ac:dyDescent="0.2">
      <c r="C261" s="343"/>
      <c r="D261" s="343"/>
      <c r="E261" s="343"/>
      <c r="F261" s="343"/>
      <c r="G261" s="343"/>
      <c r="H261" s="343"/>
      <c r="I261" s="343"/>
    </row>
    <row r="262" spans="3:9" x14ac:dyDescent="0.2">
      <c r="C262" s="343"/>
      <c r="D262" s="343"/>
      <c r="E262" s="343"/>
      <c r="F262" s="343"/>
      <c r="G262" s="343"/>
      <c r="H262" s="343"/>
      <c r="I262" s="343"/>
    </row>
    <row r="263" spans="3:9" x14ac:dyDescent="0.2">
      <c r="C263" s="343"/>
      <c r="D263" s="343"/>
      <c r="E263" s="343"/>
      <c r="F263" s="343"/>
      <c r="G263" s="343"/>
      <c r="H263" s="343"/>
      <c r="I263" s="343"/>
    </row>
    <row r="264" spans="3:9" x14ac:dyDescent="0.2">
      <c r="C264" s="343"/>
      <c r="D264" s="343"/>
      <c r="E264" s="343"/>
      <c r="F264" s="343"/>
      <c r="G264" s="343"/>
      <c r="H264" s="343"/>
      <c r="I264" s="343"/>
    </row>
    <row r="265" spans="3:9" x14ac:dyDescent="0.2">
      <c r="C265" s="343"/>
      <c r="D265" s="343"/>
      <c r="E265" s="343"/>
      <c r="F265" s="343"/>
      <c r="G265" s="343"/>
      <c r="H265" s="343"/>
      <c r="I265" s="343"/>
    </row>
    <row r="266" spans="3:9" x14ac:dyDescent="0.2">
      <c r="C266" s="343"/>
      <c r="D266" s="343"/>
      <c r="E266" s="343"/>
      <c r="F266" s="343"/>
      <c r="G266" s="343"/>
      <c r="H266" s="343"/>
      <c r="I266" s="343"/>
    </row>
    <row r="267" spans="3:9" x14ac:dyDescent="0.2">
      <c r="C267" s="343"/>
      <c r="D267" s="343"/>
      <c r="E267" s="343"/>
      <c r="F267" s="343"/>
      <c r="G267" s="343"/>
      <c r="H267" s="343"/>
      <c r="I267" s="343"/>
    </row>
    <row r="268" spans="3:9" x14ac:dyDescent="0.2">
      <c r="C268" s="343"/>
      <c r="D268" s="343"/>
      <c r="E268" s="343"/>
      <c r="F268" s="343"/>
      <c r="G268" s="343"/>
      <c r="H268" s="343"/>
      <c r="I268" s="343"/>
    </row>
    <row r="269" spans="3:9" x14ac:dyDescent="0.2">
      <c r="C269" s="343"/>
      <c r="D269" s="343"/>
      <c r="E269" s="343"/>
      <c r="F269" s="343"/>
      <c r="G269" s="343"/>
      <c r="H269" s="343"/>
      <c r="I269" s="343"/>
    </row>
    <row r="270" spans="3:9" x14ac:dyDescent="0.2">
      <c r="C270" s="343"/>
      <c r="D270" s="343"/>
      <c r="E270" s="343"/>
      <c r="F270" s="343"/>
      <c r="G270" s="343"/>
      <c r="H270" s="343"/>
      <c r="I270" s="343"/>
    </row>
    <row r="271" spans="3:9" x14ac:dyDescent="0.2">
      <c r="C271" s="343"/>
      <c r="D271" s="343"/>
      <c r="E271" s="343"/>
      <c r="F271" s="343"/>
      <c r="G271" s="343"/>
      <c r="H271" s="343"/>
      <c r="I271" s="343"/>
    </row>
    <row r="272" spans="3:9" x14ac:dyDescent="0.2">
      <c r="C272" s="343"/>
      <c r="D272" s="343"/>
      <c r="E272" s="343"/>
      <c r="F272" s="343"/>
      <c r="G272" s="343"/>
      <c r="H272" s="343"/>
      <c r="I272" s="343"/>
    </row>
    <row r="273" spans="3:9" x14ac:dyDescent="0.2">
      <c r="C273" s="343"/>
      <c r="D273" s="343"/>
      <c r="E273" s="343"/>
      <c r="F273" s="343"/>
      <c r="G273" s="343"/>
      <c r="H273" s="343"/>
      <c r="I273" s="343"/>
    </row>
    <row r="274" spans="3:9" x14ac:dyDescent="0.2">
      <c r="C274" s="343"/>
      <c r="D274" s="343"/>
      <c r="E274" s="343"/>
      <c r="F274" s="343"/>
      <c r="G274" s="343"/>
      <c r="H274" s="343"/>
      <c r="I274" s="343"/>
    </row>
    <row r="275" spans="3:9" x14ac:dyDescent="0.2">
      <c r="C275" s="343"/>
      <c r="D275" s="343"/>
      <c r="E275" s="343"/>
      <c r="F275" s="343"/>
      <c r="G275" s="343"/>
      <c r="H275" s="343"/>
      <c r="I275" s="343"/>
    </row>
    <row r="276" spans="3:9" x14ac:dyDescent="0.2">
      <c r="C276" s="343"/>
      <c r="D276" s="343"/>
      <c r="E276" s="343"/>
      <c r="F276" s="343"/>
      <c r="G276" s="343"/>
      <c r="H276" s="343"/>
      <c r="I276" s="343"/>
    </row>
    <row r="277" spans="3:9" x14ac:dyDescent="0.2">
      <c r="C277" s="343"/>
      <c r="D277" s="343"/>
      <c r="E277" s="343"/>
      <c r="F277" s="343"/>
      <c r="G277" s="343"/>
      <c r="H277" s="343"/>
      <c r="I277" s="343"/>
    </row>
    <row r="278" spans="3:9" x14ac:dyDescent="0.2">
      <c r="C278" s="343"/>
      <c r="D278" s="343"/>
      <c r="E278" s="343"/>
      <c r="F278" s="343"/>
      <c r="G278" s="343"/>
      <c r="H278" s="343"/>
      <c r="I278" s="343"/>
    </row>
    <row r="279" spans="3:9" x14ac:dyDescent="0.2">
      <c r="C279" s="343"/>
      <c r="D279" s="343"/>
      <c r="E279" s="343"/>
      <c r="F279" s="343"/>
      <c r="G279" s="343"/>
      <c r="H279" s="343"/>
      <c r="I279" s="343"/>
    </row>
    <row r="280" spans="3:9" x14ac:dyDescent="0.2">
      <c r="C280" s="343"/>
      <c r="D280" s="343"/>
      <c r="E280" s="343"/>
      <c r="F280" s="343"/>
      <c r="G280" s="343"/>
      <c r="H280" s="343"/>
      <c r="I280" s="343"/>
    </row>
    <row r="281" spans="3:9" x14ac:dyDescent="0.2">
      <c r="C281" s="343"/>
      <c r="D281" s="343"/>
      <c r="E281" s="343"/>
      <c r="F281" s="343"/>
      <c r="G281" s="343"/>
      <c r="H281" s="343"/>
      <c r="I281" s="343"/>
    </row>
    <row r="282" spans="3:9" x14ac:dyDescent="0.2">
      <c r="C282" s="343"/>
      <c r="D282" s="343"/>
      <c r="E282" s="343"/>
      <c r="F282" s="343"/>
      <c r="G282" s="343"/>
      <c r="H282" s="343"/>
      <c r="I282" s="343"/>
    </row>
    <row r="283" spans="3:9" x14ac:dyDescent="0.2">
      <c r="C283" s="343"/>
      <c r="D283" s="343"/>
      <c r="E283" s="343"/>
      <c r="F283" s="343"/>
      <c r="G283" s="343"/>
      <c r="H283" s="343"/>
      <c r="I283" s="343"/>
    </row>
    <row r="284" spans="3:9" x14ac:dyDescent="0.2">
      <c r="C284" s="343"/>
      <c r="D284" s="343"/>
      <c r="E284" s="343"/>
      <c r="F284" s="343"/>
      <c r="G284" s="343"/>
      <c r="H284" s="343"/>
      <c r="I284" s="343"/>
    </row>
    <row r="285" spans="3:9" x14ac:dyDescent="0.2">
      <c r="C285" s="343"/>
      <c r="D285" s="343"/>
      <c r="E285" s="343"/>
      <c r="F285" s="343"/>
      <c r="G285" s="343"/>
      <c r="H285" s="343"/>
      <c r="I285" s="343"/>
    </row>
    <row r="286" spans="3:9" x14ac:dyDescent="0.2">
      <c r="C286" s="343"/>
      <c r="D286" s="343"/>
      <c r="E286" s="343"/>
      <c r="F286" s="343"/>
      <c r="G286" s="343"/>
      <c r="H286" s="343"/>
      <c r="I286" s="343"/>
    </row>
    <row r="287" spans="3:9" x14ac:dyDescent="0.2">
      <c r="C287" s="343"/>
      <c r="D287" s="343"/>
      <c r="E287" s="343"/>
      <c r="F287" s="343"/>
      <c r="G287" s="343"/>
      <c r="H287" s="343"/>
      <c r="I287" s="343"/>
    </row>
    <row r="288" spans="3:9" x14ac:dyDescent="0.2">
      <c r="C288" s="343"/>
      <c r="D288" s="343"/>
      <c r="E288" s="343"/>
      <c r="F288" s="343"/>
      <c r="G288" s="343"/>
      <c r="H288" s="343"/>
      <c r="I288" s="343"/>
    </row>
    <row r="289" spans="3:9" x14ac:dyDescent="0.2">
      <c r="C289" s="343"/>
      <c r="D289" s="343"/>
      <c r="E289" s="343"/>
      <c r="F289" s="343"/>
      <c r="G289" s="343"/>
      <c r="H289" s="343"/>
      <c r="I289" s="343"/>
    </row>
    <row r="290" spans="3:9" x14ac:dyDescent="0.2">
      <c r="C290" s="343"/>
      <c r="D290" s="343"/>
      <c r="E290" s="343"/>
      <c r="F290" s="343"/>
      <c r="G290" s="343"/>
      <c r="H290" s="343"/>
      <c r="I290" s="343"/>
    </row>
    <row r="291" spans="3:9" x14ac:dyDescent="0.2">
      <c r="C291" s="343"/>
      <c r="D291" s="343"/>
      <c r="E291" s="343"/>
      <c r="F291" s="343"/>
      <c r="G291" s="343"/>
      <c r="H291" s="343"/>
      <c r="I291" s="343"/>
    </row>
    <row r="292" spans="3:9" x14ac:dyDescent="0.2">
      <c r="C292" s="343"/>
      <c r="D292" s="343"/>
      <c r="E292" s="343"/>
      <c r="F292" s="343"/>
      <c r="G292" s="343"/>
      <c r="H292" s="343"/>
      <c r="I292" s="343"/>
    </row>
    <row r="293" spans="3:9" x14ac:dyDescent="0.2">
      <c r="C293" s="343"/>
      <c r="D293" s="343"/>
      <c r="E293" s="343"/>
      <c r="F293" s="343"/>
      <c r="G293" s="343"/>
      <c r="H293" s="343"/>
      <c r="I293" s="343"/>
    </row>
    <row r="294" spans="3:9" x14ac:dyDescent="0.2">
      <c r="C294" s="343"/>
      <c r="D294" s="343"/>
      <c r="E294" s="343"/>
      <c r="F294" s="343"/>
      <c r="G294" s="343"/>
      <c r="H294" s="343"/>
      <c r="I294" s="343"/>
    </row>
    <row r="295" spans="3:9" x14ac:dyDescent="0.2">
      <c r="C295" s="343"/>
      <c r="D295" s="343"/>
      <c r="E295" s="343"/>
      <c r="F295" s="343"/>
      <c r="G295" s="343"/>
      <c r="H295" s="343"/>
      <c r="I295" s="343"/>
    </row>
    <row r="296" spans="3:9" x14ac:dyDescent="0.2">
      <c r="C296" s="343"/>
      <c r="D296" s="343"/>
      <c r="E296" s="343"/>
      <c r="F296" s="343"/>
      <c r="G296" s="343"/>
      <c r="H296" s="343"/>
      <c r="I296" s="343"/>
    </row>
    <row r="297" spans="3:9" x14ac:dyDescent="0.2">
      <c r="C297" s="343"/>
      <c r="D297" s="343"/>
      <c r="E297" s="343"/>
      <c r="F297" s="343"/>
      <c r="G297" s="343"/>
      <c r="H297" s="343"/>
      <c r="I297" s="343"/>
    </row>
    <row r="298" spans="3:9" x14ac:dyDescent="0.2">
      <c r="C298" s="343"/>
      <c r="D298" s="343"/>
      <c r="E298" s="343"/>
      <c r="F298" s="343"/>
      <c r="G298" s="343"/>
      <c r="H298" s="343"/>
      <c r="I298" s="343"/>
    </row>
    <row r="299" spans="3:9" x14ac:dyDescent="0.2">
      <c r="C299" s="343"/>
      <c r="D299" s="343"/>
      <c r="E299" s="343"/>
      <c r="F299" s="343"/>
      <c r="G299" s="343"/>
      <c r="H299" s="343"/>
      <c r="I299" s="343"/>
    </row>
    <row r="300" spans="3:9" x14ac:dyDescent="0.2">
      <c r="C300" s="343"/>
      <c r="D300" s="343"/>
      <c r="E300" s="343"/>
      <c r="F300" s="343"/>
      <c r="G300" s="343"/>
      <c r="H300" s="343"/>
      <c r="I300" s="343"/>
    </row>
    <row r="301" spans="3:9" x14ac:dyDescent="0.2">
      <c r="C301" s="343"/>
      <c r="D301" s="343"/>
      <c r="E301" s="343"/>
      <c r="F301" s="343"/>
      <c r="G301" s="343"/>
      <c r="H301" s="343"/>
      <c r="I301" s="343"/>
    </row>
    <row r="302" spans="3:9" x14ac:dyDescent="0.2">
      <c r="C302" s="343"/>
      <c r="D302" s="343"/>
      <c r="E302" s="343"/>
      <c r="F302" s="343"/>
      <c r="G302" s="343"/>
      <c r="H302" s="343"/>
      <c r="I302" s="343"/>
    </row>
    <row r="303" spans="3:9" x14ac:dyDescent="0.2">
      <c r="C303" s="343"/>
      <c r="D303" s="343"/>
      <c r="E303" s="343"/>
      <c r="F303" s="343"/>
      <c r="G303" s="343"/>
      <c r="H303" s="343"/>
      <c r="I303" s="343"/>
    </row>
    <row r="304" spans="3:9" x14ac:dyDescent="0.2">
      <c r="C304" s="343"/>
      <c r="D304" s="343"/>
      <c r="E304" s="343"/>
      <c r="F304" s="343"/>
      <c r="G304" s="343"/>
      <c r="H304" s="343"/>
      <c r="I304" s="343"/>
    </row>
    <row r="305" spans="3:9" x14ac:dyDescent="0.2">
      <c r="C305" s="343"/>
      <c r="D305" s="343"/>
      <c r="E305" s="343"/>
      <c r="F305" s="343"/>
      <c r="G305" s="343"/>
      <c r="H305" s="343"/>
      <c r="I305" s="343"/>
    </row>
  </sheetData>
  <pageMargins left="0" right="0.39370078740157483" top="1.8503937007874016" bottom="0.59055118110236227" header="1.1417322834645669" footer="0.11811023622047245"/>
  <pageSetup paperSize="9" orientation="landscape" r:id="rId1"/>
  <headerFooter alignWithMargins="0">
    <oddHeader>&amp;L&amp;D&amp;C&amp;"Arial,מודגש"מינהל תרבות
&amp;11תקציב על שינויו 2016-2019 
 בש"ח בהתאם להחלטת ועדת התמיכות&amp;R&amp;"Arial,מודגש"&amp;14תקנה 42-02-21- אופרות</oddHeader>
    <oddFooter>&amp;L&amp;F&amp;C&amp;P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A1:T100"/>
  <sheetViews>
    <sheetView rightToLeft="1" zoomScale="90" zoomScaleNormal="90" workbookViewId="0">
      <pane xSplit="2" ySplit="2" topLeftCell="C36" activePane="bottomRight" state="frozen"/>
      <selection activeCell="S19" sqref="S19"/>
      <selection pane="topRight" activeCell="S19" sqref="S19"/>
      <selection pane="bottomLeft" activeCell="S19" sqref="S19"/>
      <selection pane="bottomRight" activeCell="S1" sqref="S1:T1048576"/>
    </sheetView>
  </sheetViews>
  <sheetFormatPr defaultColWidth="6.7109375" defaultRowHeight="12.75" x14ac:dyDescent="0.2"/>
  <cols>
    <col min="1" max="1" width="12.85546875" style="163" customWidth="1"/>
    <col min="2" max="2" width="31.85546875" style="343" customWidth="1"/>
    <col min="3" max="3" width="0.42578125" style="344" customWidth="1"/>
    <col min="4" max="4" width="12.7109375" style="163" bestFit="1" customWidth="1"/>
    <col min="5" max="5" width="12.140625" style="163" customWidth="1"/>
    <col min="6" max="6" width="13" style="163" customWidth="1"/>
    <col min="7" max="7" width="0.42578125" style="344" customWidth="1"/>
    <col min="8" max="8" width="12.7109375" style="163" bestFit="1" customWidth="1"/>
    <col min="9" max="9" width="12.140625" style="163" customWidth="1"/>
    <col min="10" max="10" width="13" style="163" customWidth="1"/>
    <col min="11" max="11" width="0.42578125" style="344" customWidth="1"/>
    <col min="12" max="12" width="12.7109375" style="163" bestFit="1" customWidth="1"/>
    <col min="13" max="13" width="12.140625" style="163" customWidth="1"/>
    <col min="14" max="14" width="13" style="163" customWidth="1"/>
    <col min="15" max="15" width="0.42578125" style="344" customWidth="1"/>
    <col min="16" max="16" width="12.7109375" style="163" bestFit="1" customWidth="1"/>
    <col min="17" max="17" width="12.140625" style="163" customWidth="1"/>
    <col min="18" max="18" width="13" style="163" customWidth="1"/>
    <col min="19" max="19" width="10.85546875" style="482" hidden="1" customWidth="1"/>
    <col min="20" max="20" width="11" style="482" hidden="1" customWidth="1"/>
    <col min="21" max="215" width="9.140625" style="163" customWidth="1"/>
    <col min="216" max="249" width="6.7109375" style="163"/>
    <col min="250" max="250" width="12.5703125" style="163" customWidth="1"/>
    <col min="251" max="251" width="31.85546875" style="163" customWidth="1"/>
    <col min="252" max="252" width="0.42578125" style="163" customWidth="1"/>
    <col min="253" max="253" width="12.7109375" style="163" bestFit="1" customWidth="1"/>
    <col min="254" max="254" width="12.140625" style="163" customWidth="1"/>
    <col min="255" max="255" width="10.140625" style="163" customWidth="1"/>
    <col min="256" max="257" width="13" style="163" customWidth="1"/>
    <col min="258" max="258" width="0.42578125" style="163" customWidth="1"/>
    <col min="259" max="259" width="12.7109375" style="163" bestFit="1" customWidth="1"/>
    <col min="260" max="260" width="12.140625" style="163" customWidth="1"/>
    <col min="261" max="261" width="10.140625" style="163" customWidth="1"/>
    <col min="262" max="262" width="13" style="163" customWidth="1"/>
    <col min="263" max="263" width="0.42578125" style="163" customWidth="1"/>
    <col min="264" max="264" width="12.7109375" style="163" bestFit="1" customWidth="1"/>
    <col min="265" max="265" width="12.140625" style="163" customWidth="1"/>
    <col min="266" max="266" width="10.140625" style="163" customWidth="1"/>
    <col min="267" max="268" width="13" style="163" customWidth="1"/>
    <col min="269" max="269" width="0.42578125" style="163" customWidth="1"/>
    <col min="270" max="270" width="12.7109375" style="163" bestFit="1" customWidth="1"/>
    <col min="271" max="271" width="12.140625" style="163" customWidth="1"/>
    <col min="272" max="272" width="10.140625" style="163" customWidth="1"/>
    <col min="273" max="274" width="13" style="163" customWidth="1"/>
    <col min="275" max="275" width="8.28515625" style="163" customWidth="1"/>
    <col min="276" max="276" width="11" style="163" customWidth="1"/>
    <col min="277" max="471" width="9.140625" style="163" customWidth="1"/>
    <col min="472" max="505" width="6.7109375" style="163"/>
    <col min="506" max="506" width="12.5703125" style="163" customWidth="1"/>
    <col min="507" max="507" width="31.85546875" style="163" customWidth="1"/>
    <col min="508" max="508" width="0.42578125" style="163" customWidth="1"/>
    <col min="509" max="509" width="12.7109375" style="163" bestFit="1" customWidth="1"/>
    <col min="510" max="510" width="12.140625" style="163" customWidth="1"/>
    <col min="511" max="511" width="10.140625" style="163" customWidth="1"/>
    <col min="512" max="513" width="13" style="163" customWidth="1"/>
    <col min="514" max="514" width="0.42578125" style="163" customWidth="1"/>
    <col min="515" max="515" width="12.7109375" style="163" bestFit="1" customWidth="1"/>
    <col min="516" max="516" width="12.140625" style="163" customWidth="1"/>
    <col min="517" max="517" width="10.140625" style="163" customWidth="1"/>
    <col min="518" max="518" width="13" style="163" customWidth="1"/>
    <col min="519" max="519" width="0.42578125" style="163" customWidth="1"/>
    <col min="520" max="520" width="12.7109375" style="163" bestFit="1" customWidth="1"/>
    <col min="521" max="521" width="12.140625" style="163" customWidth="1"/>
    <col min="522" max="522" width="10.140625" style="163" customWidth="1"/>
    <col min="523" max="524" width="13" style="163" customWidth="1"/>
    <col min="525" max="525" width="0.42578125" style="163" customWidth="1"/>
    <col min="526" max="526" width="12.7109375" style="163" bestFit="1" customWidth="1"/>
    <col min="527" max="527" width="12.140625" style="163" customWidth="1"/>
    <col min="528" max="528" width="10.140625" style="163" customWidth="1"/>
    <col min="529" max="530" width="13" style="163" customWidth="1"/>
    <col min="531" max="531" width="8.28515625" style="163" customWidth="1"/>
    <col min="532" max="532" width="11" style="163" customWidth="1"/>
    <col min="533" max="727" width="9.140625" style="163" customWidth="1"/>
    <col min="728" max="761" width="6.7109375" style="163"/>
    <col min="762" max="762" width="12.5703125" style="163" customWidth="1"/>
    <col min="763" max="763" width="31.85546875" style="163" customWidth="1"/>
    <col min="764" max="764" width="0.42578125" style="163" customWidth="1"/>
    <col min="765" max="765" width="12.7109375" style="163" bestFit="1" customWidth="1"/>
    <col min="766" max="766" width="12.140625" style="163" customWidth="1"/>
    <col min="767" max="767" width="10.140625" style="163" customWidth="1"/>
    <col min="768" max="769" width="13" style="163" customWidth="1"/>
    <col min="770" max="770" width="0.42578125" style="163" customWidth="1"/>
    <col min="771" max="771" width="12.7109375" style="163" bestFit="1" customWidth="1"/>
    <col min="772" max="772" width="12.140625" style="163" customWidth="1"/>
    <col min="773" max="773" width="10.140625" style="163" customWidth="1"/>
    <col min="774" max="774" width="13" style="163" customWidth="1"/>
    <col min="775" max="775" width="0.42578125" style="163" customWidth="1"/>
    <col min="776" max="776" width="12.7109375" style="163" bestFit="1" customWidth="1"/>
    <col min="777" max="777" width="12.140625" style="163" customWidth="1"/>
    <col min="778" max="778" width="10.140625" style="163" customWidth="1"/>
    <col min="779" max="780" width="13" style="163" customWidth="1"/>
    <col min="781" max="781" width="0.42578125" style="163" customWidth="1"/>
    <col min="782" max="782" width="12.7109375" style="163" bestFit="1" customWidth="1"/>
    <col min="783" max="783" width="12.140625" style="163" customWidth="1"/>
    <col min="784" max="784" width="10.140625" style="163" customWidth="1"/>
    <col min="785" max="786" width="13" style="163" customWidth="1"/>
    <col min="787" max="787" width="8.28515625" style="163" customWidth="1"/>
    <col min="788" max="788" width="11" style="163" customWidth="1"/>
    <col min="789" max="983" width="9.140625" style="163" customWidth="1"/>
    <col min="984" max="1017" width="6.7109375" style="163"/>
    <col min="1018" max="1018" width="12.5703125" style="163" customWidth="1"/>
    <col min="1019" max="1019" width="31.85546875" style="163" customWidth="1"/>
    <col min="1020" max="1020" width="0.42578125" style="163" customWidth="1"/>
    <col min="1021" max="1021" width="12.7109375" style="163" bestFit="1" customWidth="1"/>
    <col min="1022" max="1022" width="12.140625" style="163" customWidth="1"/>
    <col min="1023" max="1023" width="10.140625" style="163" customWidth="1"/>
    <col min="1024" max="1025" width="13" style="163" customWidth="1"/>
    <col min="1026" max="1026" width="0.42578125" style="163" customWidth="1"/>
    <col min="1027" max="1027" width="12.7109375" style="163" bestFit="1" customWidth="1"/>
    <col min="1028" max="1028" width="12.140625" style="163" customWidth="1"/>
    <col min="1029" max="1029" width="10.140625" style="163" customWidth="1"/>
    <col min="1030" max="1030" width="13" style="163" customWidth="1"/>
    <col min="1031" max="1031" width="0.42578125" style="163" customWidth="1"/>
    <col min="1032" max="1032" width="12.7109375" style="163" bestFit="1" customWidth="1"/>
    <col min="1033" max="1033" width="12.140625" style="163" customWidth="1"/>
    <col min="1034" max="1034" width="10.140625" style="163" customWidth="1"/>
    <col min="1035" max="1036" width="13" style="163" customWidth="1"/>
    <col min="1037" max="1037" width="0.42578125" style="163" customWidth="1"/>
    <col min="1038" max="1038" width="12.7109375" style="163" bestFit="1" customWidth="1"/>
    <col min="1039" max="1039" width="12.140625" style="163" customWidth="1"/>
    <col min="1040" max="1040" width="10.140625" style="163" customWidth="1"/>
    <col min="1041" max="1042" width="13" style="163" customWidth="1"/>
    <col min="1043" max="1043" width="8.28515625" style="163" customWidth="1"/>
    <col min="1044" max="1044" width="11" style="163" customWidth="1"/>
    <col min="1045" max="1239" width="9.140625" style="163" customWidth="1"/>
    <col min="1240" max="1273" width="6.7109375" style="163"/>
    <col min="1274" max="1274" width="12.5703125" style="163" customWidth="1"/>
    <col min="1275" max="1275" width="31.85546875" style="163" customWidth="1"/>
    <col min="1276" max="1276" width="0.42578125" style="163" customWidth="1"/>
    <col min="1277" max="1277" width="12.7109375" style="163" bestFit="1" customWidth="1"/>
    <col min="1278" max="1278" width="12.140625" style="163" customWidth="1"/>
    <col min="1279" max="1279" width="10.140625" style="163" customWidth="1"/>
    <col min="1280" max="1281" width="13" style="163" customWidth="1"/>
    <col min="1282" max="1282" width="0.42578125" style="163" customWidth="1"/>
    <col min="1283" max="1283" width="12.7109375" style="163" bestFit="1" customWidth="1"/>
    <col min="1284" max="1284" width="12.140625" style="163" customWidth="1"/>
    <col min="1285" max="1285" width="10.140625" style="163" customWidth="1"/>
    <col min="1286" max="1286" width="13" style="163" customWidth="1"/>
    <col min="1287" max="1287" width="0.42578125" style="163" customWidth="1"/>
    <col min="1288" max="1288" width="12.7109375" style="163" bestFit="1" customWidth="1"/>
    <col min="1289" max="1289" width="12.140625" style="163" customWidth="1"/>
    <col min="1290" max="1290" width="10.140625" style="163" customWidth="1"/>
    <col min="1291" max="1292" width="13" style="163" customWidth="1"/>
    <col min="1293" max="1293" width="0.42578125" style="163" customWidth="1"/>
    <col min="1294" max="1294" width="12.7109375" style="163" bestFit="1" customWidth="1"/>
    <col min="1295" max="1295" width="12.140625" style="163" customWidth="1"/>
    <col min="1296" max="1296" width="10.140625" style="163" customWidth="1"/>
    <col min="1297" max="1298" width="13" style="163" customWidth="1"/>
    <col min="1299" max="1299" width="8.28515625" style="163" customWidth="1"/>
    <col min="1300" max="1300" width="11" style="163" customWidth="1"/>
    <col min="1301" max="1495" width="9.140625" style="163" customWidth="1"/>
    <col min="1496" max="1529" width="6.7109375" style="163"/>
    <col min="1530" max="1530" width="12.5703125" style="163" customWidth="1"/>
    <col min="1531" max="1531" width="31.85546875" style="163" customWidth="1"/>
    <col min="1532" max="1532" width="0.42578125" style="163" customWidth="1"/>
    <col min="1533" max="1533" width="12.7109375" style="163" bestFit="1" customWidth="1"/>
    <col min="1534" max="1534" width="12.140625" style="163" customWidth="1"/>
    <col min="1535" max="1535" width="10.140625" style="163" customWidth="1"/>
    <col min="1536" max="1537" width="13" style="163" customWidth="1"/>
    <col min="1538" max="1538" width="0.42578125" style="163" customWidth="1"/>
    <col min="1539" max="1539" width="12.7109375" style="163" bestFit="1" customWidth="1"/>
    <col min="1540" max="1540" width="12.140625" style="163" customWidth="1"/>
    <col min="1541" max="1541" width="10.140625" style="163" customWidth="1"/>
    <col min="1542" max="1542" width="13" style="163" customWidth="1"/>
    <col min="1543" max="1543" width="0.42578125" style="163" customWidth="1"/>
    <col min="1544" max="1544" width="12.7109375" style="163" bestFit="1" customWidth="1"/>
    <col min="1545" max="1545" width="12.140625" style="163" customWidth="1"/>
    <col min="1546" max="1546" width="10.140625" style="163" customWidth="1"/>
    <col min="1547" max="1548" width="13" style="163" customWidth="1"/>
    <col min="1549" max="1549" width="0.42578125" style="163" customWidth="1"/>
    <col min="1550" max="1550" width="12.7109375" style="163" bestFit="1" customWidth="1"/>
    <col min="1551" max="1551" width="12.140625" style="163" customWidth="1"/>
    <col min="1552" max="1552" width="10.140625" style="163" customWidth="1"/>
    <col min="1553" max="1554" width="13" style="163" customWidth="1"/>
    <col min="1555" max="1555" width="8.28515625" style="163" customWidth="1"/>
    <col min="1556" max="1556" width="11" style="163" customWidth="1"/>
    <col min="1557" max="1751" width="9.140625" style="163" customWidth="1"/>
    <col min="1752" max="1785" width="6.7109375" style="163"/>
    <col min="1786" max="1786" width="12.5703125" style="163" customWidth="1"/>
    <col min="1787" max="1787" width="31.85546875" style="163" customWidth="1"/>
    <col min="1788" max="1788" width="0.42578125" style="163" customWidth="1"/>
    <col min="1789" max="1789" width="12.7109375" style="163" bestFit="1" customWidth="1"/>
    <col min="1790" max="1790" width="12.140625" style="163" customWidth="1"/>
    <col min="1791" max="1791" width="10.140625" style="163" customWidth="1"/>
    <col min="1792" max="1793" width="13" style="163" customWidth="1"/>
    <col min="1794" max="1794" width="0.42578125" style="163" customWidth="1"/>
    <col min="1795" max="1795" width="12.7109375" style="163" bestFit="1" customWidth="1"/>
    <col min="1796" max="1796" width="12.140625" style="163" customWidth="1"/>
    <col min="1797" max="1797" width="10.140625" style="163" customWidth="1"/>
    <col min="1798" max="1798" width="13" style="163" customWidth="1"/>
    <col min="1799" max="1799" width="0.42578125" style="163" customWidth="1"/>
    <col min="1800" max="1800" width="12.7109375" style="163" bestFit="1" customWidth="1"/>
    <col min="1801" max="1801" width="12.140625" style="163" customWidth="1"/>
    <col min="1802" max="1802" width="10.140625" style="163" customWidth="1"/>
    <col min="1803" max="1804" width="13" style="163" customWidth="1"/>
    <col min="1805" max="1805" width="0.42578125" style="163" customWidth="1"/>
    <col min="1806" max="1806" width="12.7109375" style="163" bestFit="1" customWidth="1"/>
    <col min="1807" max="1807" width="12.140625" style="163" customWidth="1"/>
    <col min="1808" max="1808" width="10.140625" style="163" customWidth="1"/>
    <col min="1809" max="1810" width="13" style="163" customWidth="1"/>
    <col min="1811" max="1811" width="8.28515625" style="163" customWidth="1"/>
    <col min="1812" max="1812" width="11" style="163" customWidth="1"/>
    <col min="1813" max="2007" width="9.140625" style="163" customWidth="1"/>
    <col min="2008" max="2041" width="6.7109375" style="163"/>
    <col min="2042" max="2042" width="12.5703125" style="163" customWidth="1"/>
    <col min="2043" max="2043" width="31.85546875" style="163" customWidth="1"/>
    <col min="2044" max="2044" width="0.42578125" style="163" customWidth="1"/>
    <col min="2045" max="2045" width="12.7109375" style="163" bestFit="1" customWidth="1"/>
    <col min="2046" max="2046" width="12.140625" style="163" customWidth="1"/>
    <col min="2047" max="2047" width="10.140625" style="163" customWidth="1"/>
    <col min="2048" max="2049" width="13" style="163" customWidth="1"/>
    <col min="2050" max="2050" width="0.42578125" style="163" customWidth="1"/>
    <col min="2051" max="2051" width="12.7109375" style="163" bestFit="1" customWidth="1"/>
    <col min="2052" max="2052" width="12.140625" style="163" customWidth="1"/>
    <col min="2053" max="2053" width="10.140625" style="163" customWidth="1"/>
    <col min="2054" max="2054" width="13" style="163" customWidth="1"/>
    <col min="2055" max="2055" width="0.42578125" style="163" customWidth="1"/>
    <col min="2056" max="2056" width="12.7109375" style="163" bestFit="1" customWidth="1"/>
    <col min="2057" max="2057" width="12.140625" style="163" customWidth="1"/>
    <col min="2058" max="2058" width="10.140625" style="163" customWidth="1"/>
    <col min="2059" max="2060" width="13" style="163" customWidth="1"/>
    <col min="2061" max="2061" width="0.42578125" style="163" customWidth="1"/>
    <col min="2062" max="2062" width="12.7109375" style="163" bestFit="1" customWidth="1"/>
    <col min="2063" max="2063" width="12.140625" style="163" customWidth="1"/>
    <col min="2064" max="2064" width="10.140625" style="163" customWidth="1"/>
    <col min="2065" max="2066" width="13" style="163" customWidth="1"/>
    <col min="2067" max="2067" width="8.28515625" style="163" customWidth="1"/>
    <col min="2068" max="2068" width="11" style="163" customWidth="1"/>
    <col min="2069" max="2263" width="9.140625" style="163" customWidth="1"/>
    <col min="2264" max="2297" width="6.7109375" style="163"/>
    <col min="2298" max="2298" width="12.5703125" style="163" customWidth="1"/>
    <col min="2299" max="2299" width="31.85546875" style="163" customWidth="1"/>
    <col min="2300" max="2300" width="0.42578125" style="163" customWidth="1"/>
    <col min="2301" max="2301" width="12.7109375" style="163" bestFit="1" customWidth="1"/>
    <col min="2302" max="2302" width="12.140625" style="163" customWidth="1"/>
    <col min="2303" max="2303" width="10.140625" style="163" customWidth="1"/>
    <col min="2304" max="2305" width="13" style="163" customWidth="1"/>
    <col min="2306" max="2306" width="0.42578125" style="163" customWidth="1"/>
    <col min="2307" max="2307" width="12.7109375" style="163" bestFit="1" customWidth="1"/>
    <col min="2308" max="2308" width="12.140625" style="163" customWidth="1"/>
    <col min="2309" max="2309" width="10.140625" style="163" customWidth="1"/>
    <col min="2310" max="2310" width="13" style="163" customWidth="1"/>
    <col min="2311" max="2311" width="0.42578125" style="163" customWidth="1"/>
    <col min="2312" max="2312" width="12.7109375" style="163" bestFit="1" customWidth="1"/>
    <col min="2313" max="2313" width="12.140625" style="163" customWidth="1"/>
    <col min="2314" max="2314" width="10.140625" style="163" customWidth="1"/>
    <col min="2315" max="2316" width="13" style="163" customWidth="1"/>
    <col min="2317" max="2317" width="0.42578125" style="163" customWidth="1"/>
    <col min="2318" max="2318" width="12.7109375" style="163" bestFit="1" customWidth="1"/>
    <col min="2319" max="2319" width="12.140625" style="163" customWidth="1"/>
    <col min="2320" max="2320" width="10.140625" style="163" customWidth="1"/>
    <col min="2321" max="2322" width="13" style="163" customWidth="1"/>
    <col min="2323" max="2323" width="8.28515625" style="163" customWidth="1"/>
    <col min="2324" max="2324" width="11" style="163" customWidth="1"/>
    <col min="2325" max="2519" width="9.140625" style="163" customWidth="1"/>
    <col min="2520" max="2553" width="6.7109375" style="163"/>
    <col min="2554" max="2554" width="12.5703125" style="163" customWidth="1"/>
    <col min="2555" max="2555" width="31.85546875" style="163" customWidth="1"/>
    <col min="2556" max="2556" width="0.42578125" style="163" customWidth="1"/>
    <col min="2557" max="2557" width="12.7109375" style="163" bestFit="1" customWidth="1"/>
    <col min="2558" max="2558" width="12.140625" style="163" customWidth="1"/>
    <col min="2559" max="2559" width="10.140625" style="163" customWidth="1"/>
    <col min="2560" max="2561" width="13" style="163" customWidth="1"/>
    <col min="2562" max="2562" width="0.42578125" style="163" customWidth="1"/>
    <col min="2563" max="2563" width="12.7109375" style="163" bestFit="1" customWidth="1"/>
    <col min="2564" max="2564" width="12.140625" style="163" customWidth="1"/>
    <col min="2565" max="2565" width="10.140625" style="163" customWidth="1"/>
    <col min="2566" max="2566" width="13" style="163" customWidth="1"/>
    <col min="2567" max="2567" width="0.42578125" style="163" customWidth="1"/>
    <col min="2568" max="2568" width="12.7109375" style="163" bestFit="1" customWidth="1"/>
    <col min="2569" max="2569" width="12.140625" style="163" customWidth="1"/>
    <col min="2570" max="2570" width="10.140625" style="163" customWidth="1"/>
    <col min="2571" max="2572" width="13" style="163" customWidth="1"/>
    <col min="2573" max="2573" width="0.42578125" style="163" customWidth="1"/>
    <col min="2574" max="2574" width="12.7109375" style="163" bestFit="1" customWidth="1"/>
    <col min="2575" max="2575" width="12.140625" style="163" customWidth="1"/>
    <col min="2576" max="2576" width="10.140625" style="163" customWidth="1"/>
    <col min="2577" max="2578" width="13" style="163" customWidth="1"/>
    <col min="2579" max="2579" width="8.28515625" style="163" customWidth="1"/>
    <col min="2580" max="2580" width="11" style="163" customWidth="1"/>
    <col min="2581" max="2775" width="9.140625" style="163" customWidth="1"/>
    <col min="2776" max="2809" width="6.7109375" style="163"/>
    <col min="2810" max="2810" width="12.5703125" style="163" customWidth="1"/>
    <col min="2811" max="2811" width="31.85546875" style="163" customWidth="1"/>
    <col min="2812" max="2812" width="0.42578125" style="163" customWidth="1"/>
    <col min="2813" max="2813" width="12.7109375" style="163" bestFit="1" customWidth="1"/>
    <col min="2814" max="2814" width="12.140625" style="163" customWidth="1"/>
    <col min="2815" max="2815" width="10.140625" style="163" customWidth="1"/>
    <col min="2816" max="2817" width="13" style="163" customWidth="1"/>
    <col min="2818" max="2818" width="0.42578125" style="163" customWidth="1"/>
    <col min="2819" max="2819" width="12.7109375" style="163" bestFit="1" customWidth="1"/>
    <col min="2820" max="2820" width="12.140625" style="163" customWidth="1"/>
    <col min="2821" max="2821" width="10.140625" style="163" customWidth="1"/>
    <col min="2822" max="2822" width="13" style="163" customWidth="1"/>
    <col min="2823" max="2823" width="0.42578125" style="163" customWidth="1"/>
    <col min="2824" max="2824" width="12.7109375" style="163" bestFit="1" customWidth="1"/>
    <col min="2825" max="2825" width="12.140625" style="163" customWidth="1"/>
    <col min="2826" max="2826" width="10.140625" style="163" customWidth="1"/>
    <col min="2827" max="2828" width="13" style="163" customWidth="1"/>
    <col min="2829" max="2829" width="0.42578125" style="163" customWidth="1"/>
    <col min="2830" max="2830" width="12.7109375" style="163" bestFit="1" customWidth="1"/>
    <col min="2831" max="2831" width="12.140625" style="163" customWidth="1"/>
    <col min="2832" max="2832" width="10.140625" style="163" customWidth="1"/>
    <col min="2833" max="2834" width="13" style="163" customWidth="1"/>
    <col min="2835" max="2835" width="8.28515625" style="163" customWidth="1"/>
    <col min="2836" max="2836" width="11" style="163" customWidth="1"/>
    <col min="2837" max="3031" width="9.140625" style="163" customWidth="1"/>
    <col min="3032" max="3065" width="6.7109375" style="163"/>
    <col min="3066" max="3066" width="12.5703125" style="163" customWidth="1"/>
    <col min="3067" max="3067" width="31.85546875" style="163" customWidth="1"/>
    <col min="3068" max="3068" width="0.42578125" style="163" customWidth="1"/>
    <col min="3069" max="3069" width="12.7109375" style="163" bestFit="1" customWidth="1"/>
    <col min="3070" max="3070" width="12.140625" style="163" customWidth="1"/>
    <col min="3071" max="3071" width="10.140625" style="163" customWidth="1"/>
    <col min="3072" max="3073" width="13" style="163" customWidth="1"/>
    <col min="3074" max="3074" width="0.42578125" style="163" customWidth="1"/>
    <col min="3075" max="3075" width="12.7109375" style="163" bestFit="1" customWidth="1"/>
    <col min="3076" max="3076" width="12.140625" style="163" customWidth="1"/>
    <col min="3077" max="3077" width="10.140625" style="163" customWidth="1"/>
    <col min="3078" max="3078" width="13" style="163" customWidth="1"/>
    <col min="3079" max="3079" width="0.42578125" style="163" customWidth="1"/>
    <col min="3080" max="3080" width="12.7109375" style="163" bestFit="1" customWidth="1"/>
    <col min="3081" max="3081" width="12.140625" style="163" customWidth="1"/>
    <col min="3082" max="3082" width="10.140625" style="163" customWidth="1"/>
    <col min="3083" max="3084" width="13" style="163" customWidth="1"/>
    <col min="3085" max="3085" width="0.42578125" style="163" customWidth="1"/>
    <col min="3086" max="3086" width="12.7109375" style="163" bestFit="1" customWidth="1"/>
    <col min="3087" max="3087" width="12.140625" style="163" customWidth="1"/>
    <col min="3088" max="3088" width="10.140625" style="163" customWidth="1"/>
    <col min="3089" max="3090" width="13" style="163" customWidth="1"/>
    <col min="3091" max="3091" width="8.28515625" style="163" customWidth="1"/>
    <col min="3092" max="3092" width="11" style="163" customWidth="1"/>
    <col min="3093" max="3287" width="9.140625" style="163" customWidth="1"/>
    <col min="3288" max="3321" width="6.7109375" style="163"/>
    <col min="3322" max="3322" width="12.5703125" style="163" customWidth="1"/>
    <col min="3323" max="3323" width="31.85546875" style="163" customWidth="1"/>
    <col min="3324" max="3324" width="0.42578125" style="163" customWidth="1"/>
    <col min="3325" max="3325" width="12.7109375" style="163" bestFit="1" customWidth="1"/>
    <col min="3326" max="3326" width="12.140625" style="163" customWidth="1"/>
    <col min="3327" max="3327" width="10.140625" style="163" customWidth="1"/>
    <col min="3328" max="3329" width="13" style="163" customWidth="1"/>
    <col min="3330" max="3330" width="0.42578125" style="163" customWidth="1"/>
    <col min="3331" max="3331" width="12.7109375" style="163" bestFit="1" customWidth="1"/>
    <col min="3332" max="3332" width="12.140625" style="163" customWidth="1"/>
    <col min="3333" max="3333" width="10.140625" style="163" customWidth="1"/>
    <col min="3334" max="3334" width="13" style="163" customWidth="1"/>
    <col min="3335" max="3335" width="0.42578125" style="163" customWidth="1"/>
    <col min="3336" max="3336" width="12.7109375" style="163" bestFit="1" customWidth="1"/>
    <col min="3337" max="3337" width="12.140625" style="163" customWidth="1"/>
    <col min="3338" max="3338" width="10.140625" style="163" customWidth="1"/>
    <col min="3339" max="3340" width="13" style="163" customWidth="1"/>
    <col min="3341" max="3341" width="0.42578125" style="163" customWidth="1"/>
    <col min="3342" max="3342" width="12.7109375" style="163" bestFit="1" customWidth="1"/>
    <col min="3343" max="3343" width="12.140625" style="163" customWidth="1"/>
    <col min="3344" max="3344" width="10.140625" style="163" customWidth="1"/>
    <col min="3345" max="3346" width="13" style="163" customWidth="1"/>
    <col min="3347" max="3347" width="8.28515625" style="163" customWidth="1"/>
    <col min="3348" max="3348" width="11" style="163" customWidth="1"/>
    <col min="3349" max="3543" width="9.140625" style="163" customWidth="1"/>
    <col min="3544" max="3577" width="6.7109375" style="163"/>
    <col min="3578" max="3578" width="12.5703125" style="163" customWidth="1"/>
    <col min="3579" max="3579" width="31.85546875" style="163" customWidth="1"/>
    <col min="3580" max="3580" width="0.42578125" style="163" customWidth="1"/>
    <col min="3581" max="3581" width="12.7109375" style="163" bestFit="1" customWidth="1"/>
    <col min="3582" max="3582" width="12.140625" style="163" customWidth="1"/>
    <col min="3583" max="3583" width="10.140625" style="163" customWidth="1"/>
    <col min="3584" max="3585" width="13" style="163" customWidth="1"/>
    <col min="3586" max="3586" width="0.42578125" style="163" customWidth="1"/>
    <col min="3587" max="3587" width="12.7109375" style="163" bestFit="1" customWidth="1"/>
    <col min="3588" max="3588" width="12.140625" style="163" customWidth="1"/>
    <col min="3589" max="3589" width="10.140625" style="163" customWidth="1"/>
    <col min="3590" max="3590" width="13" style="163" customWidth="1"/>
    <col min="3591" max="3591" width="0.42578125" style="163" customWidth="1"/>
    <col min="3592" max="3592" width="12.7109375" style="163" bestFit="1" customWidth="1"/>
    <col min="3593" max="3593" width="12.140625" style="163" customWidth="1"/>
    <col min="3594" max="3594" width="10.140625" style="163" customWidth="1"/>
    <col min="3595" max="3596" width="13" style="163" customWidth="1"/>
    <col min="3597" max="3597" width="0.42578125" style="163" customWidth="1"/>
    <col min="3598" max="3598" width="12.7109375" style="163" bestFit="1" customWidth="1"/>
    <col min="3599" max="3599" width="12.140625" style="163" customWidth="1"/>
    <col min="3600" max="3600" width="10.140625" style="163" customWidth="1"/>
    <col min="3601" max="3602" width="13" style="163" customWidth="1"/>
    <col min="3603" max="3603" width="8.28515625" style="163" customWidth="1"/>
    <col min="3604" max="3604" width="11" style="163" customWidth="1"/>
    <col min="3605" max="3799" width="9.140625" style="163" customWidth="1"/>
    <col min="3800" max="3833" width="6.7109375" style="163"/>
    <col min="3834" max="3834" width="12.5703125" style="163" customWidth="1"/>
    <col min="3835" max="3835" width="31.85546875" style="163" customWidth="1"/>
    <col min="3836" max="3836" width="0.42578125" style="163" customWidth="1"/>
    <col min="3837" max="3837" width="12.7109375" style="163" bestFit="1" customWidth="1"/>
    <col min="3838" max="3838" width="12.140625" style="163" customWidth="1"/>
    <col min="3839" max="3839" width="10.140625" style="163" customWidth="1"/>
    <col min="3840" max="3841" width="13" style="163" customWidth="1"/>
    <col min="3842" max="3842" width="0.42578125" style="163" customWidth="1"/>
    <col min="3843" max="3843" width="12.7109375" style="163" bestFit="1" customWidth="1"/>
    <col min="3844" max="3844" width="12.140625" style="163" customWidth="1"/>
    <col min="3845" max="3845" width="10.140625" style="163" customWidth="1"/>
    <col min="3846" max="3846" width="13" style="163" customWidth="1"/>
    <col min="3847" max="3847" width="0.42578125" style="163" customWidth="1"/>
    <col min="3848" max="3848" width="12.7109375" style="163" bestFit="1" customWidth="1"/>
    <col min="3849" max="3849" width="12.140625" style="163" customWidth="1"/>
    <col min="3850" max="3850" width="10.140625" style="163" customWidth="1"/>
    <col min="3851" max="3852" width="13" style="163" customWidth="1"/>
    <col min="3853" max="3853" width="0.42578125" style="163" customWidth="1"/>
    <col min="3854" max="3854" width="12.7109375" style="163" bestFit="1" customWidth="1"/>
    <col min="3855" max="3855" width="12.140625" style="163" customWidth="1"/>
    <col min="3856" max="3856" width="10.140625" style="163" customWidth="1"/>
    <col min="3857" max="3858" width="13" style="163" customWidth="1"/>
    <col min="3859" max="3859" width="8.28515625" style="163" customWidth="1"/>
    <col min="3860" max="3860" width="11" style="163" customWidth="1"/>
    <col min="3861" max="4055" width="9.140625" style="163" customWidth="1"/>
    <col min="4056" max="4089" width="6.7109375" style="163"/>
    <col min="4090" max="4090" width="12.5703125" style="163" customWidth="1"/>
    <col min="4091" max="4091" width="31.85546875" style="163" customWidth="1"/>
    <col min="4092" max="4092" width="0.42578125" style="163" customWidth="1"/>
    <col min="4093" max="4093" width="12.7109375" style="163" bestFit="1" customWidth="1"/>
    <col min="4094" max="4094" width="12.140625" style="163" customWidth="1"/>
    <col min="4095" max="4095" width="10.140625" style="163" customWidth="1"/>
    <col min="4096" max="4097" width="13" style="163" customWidth="1"/>
    <col min="4098" max="4098" width="0.42578125" style="163" customWidth="1"/>
    <col min="4099" max="4099" width="12.7109375" style="163" bestFit="1" customWidth="1"/>
    <col min="4100" max="4100" width="12.140625" style="163" customWidth="1"/>
    <col min="4101" max="4101" width="10.140625" style="163" customWidth="1"/>
    <col min="4102" max="4102" width="13" style="163" customWidth="1"/>
    <col min="4103" max="4103" width="0.42578125" style="163" customWidth="1"/>
    <col min="4104" max="4104" width="12.7109375" style="163" bestFit="1" customWidth="1"/>
    <col min="4105" max="4105" width="12.140625" style="163" customWidth="1"/>
    <col min="4106" max="4106" width="10.140625" style="163" customWidth="1"/>
    <col min="4107" max="4108" width="13" style="163" customWidth="1"/>
    <col min="4109" max="4109" width="0.42578125" style="163" customWidth="1"/>
    <col min="4110" max="4110" width="12.7109375" style="163" bestFit="1" customWidth="1"/>
    <col min="4111" max="4111" width="12.140625" style="163" customWidth="1"/>
    <col min="4112" max="4112" width="10.140625" style="163" customWidth="1"/>
    <col min="4113" max="4114" width="13" style="163" customWidth="1"/>
    <col min="4115" max="4115" width="8.28515625" style="163" customWidth="1"/>
    <col min="4116" max="4116" width="11" style="163" customWidth="1"/>
    <col min="4117" max="4311" width="9.140625" style="163" customWidth="1"/>
    <col min="4312" max="4345" width="6.7109375" style="163"/>
    <col min="4346" max="4346" width="12.5703125" style="163" customWidth="1"/>
    <col min="4347" max="4347" width="31.85546875" style="163" customWidth="1"/>
    <col min="4348" max="4348" width="0.42578125" style="163" customWidth="1"/>
    <col min="4349" max="4349" width="12.7109375" style="163" bestFit="1" customWidth="1"/>
    <col min="4350" max="4350" width="12.140625" style="163" customWidth="1"/>
    <col min="4351" max="4351" width="10.140625" style="163" customWidth="1"/>
    <col min="4352" max="4353" width="13" style="163" customWidth="1"/>
    <col min="4354" max="4354" width="0.42578125" style="163" customWidth="1"/>
    <col min="4355" max="4355" width="12.7109375" style="163" bestFit="1" customWidth="1"/>
    <col min="4356" max="4356" width="12.140625" style="163" customWidth="1"/>
    <col min="4357" max="4357" width="10.140625" style="163" customWidth="1"/>
    <col min="4358" max="4358" width="13" style="163" customWidth="1"/>
    <col min="4359" max="4359" width="0.42578125" style="163" customWidth="1"/>
    <col min="4360" max="4360" width="12.7109375" style="163" bestFit="1" customWidth="1"/>
    <col min="4361" max="4361" width="12.140625" style="163" customWidth="1"/>
    <col min="4362" max="4362" width="10.140625" style="163" customWidth="1"/>
    <col min="4363" max="4364" width="13" style="163" customWidth="1"/>
    <col min="4365" max="4365" width="0.42578125" style="163" customWidth="1"/>
    <col min="4366" max="4366" width="12.7109375" style="163" bestFit="1" customWidth="1"/>
    <col min="4367" max="4367" width="12.140625" style="163" customWidth="1"/>
    <col min="4368" max="4368" width="10.140625" style="163" customWidth="1"/>
    <col min="4369" max="4370" width="13" style="163" customWidth="1"/>
    <col min="4371" max="4371" width="8.28515625" style="163" customWidth="1"/>
    <col min="4372" max="4372" width="11" style="163" customWidth="1"/>
    <col min="4373" max="4567" width="9.140625" style="163" customWidth="1"/>
    <col min="4568" max="4601" width="6.7109375" style="163"/>
    <col min="4602" max="4602" width="12.5703125" style="163" customWidth="1"/>
    <col min="4603" max="4603" width="31.85546875" style="163" customWidth="1"/>
    <col min="4604" max="4604" width="0.42578125" style="163" customWidth="1"/>
    <col min="4605" max="4605" width="12.7109375" style="163" bestFit="1" customWidth="1"/>
    <col min="4606" max="4606" width="12.140625" style="163" customWidth="1"/>
    <col min="4607" max="4607" width="10.140625" style="163" customWidth="1"/>
    <col min="4608" max="4609" width="13" style="163" customWidth="1"/>
    <col min="4610" max="4610" width="0.42578125" style="163" customWidth="1"/>
    <col min="4611" max="4611" width="12.7109375" style="163" bestFit="1" customWidth="1"/>
    <col min="4612" max="4612" width="12.140625" style="163" customWidth="1"/>
    <col min="4613" max="4613" width="10.140625" style="163" customWidth="1"/>
    <col min="4614" max="4614" width="13" style="163" customWidth="1"/>
    <col min="4615" max="4615" width="0.42578125" style="163" customWidth="1"/>
    <col min="4616" max="4616" width="12.7109375" style="163" bestFit="1" customWidth="1"/>
    <col min="4617" max="4617" width="12.140625" style="163" customWidth="1"/>
    <col min="4618" max="4618" width="10.140625" style="163" customWidth="1"/>
    <col min="4619" max="4620" width="13" style="163" customWidth="1"/>
    <col min="4621" max="4621" width="0.42578125" style="163" customWidth="1"/>
    <col min="4622" max="4622" width="12.7109375" style="163" bestFit="1" customWidth="1"/>
    <col min="4623" max="4623" width="12.140625" style="163" customWidth="1"/>
    <col min="4624" max="4624" width="10.140625" style="163" customWidth="1"/>
    <col min="4625" max="4626" width="13" style="163" customWidth="1"/>
    <col min="4627" max="4627" width="8.28515625" style="163" customWidth="1"/>
    <col min="4628" max="4628" width="11" style="163" customWidth="1"/>
    <col min="4629" max="4823" width="9.140625" style="163" customWidth="1"/>
    <col min="4824" max="4857" width="6.7109375" style="163"/>
    <col min="4858" max="4858" width="12.5703125" style="163" customWidth="1"/>
    <col min="4859" max="4859" width="31.85546875" style="163" customWidth="1"/>
    <col min="4860" max="4860" width="0.42578125" style="163" customWidth="1"/>
    <col min="4861" max="4861" width="12.7109375" style="163" bestFit="1" customWidth="1"/>
    <col min="4862" max="4862" width="12.140625" style="163" customWidth="1"/>
    <col min="4863" max="4863" width="10.140625" style="163" customWidth="1"/>
    <col min="4864" max="4865" width="13" style="163" customWidth="1"/>
    <col min="4866" max="4866" width="0.42578125" style="163" customWidth="1"/>
    <col min="4867" max="4867" width="12.7109375" style="163" bestFit="1" customWidth="1"/>
    <col min="4868" max="4868" width="12.140625" style="163" customWidth="1"/>
    <col min="4869" max="4869" width="10.140625" style="163" customWidth="1"/>
    <col min="4870" max="4870" width="13" style="163" customWidth="1"/>
    <col min="4871" max="4871" width="0.42578125" style="163" customWidth="1"/>
    <col min="4872" max="4872" width="12.7109375" style="163" bestFit="1" customWidth="1"/>
    <col min="4873" max="4873" width="12.140625" style="163" customWidth="1"/>
    <col min="4874" max="4874" width="10.140625" style="163" customWidth="1"/>
    <col min="4875" max="4876" width="13" style="163" customWidth="1"/>
    <col min="4877" max="4877" width="0.42578125" style="163" customWidth="1"/>
    <col min="4878" max="4878" width="12.7109375" style="163" bestFit="1" customWidth="1"/>
    <col min="4879" max="4879" width="12.140625" style="163" customWidth="1"/>
    <col min="4880" max="4880" width="10.140625" style="163" customWidth="1"/>
    <col min="4881" max="4882" width="13" style="163" customWidth="1"/>
    <col min="4883" max="4883" width="8.28515625" style="163" customWidth="1"/>
    <col min="4884" max="4884" width="11" style="163" customWidth="1"/>
    <col min="4885" max="5079" width="9.140625" style="163" customWidth="1"/>
    <col min="5080" max="5113" width="6.7109375" style="163"/>
    <col min="5114" max="5114" width="12.5703125" style="163" customWidth="1"/>
    <col min="5115" max="5115" width="31.85546875" style="163" customWidth="1"/>
    <col min="5116" max="5116" width="0.42578125" style="163" customWidth="1"/>
    <col min="5117" max="5117" width="12.7109375" style="163" bestFit="1" customWidth="1"/>
    <col min="5118" max="5118" width="12.140625" style="163" customWidth="1"/>
    <col min="5119" max="5119" width="10.140625" style="163" customWidth="1"/>
    <col min="5120" max="5121" width="13" style="163" customWidth="1"/>
    <col min="5122" max="5122" width="0.42578125" style="163" customWidth="1"/>
    <col min="5123" max="5123" width="12.7109375" style="163" bestFit="1" customWidth="1"/>
    <col min="5124" max="5124" width="12.140625" style="163" customWidth="1"/>
    <col min="5125" max="5125" width="10.140625" style="163" customWidth="1"/>
    <col min="5126" max="5126" width="13" style="163" customWidth="1"/>
    <col min="5127" max="5127" width="0.42578125" style="163" customWidth="1"/>
    <col min="5128" max="5128" width="12.7109375" style="163" bestFit="1" customWidth="1"/>
    <col min="5129" max="5129" width="12.140625" style="163" customWidth="1"/>
    <col min="5130" max="5130" width="10.140625" style="163" customWidth="1"/>
    <col min="5131" max="5132" width="13" style="163" customWidth="1"/>
    <col min="5133" max="5133" width="0.42578125" style="163" customWidth="1"/>
    <col min="5134" max="5134" width="12.7109375" style="163" bestFit="1" customWidth="1"/>
    <col min="5135" max="5135" width="12.140625" style="163" customWidth="1"/>
    <col min="5136" max="5136" width="10.140625" style="163" customWidth="1"/>
    <col min="5137" max="5138" width="13" style="163" customWidth="1"/>
    <col min="5139" max="5139" width="8.28515625" style="163" customWidth="1"/>
    <col min="5140" max="5140" width="11" style="163" customWidth="1"/>
    <col min="5141" max="5335" width="9.140625" style="163" customWidth="1"/>
    <col min="5336" max="5369" width="6.7109375" style="163"/>
    <col min="5370" max="5370" width="12.5703125" style="163" customWidth="1"/>
    <col min="5371" max="5371" width="31.85546875" style="163" customWidth="1"/>
    <col min="5372" max="5372" width="0.42578125" style="163" customWidth="1"/>
    <col min="5373" max="5373" width="12.7109375" style="163" bestFit="1" customWidth="1"/>
    <col min="5374" max="5374" width="12.140625" style="163" customWidth="1"/>
    <col min="5375" max="5375" width="10.140625" style="163" customWidth="1"/>
    <col min="5376" max="5377" width="13" style="163" customWidth="1"/>
    <col min="5378" max="5378" width="0.42578125" style="163" customWidth="1"/>
    <col min="5379" max="5379" width="12.7109375" style="163" bestFit="1" customWidth="1"/>
    <col min="5380" max="5380" width="12.140625" style="163" customWidth="1"/>
    <col min="5381" max="5381" width="10.140625" style="163" customWidth="1"/>
    <col min="5382" max="5382" width="13" style="163" customWidth="1"/>
    <col min="5383" max="5383" width="0.42578125" style="163" customWidth="1"/>
    <col min="5384" max="5384" width="12.7109375" style="163" bestFit="1" customWidth="1"/>
    <col min="5385" max="5385" width="12.140625" style="163" customWidth="1"/>
    <col min="5386" max="5386" width="10.140625" style="163" customWidth="1"/>
    <col min="5387" max="5388" width="13" style="163" customWidth="1"/>
    <col min="5389" max="5389" width="0.42578125" style="163" customWidth="1"/>
    <col min="5390" max="5390" width="12.7109375" style="163" bestFit="1" customWidth="1"/>
    <col min="5391" max="5391" width="12.140625" style="163" customWidth="1"/>
    <col min="5392" max="5392" width="10.140625" style="163" customWidth="1"/>
    <col min="5393" max="5394" width="13" style="163" customWidth="1"/>
    <col min="5395" max="5395" width="8.28515625" style="163" customWidth="1"/>
    <col min="5396" max="5396" width="11" style="163" customWidth="1"/>
    <col min="5397" max="5591" width="9.140625" style="163" customWidth="1"/>
    <col min="5592" max="5625" width="6.7109375" style="163"/>
    <col min="5626" max="5626" width="12.5703125" style="163" customWidth="1"/>
    <col min="5627" max="5627" width="31.85546875" style="163" customWidth="1"/>
    <col min="5628" max="5628" width="0.42578125" style="163" customWidth="1"/>
    <col min="5629" max="5629" width="12.7109375" style="163" bestFit="1" customWidth="1"/>
    <col min="5630" max="5630" width="12.140625" style="163" customWidth="1"/>
    <col min="5631" max="5631" width="10.140625" style="163" customWidth="1"/>
    <col min="5632" max="5633" width="13" style="163" customWidth="1"/>
    <col min="5634" max="5634" width="0.42578125" style="163" customWidth="1"/>
    <col min="5635" max="5635" width="12.7109375" style="163" bestFit="1" customWidth="1"/>
    <col min="5636" max="5636" width="12.140625" style="163" customWidth="1"/>
    <col min="5637" max="5637" width="10.140625" style="163" customWidth="1"/>
    <col min="5638" max="5638" width="13" style="163" customWidth="1"/>
    <col min="5639" max="5639" width="0.42578125" style="163" customWidth="1"/>
    <col min="5640" max="5640" width="12.7109375" style="163" bestFit="1" customWidth="1"/>
    <col min="5641" max="5641" width="12.140625" style="163" customWidth="1"/>
    <col min="5642" max="5642" width="10.140625" style="163" customWidth="1"/>
    <col min="5643" max="5644" width="13" style="163" customWidth="1"/>
    <col min="5645" max="5645" width="0.42578125" style="163" customWidth="1"/>
    <col min="5646" max="5646" width="12.7109375" style="163" bestFit="1" customWidth="1"/>
    <col min="5647" max="5647" width="12.140625" style="163" customWidth="1"/>
    <col min="5648" max="5648" width="10.140625" style="163" customWidth="1"/>
    <col min="5649" max="5650" width="13" style="163" customWidth="1"/>
    <col min="5651" max="5651" width="8.28515625" style="163" customWidth="1"/>
    <col min="5652" max="5652" width="11" style="163" customWidth="1"/>
    <col min="5653" max="5847" width="9.140625" style="163" customWidth="1"/>
    <col min="5848" max="5881" width="6.7109375" style="163"/>
    <col min="5882" max="5882" width="12.5703125" style="163" customWidth="1"/>
    <col min="5883" max="5883" width="31.85546875" style="163" customWidth="1"/>
    <col min="5884" max="5884" width="0.42578125" style="163" customWidth="1"/>
    <col min="5885" max="5885" width="12.7109375" style="163" bestFit="1" customWidth="1"/>
    <col min="5886" max="5886" width="12.140625" style="163" customWidth="1"/>
    <col min="5887" max="5887" width="10.140625" style="163" customWidth="1"/>
    <col min="5888" max="5889" width="13" style="163" customWidth="1"/>
    <col min="5890" max="5890" width="0.42578125" style="163" customWidth="1"/>
    <col min="5891" max="5891" width="12.7109375" style="163" bestFit="1" customWidth="1"/>
    <col min="5892" max="5892" width="12.140625" style="163" customWidth="1"/>
    <col min="5893" max="5893" width="10.140625" style="163" customWidth="1"/>
    <col min="5894" max="5894" width="13" style="163" customWidth="1"/>
    <col min="5895" max="5895" width="0.42578125" style="163" customWidth="1"/>
    <col min="5896" max="5896" width="12.7109375" style="163" bestFit="1" customWidth="1"/>
    <col min="5897" max="5897" width="12.140625" style="163" customWidth="1"/>
    <col min="5898" max="5898" width="10.140625" style="163" customWidth="1"/>
    <col min="5899" max="5900" width="13" style="163" customWidth="1"/>
    <col min="5901" max="5901" width="0.42578125" style="163" customWidth="1"/>
    <col min="5902" max="5902" width="12.7109375" style="163" bestFit="1" customWidth="1"/>
    <col min="5903" max="5903" width="12.140625" style="163" customWidth="1"/>
    <col min="5904" max="5904" width="10.140625" style="163" customWidth="1"/>
    <col min="5905" max="5906" width="13" style="163" customWidth="1"/>
    <col min="5907" max="5907" width="8.28515625" style="163" customWidth="1"/>
    <col min="5908" max="5908" width="11" style="163" customWidth="1"/>
    <col min="5909" max="6103" width="9.140625" style="163" customWidth="1"/>
    <col min="6104" max="6137" width="6.7109375" style="163"/>
    <col min="6138" max="6138" width="12.5703125" style="163" customWidth="1"/>
    <col min="6139" max="6139" width="31.85546875" style="163" customWidth="1"/>
    <col min="6140" max="6140" width="0.42578125" style="163" customWidth="1"/>
    <col min="6141" max="6141" width="12.7109375" style="163" bestFit="1" customWidth="1"/>
    <col min="6142" max="6142" width="12.140625" style="163" customWidth="1"/>
    <col min="6143" max="6143" width="10.140625" style="163" customWidth="1"/>
    <col min="6144" max="6145" width="13" style="163" customWidth="1"/>
    <col min="6146" max="6146" width="0.42578125" style="163" customWidth="1"/>
    <col min="6147" max="6147" width="12.7109375" style="163" bestFit="1" customWidth="1"/>
    <col min="6148" max="6148" width="12.140625" style="163" customWidth="1"/>
    <col min="6149" max="6149" width="10.140625" style="163" customWidth="1"/>
    <col min="6150" max="6150" width="13" style="163" customWidth="1"/>
    <col min="6151" max="6151" width="0.42578125" style="163" customWidth="1"/>
    <col min="6152" max="6152" width="12.7109375" style="163" bestFit="1" customWidth="1"/>
    <col min="6153" max="6153" width="12.140625" style="163" customWidth="1"/>
    <col min="6154" max="6154" width="10.140625" style="163" customWidth="1"/>
    <col min="6155" max="6156" width="13" style="163" customWidth="1"/>
    <col min="6157" max="6157" width="0.42578125" style="163" customWidth="1"/>
    <col min="6158" max="6158" width="12.7109375" style="163" bestFit="1" customWidth="1"/>
    <col min="6159" max="6159" width="12.140625" style="163" customWidth="1"/>
    <col min="6160" max="6160" width="10.140625" style="163" customWidth="1"/>
    <col min="6161" max="6162" width="13" style="163" customWidth="1"/>
    <col min="6163" max="6163" width="8.28515625" style="163" customWidth="1"/>
    <col min="6164" max="6164" width="11" style="163" customWidth="1"/>
    <col min="6165" max="6359" width="9.140625" style="163" customWidth="1"/>
    <col min="6360" max="6393" width="6.7109375" style="163"/>
    <col min="6394" max="6394" width="12.5703125" style="163" customWidth="1"/>
    <col min="6395" max="6395" width="31.85546875" style="163" customWidth="1"/>
    <col min="6396" max="6396" width="0.42578125" style="163" customWidth="1"/>
    <col min="6397" max="6397" width="12.7109375" style="163" bestFit="1" customWidth="1"/>
    <col min="6398" max="6398" width="12.140625" style="163" customWidth="1"/>
    <col min="6399" max="6399" width="10.140625" style="163" customWidth="1"/>
    <col min="6400" max="6401" width="13" style="163" customWidth="1"/>
    <col min="6402" max="6402" width="0.42578125" style="163" customWidth="1"/>
    <col min="6403" max="6403" width="12.7109375" style="163" bestFit="1" customWidth="1"/>
    <col min="6404" max="6404" width="12.140625" style="163" customWidth="1"/>
    <col min="6405" max="6405" width="10.140625" style="163" customWidth="1"/>
    <col min="6406" max="6406" width="13" style="163" customWidth="1"/>
    <col min="6407" max="6407" width="0.42578125" style="163" customWidth="1"/>
    <col min="6408" max="6408" width="12.7109375" style="163" bestFit="1" customWidth="1"/>
    <col min="6409" max="6409" width="12.140625" style="163" customWidth="1"/>
    <col min="6410" max="6410" width="10.140625" style="163" customWidth="1"/>
    <col min="6411" max="6412" width="13" style="163" customWidth="1"/>
    <col min="6413" max="6413" width="0.42578125" style="163" customWidth="1"/>
    <col min="6414" max="6414" width="12.7109375" style="163" bestFit="1" customWidth="1"/>
    <col min="6415" max="6415" width="12.140625" style="163" customWidth="1"/>
    <col min="6416" max="6416" width="10.140625" style="163" customWidth="1"/>
    <col min="6417" max="6418" width="13" style="163" customWidth="1"/>
    <col min="6419" max="6419" width="8.28515625" style="163" customWidth="1"/>
    <col min="6420" max="6420" width="11" style="163" customWidth="1"/>
    <col min="6421" max="6615" width="9.140625" style="163" customWidth="1"/>
    <col min="6616" max="6649" width="6.7109375" style="163"/>
    <col min="6650" max="6650" width="12.5703125" style="163" customWidth="1"/>
    <col min="6651" max="6651" width="31.85546875" style="163" customWidth="1"/>
    <col min="6652" max="6652" width="0.42578125" style="163" customWidth="1"/>
    <col min="6653" max="6653" width="12.7109375" style="163" bestFit="1" customWidth="1"/>
    <col min="6654" max="6654" width="12.140625" style="163" customWidth="1"/>
    <col min="6655" max="6655" width="10.140625" style="163" customWidth="1"/>
    <col min="6656" max="6657" width="13" style="163" customWidth="1"/>
    <col min="6658" max="6658" width="0.42578125" style="163" customWidth="1"/>
    <col min="6659" max="6659" width="12.7109375" style="163" bestFit="1" customWidth="1"/>
    <col min="6660" max="6660" width="12.140625" style="163" customWidth="1"/>
    <col min="6661" max="6661" width="10.140625" style="163" customWidth="1"/>
    <col min="6662" max="6662" width="13" style="163" customWidth="1"/>
    <col min="6663" max="6663" width="0.42578125" style="163" customWidth="1"/>
    <col min="6664" max="6664" width="12.7109375" style="163" bestFit="1" customWidth="1"/>
    <col min="6665" max="6665" width="12.140625" style="163" customWidth="1"/>
    <col min="6666" max="6666" width="10.140625" style="163" customWidth="1"/>
    <col min="6667" max="6668" width="13" style="163" customWidth="1"/>
    <col min="6669" max="6669" width="0.42578125" style="163" customWidth="1"/>
    <col min="6670" max="6670" width="12.7109375" style="163" bestFit="1" customWidth="1"/>
    <col min="6671" max="6671" width="12.140625" style="163" customWidth="1"/>
    <col min="6672" max="6672" width="10.140625" style="163" customWidth="1"/>
    <col min="6673" max="6674" width="13" style="163" customWidth="1"/>
    <col min="6675" max="6675" width="8.28515625" style="163" customWidth="1"/>
    <col min="6676" max="6676" width="11" style="163" customWidth="1"/>
    <col min="6677" max="6871" width="9.140625" style="163" customWidth="1"/>
    <col min="6872" max="6905" width="6.7109375" style="163"/>
    <col min="6906" max="6906" width="12.5703125" style="163" customWidth="1"/>
    <col min="6907" max="6907" width="31.85546875" style="163" customWidth="1"/>
    <col min="6908" max="6908" width="0.42578125" style="163" customWidth="1"/>
    <col min="6909" max="6909" width="12.7109375" style="163" bestFit="1" customWidth="1"/>
    <col min="6910" max="6910" width="12.140625" style="163" customWidth="1"/>
    <col min="6911" max="6911" width="10.140625" style="163" customWidth="1"/>
    <col min="6912" max="6913" width="13" style="163" customWidth="1"/>
    <col min="6914" max="6914" width="0.42578125" style="163" customWidth="1"/>
    <col min="6915" max="6915" width="12.7109375" style="163" bestFit="1" customWidth="1"/>
    <col min="6916" max="6916" width="12.140625" style="163" customWidth="1"/>
    <col min="6917" max="6917" width="10.140625" style="163" customWidth="1"/>
    <col min="6918" max="6918" width="13" style="163" customWidth="1"/>
    <col min="6919" max="6919" width="0.42578125" style="163" customWidth="1"/>
    <col min="6920" max="6920" width="12.7109375" style="163" bestFit="1" customWidth="1"/>
    <col min="6921" max="6921" width="12.140625" style="163" customWidth="1"/>
    <col min="6922" max="6922" width="10.140625" style="163" customWidth="1"/>
    <col min="6923" max="6924" width="13" style="163" customWidth="1"/>
    <col min="6925" max="6925" width="0.42578125" style="163" customWidth="1"/>
    <col min="6926" max="6926" width="12.7109375" style="163" bestFit="1" customWidth="1"/>
    <col min="6927" max="6927" width="12.140625" style="163" customWidth="1"/>
    <col min="6928" max="6928" width="10.140625" style="163" customWidth="1"/>
    <col min="6929" max="6930" width="13" style="163" customWidth="1"/>
    <col min="6931" max="6931" width="8.28515625" style="163" customWidth="1"/>
    <col min="6932" max="6932" width="11" style="163" customWidth="1"/>
    <col min="6933" max="7127" width="9.140625" style="163" customWidth="1"/>
    <col min="7128" max="7161" width="6.7109375" style="163"/>
    <col min="7162" max="7162" width="12.5703125" style="163" customWidth="1"/>
    <col min="7163" max="7163" width="31.85546875" style="163" customWidth="1"/>
    <col min="7164" max="7164" width="0.42578125" style="163" customWidth="1"/>
    <col min="7165" max="7165" width="12.7109375" style="163" bestFit="1" customWidth="1"/>
    <col min="7166" max="7166" width="12.140625" style="163" customWidth="1"/>
    <col min="7167" max="7167" width="10.140625" style="163" customWidth="1"/>
    <col min="7168" max="7169" width="13" style="163" customWidth="1"/>
    <col min="7170" max="7170" width="0.42578125" style="163" customWidth="1"/>
    <col min="7171" max="7171" width="12.7109375" style="163" bestFit="1" customWidth="1"/>
    <col min="7172" max="7172" width="12.140625" style="163" customWidth="1"/>
    <col min="7173" max="7173" width="10.140625" style="163" customWidth="1"/>
    <col min="7174" max="7174" width="13" style="163" customWidth="1"/>
    <col min="7175" max="7175" width="0.42578125" style="163" customWidth="1"/>
    <col min="7176" max="7176" width="12.7109375" style="163" bestFit="1" customWidth="1"/>
    <col min="7177" max="7177" width="12.140625" style="163" customWidth="1"/>
    <col min="7178" max="7178" width="10.140625" style="163" customWidth="1"/>
    <col min="7179" max="7180" width="13" style="163" customWidth="1"/>
    <col min="7181" max="7181" width="0.42578125" style="163" customWidth="1"/>
    <col min="7182" max="7182" width="12.7109375" style="163" bestFit="1" customWidth="1"/>
    <col min="7183" max="7183" width="12.140625" style="163" customWidth="1"/>
    <col min="7184" max="7184" width="10.140625" style="163" customWidth="1"/>
    <col min="7185" max="7186" width="13" style="163" customWidth="1"/>
    <col min="7187" max="7187" width="8.28515625" style="163" customWidth="1"/>
    <col min="7188" max="7188" width="11" style="163" customWidth="1"/>
    <col min="7189" max="7383" width="9.140625" style="163" customWidth="1"/>
    <col min="7384" max="7417" width="6.7109375" style="163"/>
    <col min="7418" max="7418" width="12.5703125" style="163" customWidth="1"/>
    <col min="7419" max="7419" width="31.85546875" style="163" customWidth="1"/>
    <col min="7420" max="7420" width="0.42578125" style="163" customWidth="1"/>
    <col min="7421" max="7421" width="12.7109375" style="163" bestFit="1" customWidth="1"/>
    <col min="7422" max="7422" width="12.140625" style="163" customWidth="1"/>
    <col min="7423" max="7423" width="10.140625" style="163" customWidth="1"/>
    <col min="7424" max="7425" width="13" style="163" customWidth="1"/>
    <col min="7426" max="7426" width="0.42578125" style="163" customWidth="1"/>
    <col min="7427" max="7427" width="12.7109375" style="163" bestFit="1" customWidth="1"/>
    <col min="7428" max="7428" width="12.140625" style="163" customWidth="1"/>
    <col min="7429" max="7429" width="10.140625" style="163" customWidth="1"/>
    <col min="7430" max="7430" width="13" style="163" customWidth="1"/>
    <col min="7431" max="7431" width="0.42578125" style="163" customWidth="1"/>
    <col min="7432" max="7432" width="12.7109375" style="163" bestFit="1" customWidth="1"/>
    <col min="7433" max="7433" width="12.140625" style="163" customWidth="1"/>
    <col min="7434" max="7434" width="10.140625" style="163" customWidth="1"/>
    <col min="7435" max="7436" width="13" style="163" customWidth="1"/>
    <col min="7437" max="7437" width="0.42578125" style="163" customWidth="1"/>
    <col min="7438" max="7438" width="12.7109375" style="163" bestFit="1" customWidth="1"/>
    <col min="7439" max="7439" width="12.140625" style="163" customWidth="1"/>
    <col min="7440" max="7440" width="10.140625" style="163" customWidth="1"/>
    <col min="7441" max="7442" width="13" style="163" customWidth="1"/>
    <col min="7443" max="7443" width="8.28515625" style="163" customWidth="1"/>
    <col min="7444" max="7444" width="11" style="163" customWidth="1"/>
    <col min="7445" max="7639" width="9.140625" style="163" customWidth="1"/>
    <col min="7640" max="7673" width="6.7109375" style="163"/>
    <col min="7674" max="7674" width="12.5703125" style="163" customWidth="1"/>
    <col min="7675" max="7675" width="31.85546875" style="163" customWidth="1"/>
    <col min="7676" max="7676" width="0.42578125" style="163" customWidth="1"/>
    <col min="7677" max="7677" width="12.7109375" style="163" bestFit="1" customWidth="1"/>
    <col min="7678" max="7678" width="12.140625" style="163" customWidth="1"/>
    <col min="7679" max="7679" width="10.140625" style="163" customWidth="1"/>
    <col min="7680" max="7681" width="13" style="163" customWidth="1"/>
    <col min="7682" max="7682" width="0.42578125" style="163" customWidth="1"/>
    <col min="7683" max="7683" width="12.7109375" style="163" bestFit="1" customWidth="1"/>
    <col min="7684" max="7684" width="12.140625" style="163" customWidth="1"/>
    <col min="7685" max="7685" width="10.140625" style="163" customWidth="1"/>
    <col min="7686" max="7686" width="13" style="163" customWidth="1"/>
    <col min="7687" max="7687" width="0.42578125" style="163" customWidth="1"/>
    <col min="7688" max="7688" width="12.7109375" style="163" bestFit="1" customWidth="1"/>
    <col min="7689" max="7689" width="12.140625" style="163" customWidth="1"/>
    <col min="7690" max="7690" width="10.140625" style="163" customWidth="1"/>
    <col min="7691" max="7692" width="13" style="163" customWidth="1"/>
    <col min="7693" max="7693" width="0.42578125" style="163" customWidth="1"/>
    <col min="7694" max="7694" width="12.7109375" style="163" bestFit="1" customWidth="1"/>
    <col min="7695" max="7695" width="12.140625" style="163" customWidth="1"/>
    <col min="7696" max="7696" width="10.140625" style="163" customWidth="1"/>
    <col min="7697" max="7698" width="13" style="163" customWidth="1"/>
    <col min="7699" max="7699" width="8.28515625" style="163" customWidth="1"/>
    <col min="7700" max="7700" width="11" style="163" customWidth="1"/>
    <col min="7701" max="7895" width="9.140625" style="163" customWidth="1"/>
    <col min="7896" max="7929" width="6.7109375" style="163"/>
    <col min="7930" max="7930" width="12.5703125" style="163" customWidth="1"/>
    <col min="7931" max="7931" width="31.85546875" style="163" customWidth="1"/>
    <col min="7932" max="7932" width="0.42578125" style="163" customWidth="1"/>
    <col min="7933" max="7933" width="12.7109375" style="163" bestFit="1" customWidth="1"/>
    <col min="7934" max="7934" width="12.140625" style="163" customWidth="1"/>
    <col min="7935" max="7935" width="10.140625" style="163" customWidth="1"/>
    <col min="7936" max="7937" width="13" style="163" customWidth="1"/>
    <col min="7938" max="7938" width="0.42578125" style="163" customWidth="1"/>
    <col min="7939" max="7939" width="12.7109375" style="163" bestFit="1" customWidth="1"/>
    <col min="7940" max="7940" width="12.140625" style="163" customWidth="1"/>
    <col min="7941" max="7941" width="10.140625" style="163" customWidth="1"/>
    <col min="7942" max="7942" width="13" style="163" customWidth="1"/>
    <col min="7943" max="7943" width="0.42578125" style="163" customWidth="1"/>
    <col min="7944" max="7944" width="12.7109375" style="163" bestFit="1" customWidth="1"/>
    <col min="7945" max="7945" width="12.140625" style="163" customWidth="1"/>
    <col min="7946" max="7946" width="10.140625" style="163" customWidth="1"/>
    <col min="7947" max="7948" width="13" style="163" customWidth="1"/>
    <col min="7949" max="7949" width="0.42578125" style="163" customWidth="1"/>
    <col min="7950" max="7950" width="12.7109375" style="163" bestFit="1" customWidth="1"/>
    <col min="7951" max="7951" width="12.140625" style="163" customWidth="1"/>
    <col min="7952" max="7952" width="10.140625" style="163" customWidth="1"/>
    <col min="7953" max="7954" width="13" style="163" customWidth="1"/>
    <col min="7955" max="7955" width="8.28515625" style="163" customWidth="1"/>
    <col min="7956" max="7956" width="11" style="163" customWidth="1"/>
    <col min="7957" max="8151" width="9.140625" style="163" customWidth="1"/>
    <col min="8152" max="8185" width="6.7109375" style="163"/>
    <col min="8186" max="8186" width="12.5703125" style="163" customWidth="1"/>
    <col min="8187" max="8187" width="31.85546875" style="163" customWidth="1"/>
    <col min="8188" max="8188" width="0.42578125" style="163" customWidth="1"/>
    <col min="8189" max="8189" width="12.7109375" style="163" bestFit="1" customWidth="1"/>
    <col min="8190" max="8190" width="12.140625" style="163" customWidth="1"/>
    <col min="8191" max="8191" width="10.140625" style="163" customWidth="1"/>
    <col min="8192" max="8193" width="13" style="163" customWidth="1"/>
    <col min="8194" max="8194" width="0.42578125" style="163" customWidth="1"/>
    <col min="8195" max="8195" width="12.7109375" style="163" bestFit="1" customWidth="1"/>
    <col min="8196" max="8196" width="12.140625" style="163" customWidth="1"/>
    <col min="8197" max="8197" width="10.140625" style="163" customWidth="1"/>
    <col min="8198" max="8198" width="13" style="163" customWidth="1"/>
    <col min="8199" max="8199" width="0.42578125" style="163" customWidth="1"/>
    <col min="8200" max="8200" width="12.7109375" style="163" bestFit="1" customWidth="1"/>
    <col min="8201" max="8201" width="12.140625" style="163" customWidth="1"/>
    <col min="8202" max="8202" width="10.140625" style="163" customWidth="1"/>
    <col min="8203" max="8204" width="13" style="163" customWidth="1"/>
    <col min="8205" max="8205" width="0.42578125" style="163" customWidth="1"/>
    <col min="8206" max="8206" width="12.7109375" style="163" bestFit="1" customWidth="1"/>
    <col min="8207" max="8207" width="12.140625" style="163" customWidth="1"/>
    <col min="8208" max="8208" width="10.140625" style="163" customWidth="1"/>
    <col min="8209" max="8210" width="13" style="163" customWidth="1"/>
    <col min="8211" max="8211" width="8.28515625" style="163" customWidth="1"/>
    <col min="8212" max="8212" width="11" style="163" customWidth="1"/>
    <col min="8213" max="8407" width="9.140625" style="163" customWidth="1"/>
    <col min="8408" max="8441" width="6.7109375" style="163"/>
    <col min="8442" max="8442" width="12.5703125" style="163" customWidth="1"/>
    <col min="8443" max="8443" width="31.85546875" style="163" customWidth="1"/>
    <col min="8444" max="8444" width="0.42578125" style="163" customWidth="1"/>
    <col min="8445" max="8445" width="12.7109375" style="163" bestFit="1" customWidth="1"/>
    <col min="8446" max="8446" width="12.140625" style="163" customWidth="1"/>
    <col min="8447" max="8447" width="10.140625" style="163" customWidth="1"/>
    <col min="8448" max="8449" width="13" style="163" customWidth="1"/>
    <col min="8450" max="8450" width="0.42578125" style="163" customWidth="1"/>
    <col min="8451" max="8451" width="12.7109375" style="163" bestFit="1" customWidth="1"/>
    <col min="8452" max="8452" width="12.140625" style="163" customWidth="1"/>
    <col min="8453" max="8453" width="10.140625" style="163" customWidth="1"/>
    <col min="8454" max="8454" width="13" style="163" customWidth="1"/>
    <col min="8455" max="8455" width="0.42578125" style="163" customWidth="1"/>
    <col min="8456" max="8456" width="12.7109375" style="163" bestFit="1" customWidth="1"/>
    <col min="8457" max="8457" width="12.140625" style="163" customWidth="1"/>
    <col min="8458" max="8458" width="10.140625" style="163" customWidth="1"/>
    <col min="8459" max="8460" width="13" style="163" customWidth="1"/>
    <col min="8461" max="8461" width="0.42578125" style="163" customWidth="1"/>
    <col min="8462" max="8462" width="12.7109375" style="163" bestFit="1" customWidth="1"/>
    <col min="8463" max="8463" width="12.140625" style="163" customWidth="1"/>
    <col min="8464" max="8464" width="10.140625" style="163" customWidth="1"/>
    <col min="8465" max="8466" width="13" style="163" customWidth="1"/>
    <col min="8467" max="8467" width="8.28515625" style="163" customWidth="1"/>
    <col min="8468" max="8468" width="11" style="163" customWidth="1"/>
    <col min="8469" max="8663" width="9.140625" style="163" customWidth="1"/>
    <col min="8664" max="8697" width="6.7109375" style="163"/>
    <col min="8698" max="8698" width="12.5703125" style="163" customWidth="1"/>
    <col min="8699" max="8699" width="31.85546875" style="163" customWidth="1"/>
    <col min="8700" max="8700" width="0.42578125" style="163" customWidth="1"/>
    <col min="8701" max="8701" width="12.7109375" style="163" bestFit="1" customWidth="1"/>
    <col min="8702" max="8702" width="12.140625" style="163" customWidth="1"/>
    <col min="8703" max="8703" width="10.140625" style="163" customWidth="1"/>
    <col min="8704" max="8705" width="13" style="163" customWidth="1"/>
    <col min="8706" max="8706" width="0.42578125" style="163" customWidth="1"/>
    <col min="8707" max="8707" width="12.7109375" style="163" bestFit="1" customWidth="1"/>
    <col min="8708" max="8708" width="12.140625" style="163" customWidth="1"/>
    <col min="8709" max="8709" width="10.140625" style="163" customWidth="1"/>
    <col min="8710" max="8710" width="13" style="163" customWidth="1"/>
    <col min="8711" max="8711" width="0.42578125" style="163" customWidth="1"/>
    <col min="8712" max="8712" width="12.7109375" style="163" bestFit="1" customWidth="1"/>
    <col min="8713" max="8713" width="12.140625" style="163" customWidth="1"/>
    <col min="8714" max="8714" width="10.140625" style="163" customWidth="1"/>
    <col min="8715" max="8716" width="13" style="163" customWidth="1"/>
    <col min="8717" max="8717" width="0.42578125" style="163" customWidth="1"/>
    <col min="8718" max="8718" width="12.7109375" style="163" bestFit="1" customWidth="1"/>
    <col min="8719" max="8719" width="12.140625" style="163" customWidth="1"/>
    <col min="8720" max="8720" width="10.140625" style="163" customWidth="1"/>
    <col min="8721" max="8722" width="13" style="163" customWidth="1"/>
    <col min="8723" max="8723" width="8.28515625" style="163" customWidth="1"/>
    <col min="8724" max="8724" width="11" style="163" customWidth="1"/>
    <col min="8725" max="8919" width="9.140625" style="163" customWidth="1"/>
    <col min="8920" max="8953" width="6.7109375" style="163"/>
    <col min="8954" max="8954" width="12.5703125" style="163" customWidth="1"/>
    <col min="8955" max="8955" width="31.85546875" style="163" customWidth="1"/>
    <col min="8956" max="8956" width="0.42578125" style="163" customWidth="1"/>
    <col min="8957" max="8957" width="12.7109375" style="163" bestFit="1" customWidth="1"/>
    <col min="8958" max="8958" width="12.140625" style="163" customWidth="1"/>
    <col min="8959" max="8959" width="10.140625" style="163" customWidth="1"/>
    <col min="8960" max="8961" width="13" style="163" customWidth="1"/>
    <col min="8962" max="8962" width="0.42578125" style="163" customWidth="1"/>
    <col min="8963" max="8963" width="12.7109375" style="163" bestFit="1" customWidth="1"/>
    <col min="8964" max="8964" width="12.140625" style="163" customWidth="1"/>
    <col min="8965" max="8965" width="10.140625" style="163" customWidth="1"/>
    <col min="8966" max="8966" width="13" style="163" customWidth="1"/>
    <col min="8967" max="8967" width="0.42578125" style="163" customWidth="1"/>
    <col min="8968" max="8968" width="12.7109375" style="163" bestFit="1" customWidth="1"/>
    <col min="8969" max="8969" width="12.140625" style="163" customWidth="1"/>
    <col min="8970" max="8970" width="10.140625" style="163" customWidth="1"/>
    <col min="8971" max="8972" width="13" style="163" customWidth="1"/>
    <col min="8973" max="8973" width="0.42578125" style="163" customWidth="1"/>
    <col min="8974" max="8974" width="12.7109375" style="163" bestFit="1" customWidth="1"/>
    <col min="8975" max="8975" width="12.140625" style="163" customWidth="1"/>
    <col min="8976" max="8976" width="10.140625" style="163" customWidth="1"/>
    <col min="8977" max="8978" width="13" style="163" customWidth="1"/>
    <col min="8979" max="8979" width="8.28515625" style="163" customWidth="1"/>
    <col min="8980" max="8980" width="11" style="163" customWidth="1"/>
    <col min="8981" max="9175" width="9.140625" style="163" customWidth="1"/>
    <col min="9176" max="9209" width="6.7109375" style="163"/>
    <col min="9210" max="9210" width="12.5703125" style="163" customWidth="1"/>
    <col min="9211" max="9211" width="31.85546875" style="163" customWidth="1"/>
    <col min="9212" max="9212" width="0.42578125" style="163" customWidth="1"/>
    <col min="9213" max="9213" width="12.7109375" style="163" bestFit="1" customWidth="1"/>
    <col min="9214" max="9214" width="12.140625" style="163" customWidth="1"/>
    <col min="9215" max="9215" width="10.140625" style="163" customWidth="1"/>
    <col min="9216" max="9217" width="13" style="163" customWidth="1"/>
    <col min="9218" max="9218" width="0.42578125" style="163" customWidth="1"/>
    <col min="9219" max="9219" width="12.7109375" style="163" bestFit="1" customWidth="1"/>
    <col min="9220" max="9220" width="12.140625" style="163" customWidth="1"/>
    <col min="9221" max="9221" width="10.140625" style="163" customWidth="1"/>
    <col min="9222" max="9222" width="13" style="163" customWidth="1"/>
    <col min="9223" max="9223" width="0.42578125" style="163" customWidth="1"/>
    <col min="9224" max="9224" width="12.7109375" style="163" bestFit="1" customWidth="1"/>
    <col min="9225" max="9225" width="12.140625" style="163" customWidth="1"/>
    <col min="9226" max="9226" width="10.140625" style="163" customWidth="1"/>
    <col min="9227" max="9228" width="13" style="163" customWidth="1"/>
    <col min="9229" max="9229" width="0.42578125" style="163" customWidth="1"/>
    <col min="9230" max="9230" width="12.7109375" style="163" bestFit="1" customWidth="1"/>
    <col min="9231" max="9231" width="12.140625" style="163" customWidth="1"/>
    <col min="9232" max="9232" width="10.140625" style="163" customWidth="1"/>
    <col min="9233" max="9234" width="13" style="163" customWidth="1"/>
    <col min="9235" max="9235" width="8.28515625" style="163" customWidth="1"/>
    <col min="9236" max="9236" width="11" style="163" customWidth="1"/>
    <col min="9237" max="9431" width="9.140625" style="163" customWidth="1"/>
    <col min="9432" max="9465" width="6.7109375" style="163"/>
    <col min="9466" max="9466" width="12.5703125" style="163" customWidth="1"/>
    <col min="9467" max="9467" width="31.85546875" style="163" customWidth="1"/>
    <col min="9468" max="9468" width="0.42578125" style="163" customWidth="1"/>
    <col min="9469" max="9469" width="12.7109375" style="163" bestFit="1" customWidth="1"/>
    <col min="9470" max="9470" width="12.140625" style="163" customWidth="1"/>
    <col min="9471" max="9471" width="10.140625" style="163" customWidth="1"/>
    <col min="9472" max="9473" width="13" style="163" customWidth="1"/>
    <col min="9474" max="9474" width="0.42578125" style="163" customWidth="1"/>
    <col min="9475" max="9475" width="12.7109375" style="163" bestFit="1" customWidth="1"/>
    <col min="9476" max="9476" width="12.140625" style="163" customWidth="1"/>
    <col min="9477" max="9477" width="10.140625" style="163" customWidth="1"/>
    <col min="9478" max="9478" width="13" style="163" customWidth="1"/>
    <col min="9479" max="9479" width="0.42578125" style="163" customWidth="1"/>
    <col min="9480" max="9480" width="12.7109375" style="163" bestFit="1" customWidth="1"/>
    <col min="9481" max="9481" width="12.140625" style="163" customWidth="1"/>
    <col min="9482" max="9482" width="10.140625" style="163" customWidth="1"/>
    <col min="9483" max="9484" width="13" style="163" customWidth="1"/>
    <col min="9485" max="9485" width="0.42578125" style="163" customWidth="1"/>
    <col min="9486" max="9486" width="12.7109375" style="163" bestFit="1" customWidth="1"/>
    <col min="9487" max="9487" width="12.140625" style="163" customWidth="1"/>
    <col min="9488" max="9488" width="10.140625" style="163" customWidth="1"/>
    <col min="9489" max="9490" width="13" style="163" customWidth="1"/>
    <col min="9491" max="9491" width="8.28515625" style="163" customWidth="1"/>
    <col min="9492" max="9492" width="11" style="163" customWidth="1"/>
    <col min="9493" max="9687" width="9.140625" style="163" customWidth="1"/>
    <col min="9688" max="9721" width="6.7109375" style="163"/>
    <col min="9722" max="9722" width="12.5703125" style="163" customWidth="1"/>
    <col min="9723" max="9723" width="31.85546875" style="163" customWidth="1"/>
    <col min="9724" max="9724" width="0.42578125" style="163" customWidth="1"/>
    <col min="9725" max="9725" width="12.7109375" style="163" bestFit="1" customWidth="1"/>
    <col min="9726" max="9726" width="12.140625" style="163" customWidth="1"/>
    <col min="9727" max="9727" width="10.140625" style="163" customWidth="1"/>
    <col min="9728" max="9729" width="13" style="163" customWidth="1"/>
    <col min="9730" max="9730" width="0.42578125" style="163" customWidth="1"/>
    <col min="9731" max="9731" width="12.7109375" style="163" bestFit="1" customWidth="1"/>
    <col min="9732" max="9732" width="12.140625" style="163" customWidth="1"/>
    <col min="9733" max="9733" width="10.140625" style="163" customWidth="1"/>
    <col min="9734" max="9734" width="13" style="163" customWidth="1"/>
    <col min="9735" max="9735" width="0.42578125" style="163" customWidth="1"/>
    <col min="9736" max="9736" width="12.7109375" style="163" bestFit="1" customWidth="1"/>
    <col min="9737" max="9737" width="12.140625" style="163" customWidth="1"/>
    <col min="9738" max="9738" width="10.140625" style="163" customWidth="1"/>
    <col min="9739" max="9740" width="13" style="163" customWidth="1"/>
    <col min="9741" max="9741" width="0.42578125" style="163" customWidth="1"/>
    <col min="9742" max="9742" width="12.7109375" style="163" bestFit="1" customWidth="1"/>
    <col min="9743" max="9743" width="12.140625" style="163" customWidth="1"/>
    <col min="9744" max="9744" width="10.140625" style="163" customWidth="1"/>
    <col min="9745" max="9746" width="13" style="163" customWidth="1"/>
    <col min="9747" max="9747" width="8.28515625" style="163" customWidth="1"/>
    <col min="9748" max="9748" width="11" style="163" customWidth="1"/>
    <col min="9749" max="9943" width="9.140625" style="163" customWidth="1"/>
    <col min="9944" max="9977" width="6.7109375" style="163"/>
    <col min="9978" max="9978" width="12.5703125" style="163" customWidth="1"/>
    <col min="9979" max="9979" width="31.85546875" style="163" customWidth="1"/>
    <col min="9980" max="9980" width="0.42578125" style="163" customWidth="1"/>
    <col min="9981" max="9981" width="12.7109375" style="163" bestFit="1" customWidth="1"/>
    <col min="9982" max="9982" width="12.140625" style="163" customWidth="1"/>
    <col min="9983" max="9983" width="10.140625" style="163" customWidth="1"/>
    <col min="9984" max="9985" width="13" style="163" customWidth="1"/>
    <col min="9986" max="9986" width="0.42578125" style="163" customWidth="1"/>
    <col min="9987" max="9987" width="12.7109375" style="163" bestFit="1" customWidth="1"/>
    <col min="9988" max="9988" width="12.140625" style="163" customWidth="1"/>
    <col min="9989" max="9989" width="10.140625" style="163" customWidth="1"/>
    <col min="9990" max="9990" width="13" style="163" customWidth="1"/>
    <col min="9991" max="9991" width="0.42578125" style="163" customWidth="1"/>
    <col min="9992" max="9992" width="12.7109375" style="163" bestFit="1" customWidth="1"/>
    <col min="9993" max="9993" width="12.140625" style="163" customWidth="1"/>
    <col min="9994" max="9994" width="10.140625" style="163" customWidth="1"/>
    <col min="9995" max="9996" width="13" style="163" customWidth="1"/>
    <col min="9997" max="9997" width="0.42578125" style="163" customWidth="1"/>
    <col min="9998" max="9998" width="12.7109375" style="163" bestFit="1" customWidth="1"/>
    <col min="9999" max="9999" width="12.140625" style="163" customWidth="1"/>
    <col min="10000" max="10000" width="10.140625" style="163" customWidth="1"/>
    <col min="10001" max="10002" width="13" style="163" customWidth="1"/>
    <col min="10003" max="10003" width="8.28515625" style="163" customWidth="1"/>
    <col min="10004" max="10004" width="11" style="163" customWidth="1"/>
    <col min="10005" max="10199" width="9.140625" style="163" customWidth="1"/>
    <col min="10200" max="10233" width="6.7109375" style="163"/>
    <col min="10234" max="10234" width="12.5703125" style="163" customWidth="1"/>
    <col min="10235" max="10235" width="31.85546875" style="163" customWidth="1"/>
    <col min="10236" max="10236" width="0.42578125" style="163" customWidth="1"/>
    <col min="10237" max="10237" width="12.7109375" style="163" bestFit="1" customWidth="1"/>
    <col min="10238" max="10238" width="12.140625" style="163" customWidth="1"/>
    <col min="10239" max="10239" width="10.140625" style="163" customWidth="1"/>
    <col min="10240" max="10241" width="13" style="163" customWidth="1"/>
    <col min="10242" max="10242" width="0.42578125" style="163" customWidth="1"/>
    <col min="10243" max="10243" width="12.7109375" style="163" bestFit="1" customWidth="1"/>
    <col min="10244" max="10244" width="12.140625" style="163" customWidth="1"/>
    <col min="10245" max="10245" width="10.140625" style="163" customWidth="1"/>
    <col min="10246" max="10246" width="13" style="163" customWidth="1"/>
    <col min="10247" max="10247" width="0.42578125" style="163" customWidth="1"/>
    <col min="10248" max="10248" width="12.7109375" style="163" bestFit="1" customWidth="1"/>
    <col min="10249" max="10249" width="12.140625" style="163" customWidth="1"/>
    <col min="10250" max="10250" width="10.140625" style="163" customWidth="1"/>
    <col min="10251" max="10252" width="13" style="163" customWidth="1"/>
    <col min="10253" max="10253" width="0.42578125" style="163" customWidth="1"/>
    <col min="10254" max="10254" width="12.7109375" style="163" bestFit="1" customWidth="1"/>
    <col min="10255" max="10255" width="12.140625" style="163" customWidth="1"/>
    <col min="10256" max="10256" width="10.140625" style="163" customWidth="1"/>
    <col min="10257" max="10258" width="13" style="163" customWidth="1"/>
    <col min="10259" max="10259" width="8.28515625" style="163" customWidth="1"/>
    <col min="10260" max="10260" width="11" style="163" customWidth="1"/>
    <col min="10261" max="10455" width="9.140625" style="163" customWidth="1"/>
    <col min="10456" max="10489" width="6.7109375" style="163"/>
    <col min="10490" max="10490" width="12.5703125" style="163" customWidth="1"/>
    <col min="10491" max="10491" width="31.85546875" style="163" customWidth="1"/>
    <col min="10492" max="10492" width="0.42578125" style="163" customWidth="1"/>
    <col min="10493" max="10493" width="12.7109375" style="163" bestFit="1" customWidth="1"/>
    <col min="10494" max="10494" width="12.140625" style="163" customWidth="1"/>
    <col min="10495" max="10495" width="10.140625" style="163" customWidth="1"/>
    <col min="10496" max="10497" width="13" style="163" customWidth="1"/>
    <col min="10498" max="10498" width="0.42578125" style="163" customWidth="1"/>
    <col min="10499" max="10499" width="12.7109375" style="163" bestFit="1" customWidth="1"/>
    <col min="10500" max="10500" width="12.140625" style="163" customWidth="1"/>
    <col min="10501" max="10501" width="10.140625" style="163" customWidth="1"/>
    <col min="10502" max="10502" width="13" style="163" customWidth="1"/>
    <col min="10503" max="10503" width="0.42578125" style="163" customWidth="1"/>
    <col min="10504" max="10504" width="12.7109375" style="163" bestFit="1" customWidth="1"/>
    <col min="10505" max="10505" width="12.140625" style="163" customWidth="1"/>
    <col min="10506" max="10506" width="10.140625" style="163" customWidth="1"/>
    <col min="10507" max="10508" width="13" style="163" customWidth="1"/>
    <col min="10509" max="10509" width="0.42578125" style="163" customWidth="1"/>
    <col min="10510" max="10510" width="12.7109375" style="163" bestFit="1" customWidth="1"/>
    <col min="10511" max="10511" width="12.140625" style="163" customWidth="1"/>
    <col min="10512" max="10512" width="10.140625" style="163" customWidth="1"/>
    <col min="10513" max="10514" width="13" style="163" customWidth="1"/>
    <col min="10515" max="10515" width="8.28515625" style="163" customWidth="1"/>
    <col min="10516" max="10516" width="11" style="163" customWidth="1"/>
    <col min="10517" max="10711" width="9.140625" style="163" customWidth="1"/>
    <col min="10712" max="10745" width="6.7109375" style="163"/>
    <col min="10746" max="10746" width="12.5703125" style="163" customWidth="1"/>
    <col min="10747" max="10747" width="31.85546875" style="163" customWidth="1"/>
    <col min="10748" max="10748" width="0.42578125" style="163" customWidth="1"/>
    <col min="10749" max="10749" width="12.7109375" style="163" bestFit="1" customWidth="1"/>
    <col min="10750" max="10750" width="12.140625" style="163" customWidth="1"/>
    <col min="10751" max="10751" width="10.140625" style="163" customWidth="1"/>
    <col min="10752" max="10753" width="13" style="163" customWidth="1"/>
    <col min="10754" max="10754" width="0.42578125" style="163" customWidth="1"/>
    <col min="10755" max="10755" width="12.7109375" style="163" bestFit="1" customWidth="1"/>
    <col min="10756" max="10756" width="12.140625" style="163" customWidth="1"/>
    <col min="10757" max="10757" width="10.140625" style="163" customWidth="1"/>
    <col min="10758" max="10758" width="13" style="163" customWidth="1"/>
    <col min="10759" max="10759" width="0.42578125" style="163" customWidth="1"/>
    <col min="10760" max="10760" width="12.7109375" style="163" bestFit="1" customWidth="1"/>
    <col min="10761" max="10761" width="12.140625" style="163" customWidth="1"/>
    <col min="10762" max="10762" width="10.140625" style="163" customWidth="1"/>
    <col min="10763" max="10764" width="13" style="163" customWidth="1"/>
    <col min="10765" max="10765" width="0.42578125" style="163" customWidth="1"/>
    <col min="10766" max="10766" width="12.7109375" style="163" bestFit="1" customWidth="1"/>
    <col min="10767" max="10767" width="12.140625" style="163" customWidth="1"/>
    <col min="10768" max="10768" width="10.140625" style="163" customWidth="1"/>
    <col min="10769" max="10770" width="13" style="163" customWidth="1"/>
    <col min="10771" max="10771" width="8.28515625" style="163" customWidth="1"/>
    <col min="10772" max="10772" width="11" style="163" customWidth="1"/>
    <col min="10773" max="10967" width="9.140625" style="163" customWidth="1"/>
    <col min="10968" max="11001" width="6.7109375" style="163"/>
    <col min="11002" max="11002" width="12.5703125" style="163" customWidth="1"/>
    <col min="11003" max="11003" width="31.85546875" style="163" customWidth="1"/>
    <col min="11004" max="11004" width="0.42578125" style="163" customWidth="1"/>
    <col min="11005" max="11005" width="12.7109375" style="163" bestFit="1" customWidth="1"/>
    <col min="11006" max="11006" width="12.140625" style="163" customWidth="1"/>
    <col min="11007" max="11007" width="10.140625" style="163" customWidth="1"/>
    <col min="11008" max="11009" width="13" style="163" customWidth="1"/>
    <col min="11010" max="11010" width="0.42578125" style="163" customWidth="1"/>
    <col min="11011" max="11011" width="12.7109375" style="163" bestFit="1" customWidth="1"/>
    <col min="11012" max="11012" width="12.140625" style="163" customWidth="1"/>
    <col min="11013" max="11013" width="10.140625" style="163" customWidth="1"/>
    <col min="11014" max="11014" width="13" style="163" customWidth="1"/>
    <col min="11015" max="11015" width="0.42578125" style="163" customWidth="1"/>
    <col min="11016" max="11016" width="12.7109375" style="163" bestFit="1" customWidth="1"/>
    <col min="11017" max="11017" width="12.140625" style="163" customWidth="1"/>
    <col min="11018" max="11018" width="10.140625" style="163" customWidth="1"/>
    <col min="11019" max="11020" width="13" style="163" customWidth="1"/>
    <col min="11021" max="11021" width="0.42578125" style="163" customWidth="1"/>
    <col min="11022" max="11022" width="12.7109375" style="163" bestFit="1" customWidth="1"/>
    <col min="11023" max="11023" width="12.140625" style="163" customWidth="1"/>
    <col min="11024" max="11024" width="10.140625" style="163" customWidth="1"/>
    <col min="11025" max="11026" width="13" style="163" customWidth="1"/>
    <col min="11027" max="11027" width="8.28515625" style="163" customWidth="1"/>
    <col min="11028" max="11028" width="11" style="163" customWidth="1"/>
    <col min="11029" max="11223" width="9.140625" style="163" customWidth="1"/>
    <col min="11224" max="11257" width="6.7109375" style="163"/>
    <col min="11258" max="11258" width="12.5703125" style="163" customWidth="1"/>
    <col min="11259" max="11259" width="31.85546875" style="163" customWidth="1"/>
    <col min="11260" max="11260" width="0.42578125" style="163" customWidth="1"/>
    <col min="11261" max="11261" width="12.7109375" style="163" bestFit="1" customWidth="1"/>
    <col min="11262" max="11262" width="12.140625" style="163" customWidth="1"/>
    <col min="11263" max="11263" width="10.140625" style="163" customWidth="1"/>
    <col min="11264" max="11265" width="13" style="163" customWidth="1"/>
    <col min="11266" max="11266" width="0.42578125" style="163" customWidth="1"/>
    <col min="11267" max="11267" width="12.7109375" style="163" bestFit="1" customWidth="1"/>
    <col min="11268" max="11268" width="12.140625" style="163" customWidth="1"/>
    <col min="11269" max="11269" width="10.140625" style="163" customWidth="1"/>
    <col min="11270" max="11270" width="13" style="163" customWidth="1"/>
    <col min="11271" max="11271" width="0.42578125" style="163" customWidth="1"/>
    <col min="11272" max="11272" width="12.7109375" style="163" bestFit="1" customWidth="1"/>
    <col min="11273" max="11273" width="12.140625" style="163" customWidth="1"/>
    <col min="11274" max="11274" width="10.140625" style="163" customWidth="1"/>
    <col min="11275" max="11276" width="13" style="163" customWidth="1"/>
    <col min="11277" max="11277" width="0.42578125" style="163" customWidth="1"/>
    <col min="11278" max="11278" width="12.7109375" style="163" bestFit="1" customWidth="1"/>
    <col min="11279" max="11279" width="12.140625" style="163" customWidth="1"/>
    <col min="11280" max="11280" width="10.140625" style="163" customWidth="1"/>
    <col min="11281" max="11282" width="13" style="163" customWidth="1"/>
    <col min="11283" max="11283" width="8.28515625" style="163" customWidth="1"/>
    <col min="11284" max="11284" width="11" style="163" customWidth="1"/>
    <col min="11285" max="11479" width="9.140625" style="163" customWidth="1"/>
    <col min="11480" max="11513" width="6.7109375" style="163"/>
    <col min="11514" max="11514" width="12.5703125" style="163" customWidth="1"/>
    <col min="11515" max="11515" width="31.85546875" style="163" customWidth="1"/>
    <col min="11516" max="11516" width="0.42578125" style="163" customWidth="1"/>
    <col min="11517" max="11517" width="12.7109375" style="163" bestFit="1" customWidth="1"/>
    <col min="11518" max="11518" width="12.140625" style="163" customWidth="1"/>
    <col min="11519" max="11519" width="10.140625" style="163" customWidth="1"/>
    <col min="11520" max="11521" width="13" style="163" customWidth="1"/>
    <col min="11522" max="11522" width="0.42578125" style="163" customWidth="1"/>
    <col min="11523" max="11523" width="12.7109375" style="163" bestFit="1" customWidth="1"/>
    <col min="11524" max="11524" width="12.140625" style="163" customWidth="1"/>
    <col min="11525" max="11525" width="10.140625" style="163" customWidth="1"/>
    <col min="11526" max="11526" width="13" style="163" customWidth="1"/>
    <col min="11527" max="11527" width="0.42578125" style="163" customWidth="1"/>
    <col min="11528" max="11528" width="12.7109375" style="163" bestFit="1" customWidth="1"/>
    <col min="11529" max="11529" width="12.140625" style="163" customWidth="1"/>
    <col min="11530" max="11530" width="10.140625" style="163" customWidth="1"/>
    <col min="11531" max="11532" width="13" style="163" customWidth="1"/>
    <col min="11533" max="11533" width="0.42578125" style="163" customWidth="1"/>
    <col min="11534" max="11534" width="12.7109375" style="163" bestFit="1" customWidth="1"/>
    <col min="11535" max="11535" width="12.140625" style="163" customWidth="1"/>
    <col min="11536" max="11536" width="10.140625" style="163" customWidth="1"/>
    <col min="11537" max="11538" width="13" style="163" customWidth="1"/>
    <col min="11539" max="11539" width="8.28515625" style="163" customWidth="1"/>
    <col min="11540" max="11540" width="11" style="163" customWidth="1"/>
    <col min="11541" max="11735" width="9.140625" style="163" customWidth="1"/>
    <col min="11736" max="11769" width="6.7109375" style="163"/>
    <col min="11770" max="11770" width="12.5703125" style="163" customWidth="1"/>
    <col min="11771" max="11771" width="31.85546875" style="163" customWidth="1"/>
    <col min="11772" max="11772" width="0.42578125" style="163" customWidth="1"/>
    <col min="11773" max="11773" width="12.7109375" style="163" bestFit="1" customWidth="1"/>
    <col min="11774" max="11774" width="12.140625" style="163" customWidth="1"/>
    <col min="11775" max="11775" width="10.140625" style="163" customWidth="1"/>
    <col min="11776" max="11777" width="13" style="163" customWidth="1"/>
    <col min="11778" max="11778" width="0.42578125" style="163" customWidth="1"/>
    <col min="11779" max="11779" width="12.7109375" style="163" bestFit="1" customWidth="1"/>
    <col min="11780" max="11780" width="12.140625" style="163" customWidth="1"/>
    <col min="11781" max="11781" width="10.140625" style="163" customWidth="1"/>
    <col min="11782" max="11782" width="13" style="163" customWidth="1"/>
    <col min="11783" max="11783" width="0.42578125" style="163" customWidth="1"/>
    <col min="11784" max="11784" width="12.7109375" style="163" bestFit="1" customWidth="1"/>
    <col min="11785" max="11785" width="12.140625" style="163" customWidth="1"/>
    <col min="11786" max="11786" width="10.140625" style="163" customWidth="1"/>
    <col min="11787" max="11788" width="13" style="163" customWidth="1"/>
    <col min="11789" max="11789" width="0.42578125" style="163" customWidth="1"/>
    <col min="11790" max="11790" width="12.7109375" style="163" bestFit="1" customWidth="1"/>
    <col min="11791" max="11791" width="12.140625" style="163" customWidth="1"/>
    <col min="11792" max="11792" width="10.140625" style="163" customWidth="1"/>
    <col min="11793" max="11794" width="13" style="163" customWidth="1"/>
    <col min="11795" max="11795" width="8.28515625" style="163" customWidth="1"/>
    <col min="11796" max="11796" width="11" style="163" customWidth="1"/>
    <col min="11797" max="11991" width="9.140625" style="163" customWidth="1"/>
    <col min="11992" max="12025" width="6.7109375" style="163"/>
    <col min="12026" max="12026" width="12.5703125" style="163" customWidth="1"/>
    <col min="12027" max="12027" width="31.85546875" style="163" customWidth="1"/>
    <col min="12028" max="12028" width="0.42578125" style="163" customWidth="1"/>
    <col min="12029" max="12029" width="12.7109375" style="163" bestFit="1" customWidth="1"/>
    <col min="12030" max="12030" width="12.140625" style="163" customWidth="1"/>
    <col min="12031" max="12031" width="10.140625" style="163" customWidth="1"/>
    <col min="12032" max="12033" width="13" style="163" customWidth="1"/>
    <col min="12034" max="12034" width="0.42578125" style="163" customWidth="1"/>
    <col min="12035" max="12035" width="12.7109375" style="163" bestFit="1" customWidth="1"/>
    <col min="12036" max="12036" width="12.140625" style="163" customWidth="1"/>
    <col min="12037" max="12037" width="10.140625" style="163" customWidth="1"/>
    <col min="12038" max="12038" width="13" style="163" customWidth="1"/>
    <col min="12039" max="12039" width="0.42578125" style="163" customWidth="1"/>
    <col min="12040" max="12040" width="12.7109375" style="163" bestFit="1" customWidth="1"/>
    <col min="12041" max="12041" width="12.140625" style="163" customWidth="1"/>
    <col min="12042" max="12042" width="10.140625" style="163" customWidth="1"/>
    <col min="12043" max="12044" width="13" style="163" customWidth="1"/>
    <col min="12045" max="12045" width="0.42578125" style="163" customWidth="1"/>
    <col min="12046" max="12046" width="12.7109375" style="163" bestFit="1" customWidth="1"/>
    <col min="12047" max="12047" width="12.140625" style="163" customWidth="1"/>
    <col min="12048" max="12048" width="10.140625" style="163" customWidth="1"/>
    <col min="12049" max="12050" width="13" style="163" customWidth="1"/>
    <col min="12051" max="12051" width="8.28515625" style="163" customWidth="1"/>
    <col min="12052" max="12052" width="11" style="163" customWidth="1"/>
    <col min="12053" max="12247" width="9.140625" style="163" customWidth="1"/>
    <col min="12248" max="12281" width="6.7109375" style="163"/>
    <col min="12282" max="12282" width="12.5703125" style="163" customWidth="1"/>
    <col min="12283" max="12283" width="31.85546875" style="163" customWidth="1"/>
    <col min="12284" max="12284" width="0.42578125" style="163" customWidth="1"/>
    <col min="12285" max="12285" width="12.7109375" style="163" bestFit="1" customWidth="1"/>
    <col min="12286" max="12286" width="12.140625" style="163" customWidth="1"/>
    <col min="12287" max="12287" width="10.140625" style="163" customWidth="1"/>
    <col min="12288" max="12289" width="13" style="163" customWidth="1"/>
    <col min="12290" max="12290" width="0.42578125" style="163" customWidth="1"/>
    <col min="12291" max="12291" width="12.7109375" style="163" bestFit="1" customWidth="1"/>
    <col min="12292" max="12292" width="12.140625" style="163" customWidth="1"/>
    <col min="12293" max="12293" width="10.140625" style="163" customWidth="1"/>
    <col min="12294" max="12294" width="13" style="163" customWidth="1"/>
    <col min="12295" max="12295" width="0.42578125" style="163" customWidth="1"/>
    <col min="12296" max="12296" width="12.7109375" style="163" bestFit="1" customWidth="1"/>
    <col min="12297" max="12297" width="12.140625" style="163" customWidth="1"/>
    <col min="12298" max="12298" width="10.140625" style="163" customWidth="1"/>
    <col min="12299" max="12300" width="13" style="163" customWidth="1"/>
    <col min="12301" max="12301" width="0.42578125" style="163" customWidth="1"/>
    <col min="12302" max="12302" width="12.7109375" style="163" bestFit="1" customWidth="1"/>
    <col min="12303" max="12303" width="12.140625" style="163" customWidth="1"/>
    <col min="12304" max="12304" width="10.140625" style="163" customWidth="1"/>
    <col min="12305" max="12306" width="13" style="163" customWidth="1"/>
    <col min="12307" max="12307" width="8.28515625" style="163" customWidth="1"/>
    <col min="12308" max="12308" width="11" style="163" customWidth="1"/>
    <col min="12309" max="12503" width="9.140625" style="163" customWidth="1"/>
    <col min="12504" max="12537" width="6.7109375" style="163"/>
    <col min="12538" max="12538" width="12.5703125" style="163" customWidth="1"/>
    <col min="12539" max="12539" width="31.85546875" style="163" customWidth="1"/>
    <col min="12540" max="12540" width="0.42578125" style="163" customWidth="1"/>
    <col min="12541" max="12541" width="12.7109375" style="163" bestFit="1" customWidth="1"/>
    <col min="12542" max="12542" width="12.140625" style="163" customWidth="1"/>
    <col min="12543" max="12543" width="10.140625" style="163" customWidth="1"/>
    <col min="12544" max="12545" width="13" style="163" customWidth="1"/>
    <col min="12546" max="12546" width="0.42578125" style="163" customWidth="1"/>
    <col min="12547" max="12547" width="12.7109375" style="163" bestFit="1" customWidth="1"/>
    <col min="12548" max="12548" width="12.140625" style="163" customWidth="1"/>
    <col min="12549" max="12549" width="10.140625" style="163" customWidth="1"/>
    <col min="12550" max="12550" width="13" style="163" customWidth="1"/>
    <col min="12551" max="12551" width="0.42578125" style="163" customWidth="1"/>
    <col min="12552" max="12552" width="12.7109375" style="163" bestFit="1" customWidth="1"/>
    <col min="12553" max="12553" width="12.140625" style="163" customWidth="1"/>
    <col min="12554" max="12554" width="10.140625" style="163" customWidth="1"/>
    <col min="12555" max="12556" width="13" style="163" customWidth="1"/>
    <col min="12557" max="12557" width="0.42578125" style="163" customWidth="1"/>
    <col min="12558" max="12558" width="12.7109375" style="163" bestFit="1" customWidth="1"/>
    <col min="12559" max="12559" width="12.140625" style="163" customWidth="1"/>
    <col min="12560" max="12560" width="10.140625" style="163" customWidth="1"/>
    <col min="12561" max="12562" width="13" style="163" customWidth="1"/>
    <col min="12563" max="12563" width="8.28515625" style="163" customWidth="1"/>
    <col min="12564" max="12564" width="11" style="163" customWidth="1"/>
    <col min="12565" max="12759" width="9.140625" style="163" customWidth="1"/>
    <col min="12760" max="12793" width="6.7109375" style="163"/>
    <col min="12794" max="12794" width="12.5703125" style="163" customWidth="1"/>
    <col min="12795" max="12795" width="31.85546875" style="163" customWidth="1"/>
    <col min="12796" max="12796" width="0.42578125" style="163" customWidth="1"/>
    <col min="12797" max="12797" width="12.7109375" style="163" bestFit="1" customWidth="1"/>
    <col min="12798" max="12798" width="12.140625" style="163" customWidth="1"/>
    <col min="12799" max="12799" width="10.140625" style="163" customWidth="1"/>
    <col min="12800" max="12801" width="13" style="163" customWidth="1"/>
    <col min="12802" max="12802" width="0.42578125" style="163" customWidth="1"/>
    <col min="12803" max="12803" width="12.7109375" style="163" bestFit="1" customWidth="1"/>
    <col min="12804" max="12804" width="12.140625" style="163" customWidth="1"/>
    <col min="12805" max="12805" width="10.140625" style="163" customWidth="1"/>
    <col min="12806" max="12806" width="13" style="163" customWidth="1"/>
    <col min="12807" max="12807" width="0.42578125" style="163" customWidth="1"/>
    <col min="12808" max="12808" width="12.7109375" style="163" bestFit="1" customWidth="1"/>
    <col min="12809" max="12809" width="12.140625" style="163" customWidth="1"/>
    <col min="12810" max="12810" width="10.140625" style="163" customWidth="1"/>
    <col min="12811" max="12812" width="13" style="163" customWidth="1"/>
    <col min="12813" max="12813" width="0.42578125" style="163" customWidth="1"/>
    <col min="12814" max="12814" width="12.7109375" style="163" bestFit="1" customWidth="1"/>
    <col min="12815" max="12815" width="12.140625" style="163" customWidth="1"/>
    <col min="12816" max="12816" width="10.140625" style="163" customWidth="1"/>
    <col min="12817" max="12818" width="13" style="163" customWidth="1"/>
    <col min="12819" max="12819" width="8.28515625" style="163" customWidth="1"/>
    <col min="12820" max="12820" width="11" style="163" customWidth="1"/>
    <col min="12821" max="13015" width="9.140625" style="163" customWidth="1"/>
    <col min="13016" max="13049" width="6.7109375" style="163"/>
    <col min="13050" max="13050" width="12.5703125" style="163" customWidth="1"/>
    <col min="13051" max="13051" width="31.85546875" style="163" customWidth="1"/>
    <col min="13052" max="13052" width="0.42578125" style="163" customWidth="1"/>
    <col min="13053" max="13053" width="12.7109375" style="163" bestFit="1" customWidth="1"/>
    <col min="13054" max="13054" width="12.140625" style="163" customWidth="1"/>
    <col min="13055" max="13055" width="10.140625" style="163" customWidth="1"/>
    <col min="13056" max="13057" width="13" style="163" customWidth="1"/>
    <col min="13058" max="13058" width="0.42578125" style="163" customWidth="1"/>
    <col min="13059" max="13059" width="12.7109375" style="163" bestFit="1" customWidth="1"/>
    <col min="13060" max="13060" width="12.140625" style="163" customWidth="1"/>
    <col min="13061" max="13061" width="10.140625" style="163" customWidth="1"/>
    <col min="13062" max="13062" width="13" style="163" customWidth="1"/>
    <col min="13063" max="13063" width="0.42578125" style="163" customWidth="1"/>
    <col min="13064" max="13064" width="12.7109375" style="163" bestFit="1" customWidth="1"/>
    <col min="13065" max="13065" width="12.140625" style="163" customWidth="1"/>
    <col min="13066" max="13066" width="10.140625" style="163" customWidth="1"/>
    <col min="13067" max="13068" width="13" style="163" customWidth="1"/>
    <col min="13069" max="13069" width="0.42578125" style="163" customWidth="1"/>
    <col min="13070" max="13070" width="12.7109375" style="163" bestFit="1" customWidth="1"/>
    <col min="13071" max="13071" width="12.140625" style="163" customWidth="1"/>
    <col min="13072" max="13072" width="10.140625" style="163" customWidth="1"/>
    <col min="13073" max="13074" width="13" style="163" customWidth="1"/>
    <col min="13075" max="13075" width="8.28515625" style="163" customWidth="1"/>
    <col min="13076" max="13076" width="11" style="163" customWidth="1"/>
    <col min="13077" max="13271" width="9.140625" style="163" customWidth="1"/>
    <col min="13272" max="13305" width="6.7109375" style="163"/>
    <col min="13306" max="13306" width="12.5703125" style="163" customWidth="1"/>
    <col min="13307" max="13307" width="31.85546875" style="163" customWidth="1"/>
    <col min="13308" max="13308" width="0.42578125" style="163" customWidth="1"/>
    <col min="13309" max="13309" width="12.7109375" style="163" bestFit="1" customWidth="1"/>
    <col min="13310" max="13310" width="12.140625" style="163" customWidth="1"/>
    <col min="13311" max="13311" width="10.140625" style="163" customWidth="1"/>
    <col min="13312" max="13313" width="13" style="163" customWidth="1"/>
    <col min="13314" max="13314" width="0.42578125" style="163" customWidth="1"/>
    <col min="13315" max="13315" width="12.7109375" style="163" bestFit="1" customWidth="1"/>
    <col min="13316" max="13316" width="12.140625" style="163" customWidth="1"/>
    <col min="13317" max="13317" width="10.140625" style="163" customWidth="1"/>
    <col min="13318" max="13318" width="13" style="163" customWidth="1"/>
    <col min="13319" max="13319" width="0.42578125" style="163" customWidth="1"/>
    <col min="13320" max="13320" width="12.7109375" style="163" bestFit="1" customWidth="1"/>
    <col min="13321" max="13321" width="12.140625" style="163" customWidth="1"/>
    <col min="13322" max="13322" width="10.140625" style="163" customWidth="1"/>
    <col min="13323" max="13324" width="13" style="163" customWidth="1"/>
    <col min="13325" max="13325" width="0.42578125" style="163" customWidth="1"/>
    <col min="13326" max="13326" width="12.7109375" style="163" bestFit="1" customWidth="1"/>
    <col min="13327" max="13327" width="12.140625" style="163" customWidth="1"/>
    <col min="13328" max="13328" width="10.140625" style="163" customWidth="1"/>
    <col min="13329" max="13330" width="13" style="163" customWidth="1"/>
    <col min="13331" max="13331" width="8.28515625" style="163" customWidth="1"/>
    <col min="13332" max="13332" width="11" style="163" customWidth="1"/>
    <col min="13333" max="13527" width="9.140625" style="163" customWidth="1"/>
    <col min="13528" max="13561" width="6.7109375" style="163"/>
    <col min="13562" max="13562" width="12.5703125" style="163" customWidth="1"/>
    <col min="13563" max="13563" width="31.85546875" style="163" customWidth="1"/>
    <col min="13564" max="13564" width="0.42578125" style="163" customWidth="1"/>
    <col min="13565" max="13565" width="12.7109375" style="163" bestFit="1" customWidth="1"/>
    <col min="13566" max="13566" width="12.140625" style="163" customWidth="1"/>
    <col min="13567" max="13567" width="10.140625" style="163" customWidth="1"/>
    <col min="13568" max="13569" width="13" style="163" customWidth="1"/>
    <col min="13570" max="13570" width="0.42578125" style="163" customWidth="1"/>
    <col min="13571" max="13571" width="12.7109375" style="163" bestFit="1" customWidth="1"/>
    <col min="13572" max="13572" width="12.140625" style="163" customWidth="1"/>
    <col min="13573" max="13573" width="10.140625" style="163" customWidth="1"/>
    <col min="13574" max="13574" width="13" style="163" customWidth="1"/>
    <col min="13575" max="13575" width="0.42578125" style="163" customWidth="1"/>
    <col min="13576" max="13576" width="12.7109375" style="163" bestFit="1" customWidth="1"/>
    <col min="13577" max="13577" width="12.140625" style="163" customWidth="1"/>
    <col min="13578" max="13578" width="10.140625" style="163" customWidth="1"/>
    <col min="13579" max="13580" width="13" style="163" customWidth="1"/>
    <col min="13581" max="13581" width="0.42578125" style="163" customWidth="1"/>
    <col min="13582" max="13582" width="12.7109375" style="163" bestFit="1" customWidth="1"/>
    <col min="13583" max="13583" width="12.140625" style="163" customWidth="1"/>
    <col min="13584" max="13584" width="10.140625" style="163" customWidth="1"/>
    <col min="13585" max="13586" width="13" style="163" customWidth="1"/>
    <col min="13587" max="13587" width="8.28515625" style="163" customWidth="1"/>
    <col min="13588" max="13588" width="11" style="163" customWidth="1"/>
    <col min="13589" max="13783" width="9.140625" style="163" customWidth="1"/>
    <col min="13784" max="13817" width="6.7109375" style="163"/>
    <col min="13818" max="13818" width="12.5703125" style="163" customWidth="1"/>
    <col min="13819" max="13819" width="31.85546875" style="163" customWidth="1"/>
    <col min="13820" max="13820" width="0.42578125" style="163" customWidth="1"/>
    <col min="13821" max="13821" width="12.7109375" style="163" bestFit="1" customWidth="1"/>
    <col min="13822" max="13822" width="12.140625" style="163" customWidth="1"/>
    <col min="13823" max="13823" width="10.140625" style="163" customWidth="1"/>
    <col min="13824" max="13825" width="13" style="163" customWidth="1"/>
    <col min="13826" max="13826" width="0.42578125" style="163" customWidth="1"/>
    <col min="13827" max="13827" width="12.7109375" style="163" bestFit="1" customWidth="1"/>
    <col min="13828" max="13828" width="12.140625" style="163" customWidth="1"/>
    <col min="13829" max="13829" width="10.140625" style="163" customWidth="1"/>
    <col min="13830" max="13830" width="13" style="163" customWidth="1"/>
    <col min="13831" max="13831" width="0.42578125" style="163" customWidth="1"/>
    <col min="13832" max="13832" width="12.7109375" style="163" bestFit="1" customWidth="1"/>
    <col min="13833" max="13833" width="12.140625" style="163" customWidth="1"/>
    <col min="13834" max="13834" width="10.140625" style="163" customWidth="1"/>
    <col min="13835" max="13836" width="13" style="163" customWidth="1"/>
    <col min="13837" max="13837" width="0.42578125" style="163" customWidth="1"/>
    <col min="13838" max="13838" width="12.7109375" style="163" bestFit="1" customWidth="1"/>
    <col min="13839" max="13839" width="12.140625" style="163" customWidth="1"/>
    <col min="13840" max="13840" width="10.140625" style="163" customWidth="1"/>
    <col min="13841" max="13842" width="13" style="163" customWidth="1"/>
    <col min="13843" max="13843" width="8.28515625" style="163" customWidth="1"/>
    <col min="13844" max="13844" width="11" style="163" customWidth="1"/>
    <col min="13845" max="14039" width="9.140625" style="163" customWidth="1"/>
    <col min="14040" max="14073" width="6.7109375" style="163"/>
    <col min="14074" max="14074" width="12.5703125" style="163" customWidth="1"/>
    <col min="14075" max="14075" width="31.85546875" style="163" customWidth="1"/>
    <col min="14076" max="14076" width="0.42578125" style="163" customWidth="1"/>
    <col min="14077" max="14077" width="12.7109375" style="163" bestFit="1" customWidth="1"/>
    <col min="14078" max="14078" width="12.140625" style="163" customWidth="1"/>
    <col min="14079" max="14079" width="10.140625" style="163" customWidth="1"/>
    <col min="14080" max="14081" width="13" style="163" customWidth="1"/>
    <col min="14082" max="14082" width="0.42578125" style="163" customWidth="1"/>
    <col min="14083" max="14083" width="12.7109375" style="163" bestFit="1" customWidth="1"/>
    <col min="14084" max="14084" width="12.140625" style="163" customWidth="1"/>
    <col min="14085" max="14085" width="10.140625" style="163" customWidth="1"/>
    <col min="14086" max="14086" width="13" style="163" customWidth="1"/>
    <col min="14087" max="14087" width="0.42578125" style="163" customWidth="1"/>
    <col min="14088" max="14088" width="12.7109375" style="163" bestFit="1" customWidth="1"/>
    <col min="14089" max="14089" width="12.140625" style="163" customWidth="1"/>
    <col min="14090" max="14090" width="10.140625" style="163" customWidth="1"/>
    <col min="14091" max="14092" width="13" style="163" customWidth="1"/>
    <col min="14093" max="14093" width="0.42578125" style="163" customWidth="1"/>
    <col min="14094" max="14094" width="12.7109375" style="163" bestFit="1" customWidth="1"/>
    <col min="14095" max="14095" width="12.140625" style="163" customWidth="1"/>
    <col min="14096" max="14096" width="10.140625" style="163" customWidth="1"/>
    <col min="14097" max="14098" width="13" style="163" customWidth="1"/>
    <col min="14099" max="14099" width="8.28515625" style="163" customWidth="1"/>
    <col min="14100" max="14100" width="11" style="163" customWidth="1"/>
    <col min="14101" max="14295" width="9.140625" style="163" customWidth="1"/>
    <col min="14296" max="14329" width="6.7109375" style="163"/>
    <col min="14330" max="14330" width="12.5703125" style="163" customWidth="1"/>
    <col min="14331" max="14331" width="31.85546875" style="163" customWidth="1"/>
    <col min="14332" max="14332" width="0.42578125" style="163" customWidth="1"/>
    <col min="14333" max="14333" width="12.7109375" style="163" bestFit="1" customWidth="1"/>
    <col min="14334" max="14334" width="12.140625" style="163" customWidth="1"/>
    <col min="14335" max="14335" width="10.140625" style="163" customWidth="1"/>
    <col min="14336" max="14337" width="13" style="163" customWidth="1"/>
    <col min="14338" max="14338" width="0.42578125" style="163" customWidth="1"/>
    <col min="14339" max="14339" width="12.7109375" style="163" bestFit="1" customWidth="1"/>
    <col min="14340" max="14340" width="12.140625" style="163" customWidth="1"/>
    <col min="14341" max="14341" width="10.140625" style="163" customWidth="1"/>
    <col min="14342" max="14342" width="13" style="163" customWidth="1"/>
    <col min="14343" max="14343" width="0.42578125" style="163" customWidth="1"/>
    <col min="14344" max="14344" width="12.7109375" style="163" bestFit="1" customWidth="1"/>
    <col min="14345" max="14345" width="12.140625" style="163" customWidth="1"/>
    <col min="14346" max="14346" width="10.140625" style="163" customWidth="1"/>
    <col min="14347" max="14348" width="13" style="163" customWidth="1"/>
    <col min="14349" max="14349" width="0.42578125" style="163" customWidth="1"/>
    <col min="14350" max="14350" width="12.7109375" style="163" bestFit="1" customWidth="1"/>
    <col min="14351" max="14351" width="12.140625" style="163" customWidth="1"/>
    <col min="14352" max="14352" width="10.140625" style="163" customWidth="1"/>
    <col min="14353" max="14354" width="13" style="163" customWidth="1"/>
    <col min="14355" max="14355" width="8.28515625" style="163" customWidth="1"/>
    <col min="14356" max="14356" width="11" style="163" customWidth="1"/>
    <col min="14357" max="14551" width="9.140625" style="163" customWidth="1"/>
    <col min="14552" max="14585" width="6.7109375" style="163"/>
    <col min="14586" max="14586" width="12.5703125" style="163" customWidth="1"/>
    <col min="14587" max="14587" width="31.85546875" style="163" customWidth="1"/>
    <col min="14588" max="14588" width="0.42578125" style="163" customWidth="1"/>
    <col min="14589" max="14589" width="12.7109375" style="163" bestFit="1" customWidth="1"/>
    <col min="14590" max="14590" width="12.140625" style="163" customWidth="1"/>
    <col min="14591" max="14591" width="10.140625" style="163" customWidth="1"/>
    <col min="14592" max="14593" width="13" style="163" customWidth="1"/>
    <col min="14594" max="14594" width="0.42578125" style="163" customWidth="1"/>
    <col min="14595" max="14595" width="12.7109375" style="163" bestFit="1" customWidth="1"/>
    <col min="14596" max="14596" width="12.140625" style="163" customWidth="1"/>
    <col min="14597" max="14597" width="10.140625" style="163" customWidth="1"/>
    <col min="14598" max="14598" width="13" style="163" customWidth="1"/>
    <col min="14599" max="14599" width="0.42578125" style="163" customWidth="1"/>
    <col min="14600" max="14600" width="12.7109375" style="163" bestFit="1" customWidth="1"/>
    <col min="14601" max="14601" width="12.140625" style="163" customWidth="1"/>
    <col min="14602" max="14602" width="10.140625" style="163" customWidth="1"/>
    <col min="14603" max="14604" width="13" style="163" customWidth="1"/>
    <col min="14605" max="14605" width="0.42578125" style="163" customWidth="1"/>
    <col min="14606" max="14606" width="12.7109375" style="163" bestFit="1" customWidth="1"/>
    <col min="14607" max="14607" width="12.140625" style="163" customWidth="1"/>
    <col min="14608" max="14608" width="10.140625" style="163" customWidth="1"/>
    <col min="14609" max="14610" width="13" style="163" customWidth="1"/>
    <col min="14611" max="14611" width="8.28515625" style="163" customWidth="1"/>
    <col min="14612" max="14612" width="11" style="163" customWidth="1"/>
    <col min="14613" max="14807" width="9.140625" style="163" customWidth="1"/>
    <col min="14808" max="14841" width="6.7109375" style="163"/>
    <col min="14842" max="14842" width="12.5703125" style="163" customWidth="1"/>
    <col min="14843" max="14843" width="31.85546875" style="163" customWidth="1"/>
    <col min="14844" max="14844" width="0.42578125" style="163" customWidth="1"/>
    <col min="14845" max="14845" width="12.7109375" style="163" bestFit="1" customWidth="1"/>
    <col min="14846" max="14846" width="12.140625" style="163" customWidth="1"/>
    <col min="14847" max="14847" width="10.140625" style="163" customWidth="1"/>
    <col min="14848" max="14849" width="13" style="163" customWidth="1"/>
    <col min="14850" max="14850" width="0.42578125" style="163" customWidth="1"/>
    <col min="14851" max="14851" width="12.7109375" style="163" bestFit="1" customWidth="1"/>
    <col min="14852" max="14852" width="12.140625" style="163" customWidth="1"/>
    <col min="14853" max="14853" width="10.140625" style="163" customWidth="1"/>
    <col min="14854" max="14854" width="13" style="163" customWidth="1"/>
    <col min="14855" max="14855" width="0.42578125" style="163" customWidth="1"/>
    <col min="14856" max="14856" width="12.7109375" style="163" bestFit="1" customWidth="1"/>
    <col min="14857" max="14857" width="12.140625" style="163" customWidth="1"/>
    <col min="14858" max="14858" width="10.140625" style="163" customWidth="1"/>
    <col min="14859" max="14860" width="13" style="163" customWidth="1"/>
    <col min="14861" max="14861" width="0.42578125" style="163" customWidth="1"/>
    <col min="14862" max="14862" width="12.7109375" style="163" bestFit="1" customWidth="1"/>
    <col min="14863" max="14863" width="12.140625" style="163" customWidth="1"/>
    <col min="14864" max="14864" width="10.140625" style="163" customWidth="1"/>
    <col min="14865" max="14866" width="13" style="163" customWidth="1"/>
    <col min="14867" max="14867" width="8.28515625" style="163" customWidth="1"/>
    <col min="14868" max="14868" width="11" style="163" customWidth="1"/>
    <col min="14869" max="15063" width="9.140625" style="163" customWidth="1"/>
    <col min="15064" max="15097" width="6.7109375" style="163"/>
    <col min="15098" max="15098" width="12.5703125" style="163" customWidth="1"/>
    <col min="15099" max="15099" width="31.85546875" style="163" customWidth="1"/>
    <col min="15100" max="15100" width="0.42578125" style="163" customWidth="1"/>
    <col min="15101" max="15101" width="12.7109375" style="163" bestFit="1" customWidth="1"/>
    <col min="15102" max="15102" width="12.140625" style="163" customWidth="1"/>
    <col min="15103" max="15103" width="10.140625" style="163" customWidth="1"/>
    <col min="15104" max="15105" width="13" style="163" customWidth="1"/>
    <col min="15106" max="15106" width="0.42578125" style="163" customWidth="1"/>
    <col min="15107" max="15107" width="12.7109375" style="163" bestFit="1" customWidth="1"/>
    <col min="15108" max="15108" width="12.140625" style="163" customWidth="1"/>
    <col min="15109" max="15109" width="10.140625" style="163" customWidth="1"/>
    <col min="15110" max="15110" width="13" style="163" customWidth="1"/>
    <col min="15111" max="15111" width="0.42578125" style="163" customWidth="1"/>
    <col min="15112" max="15112" width="12.7109375" style="163" bestFit="1" customWidth="1"/>
    <col min="15113" max="15113" width="12.140625" style="163" customWidth="1"/>
    <col min="15114" max="15114" width="10.140625" style="163" customWidth="1"/>
    <col min="15115" max="15116" width="13" style="163" customWidth="1"/>
    <col min="15117" max="15117" width="0.42578125" style="163" customWidth="1"/>
    <col min="15118" max="15118" width="12.7109375" style="163" bestFit="1" customWidth="1"/>
    <col min="15119" max="15119" width="12.140625" style="163" customWidth="1"/>
    <col min="15120" max="15120" width="10.140625" style="163" customWidth="1"/>
    <col min="15121" max="15122" width="13" style="163" customWidth="1"/>
    <col min="15123" max="15123" width="8.28515625" style="163" customWidth="1"/>
    <col min="15124" max="15124" width="11" style="163" customWidth="1"/>
    <col min="15125" max="15319" width="9.140625" style="163" customWidth="1"/>
    <col min="15320" max="15353" width="6.7109375" style="163"/>
    <col min="15354" max="15354" width="12.5703125" style="163" customWidth="1"/>
    <col min="15355" max="15355" width="31.85546875" style="163" customWidth="1"/>
    <col min="15356" max="15356" width="0.42578125" style="163" customWidth="1"/>
    <col min="15357" max="15357" width="12.7109375" style="163" bestFit="1" customWidth="1"/>
    <col min="15358" max="15358" width="12.140625" style="163" customWidth="1"/>
    <col min="15359" max="15359" width="10.140625" style="163" customWidth="1"/>
    <col min="15360" max="15361" width="13" style="163" customWidth="1"/>
    <col min="15362" max="15362" width="0.42578125" style="163" customWidth="1"/>
    <col min="15363" max="15363" width="12.7109375" style="163" bestFit="1" customWidth="1"/>
    <col min="15364" max="15364" width="12.140625" style="163" customWidth="1"/>
    <col min="15365" max="15365" width="10.140625" style="163" customWidth="1"/>
    <col min="15366" max="15366" width="13" style="163" customWidth="1"/>
    <col min="15367" max="15367" width="0.42578125" style="163" customWidth="1"/>
    <col min="15368" max="15368" width="12.7109375" style="163" bestFit="1" customWidth="1"/>
    <col min="15369" max="15369" width="12.140625" style="163" customWidth="1"/>
    <col min="15370" max="15370" width="10.140625" style="163" customWidth="1"/>
    <col min="15371" max="15372" width="13" style="163" customWidth="1"/>
    <col min="15373" max="15373" width="0.42578125" style="163" customWidth="1"/>
    <col min="15374" max="15374" width="12.7109375" style="163" bestFit="1" customWidth="1"/>
    <col min="15375" max="15375" width="12.140625" style="163" customWidth="1"/>
    <col min="15376" max="15376" width="10.140625" style="163" customWidth="1"/>
    <col min="15377" max="15378" width="13" style="163" customWidth="1"/>
    <col min="15379" max="15379" width="8.28515625" style="163" customWidth="1"/>
    <col min="15380" max="15380" width="11" style="163" customWidth="1"/>
    <col min="15381" max="15575" width="9.140625" style="163" customWidth="1"/>
    <col min="15576" max="15609" width="6.7109375" style="163"/>
    <col min="15610" max="15610" width="12.5703125" style="163" customWidth="1"/>
    <col min="15611" max="15611" width="31.85546875" style="163" customWidth="1"/>
    <col min="15612" max="15612" width="0.42578125" style="163" customWidth="1"/>
    <col min="15613" max="15613" width="12.7109375" style="163" bestFit="1" customWidth="1"/>
    <col min="15614" max="15614" width="12.140625" style="163" customWidth="1"/>
    <col min="15615" max="15615" width="10.140625" style="163" customWidth="1"/>
    <col min="15616" max="15617" width="13" style="163" customWidth="1"/>
    <col min="15618" max="15618" width="0.42578125" style="163" customWidth="1"/>
    <col min="15619" max="15619" width="12.7109375" style="163" bestFit="1" customWidth="1"/>
    <col min="15620" max="15620" width="12.140625" style="163" customWidth="1"/>
    <col min="15621" max="15621" width="10.140625" style="163" customWidth="1"/>
    <col min="15622" max="15622" width="13" style="163" customWidth="1"/>
    <col min="15623" max="15623" width="0.42578125" style="163" customWidth="1"/>
    <col min="15624" max="15624" width="12.7109375" style="163" bestFit="1" customWidth="1"/>
    <col min="15625" max="15625" width="12.140625" style="163" customWidth="1"/>
    <col min="15626" max="15626" width="10.140625" style="163" customWidth="1"/>
    <col min="15627" max="15628" width="13" style="163" customWidth="1"/>
    <col min="15629" max="15629" width="0.42578125" style="163" customWidth="1"/>
    <col min="15630" max="15630" width="12.7109375" style="163" bestFit="1" customWidth="1"/>
    <col min="15631" max="15631" width="12.140625" style="163" customWidth="1"/>
    <col min="15632" max="15632" width="10.140625" style="163" customWidth="1"/>
    <col min="15633" max="15634" width="13" style="163" customWidth="1"/>
    <col min="15635" max="15635" width="8.28515625" style="163" customWidth="1"/>
    <col min="15636" max="15636" width="11" style="163" customWidth="1"/>
    <col min="15637" max="15831" width="9.140625" style="163" customWidth="1"/>
    <col min="15832" max="15865" width="6.7109375" style="163"/>
    <col min="15866" max="15866" width="12.5703125" style="163" customWidth="1"/>
    <col min="15867" max="15867" width="31.85546875" style="163" customWidth="1"/>
    <col min="15868" max="15868" width="0.42578125" style="163" customWidth="1"/>
    <col min="15869" max="15869" width="12.7109375" style="163" bestFit="1" customWidth="1"/>
    <col min="15870" max="15870" width="12.140625" style="163" customWidth="1"/>
    <col min="15871" max="15871" width="10.140625" style="163" customWidth="1"/>
    <col min="15872" max="15873" width="13" style="163" customWidth="1"/>
    <col min="15874" max="15874" width="0.42578125" style="163" customWidth="1"/>
    <col min="15875" max="15875" width="12.7109375" style="163" bestFit="1" customWidth="1"/>
    <col min="15876" max="15876" width="12.140625" style="163" customWidth="1"/>
    <col min="15877" max="15877" width="10.140625" style="163" customWidth="1"/>
    <col min="15878" max="15878" width="13" style="163" customWidth="1"/>
    <col min="15879" max="15879" width="0.42578125" style="163" customWidth="1"/>
    <col min="15880" max="15880" width="12.7109375" style="163" bestFit="1" customWidth="1"/>
    <col min="15881" max="15881" width="12.140625" style="163" customWidth="1"/>
    <col min="15882" max="15882" width="10.140625" style="163" customWidth="1"/>
    <col min="15883" max="15884" width="13" style="163" customWidth="1"/>
    <col min="15885" max="15885" width="0.42578125" style="163" customWidth="1"/>
    <col min="15886" max="15886" width="12.7109375" style="163" bestFit="1" customWidth="1"/>
    <col min="15887" max="15887" width="12.140625" style="163" customWidth="1"/>
    <col min="15888" max="15888" width="10.140625" style="163" customWidth="1"/>
    <col min="15889" max="15890" width="13" style="163" customWidth="1"/>
    <col min="15891" max="15891" width="8.28515625" style="163" customWidth="1"/>
    <col min="15892" max="15892" width="11" style="163" customWidth="1"/>
    <col min="15893" max="16087" width="9.140625" style="163" customWidth="1"/>
    <col min="16088" max="16121" width="6.7109375" style="163"/>
    <col min="16122" max="16122" width="12.5703125" style="163" customWidth="1"/>
    <col min="16123" max="16123" width="31.85546875" style="163" customWidth="1"/>
    <col min="16124" max="16124" width="0.42578125" style="163" customWidth="1"/>
    <col min="16125" max="16125" width="12.7109375" style="163" bestFit="1" customWidth="1"/>
    <col min="16126" max="16126" width="12.140625" style="163" customWidth="1"/>
    <col min="16127" max="16127" width="10.140625" style="163" customWidth="1"/>
    <col min="16128" max="16129" width="13" style="163" customWidth="1"/>
    <col min="16130" max="16130" width="0.42578125" style="163" customWidth="1"/>
    <col min="16131" max="16131" width="12.7109375" style="163" bestFit="1" customWidth="1"/>
    <col min="16132" max="16132" width="12.140625" style="163" customWidth="1"/>
    <col min="16133" max="16133" width="10.140625" style="163" customWidth="1"/>
    <col min="16134" max="16134" width="13" style="163" customWidth="1"/>
    <col min="16135" max="16135" width="0.42578125" style="163" customWidth="1"/>
    <col min="16136" max="16136" width="12.7109375" style="163" bestFit="1" customWidth="1"/>
    <col min="16137" max="16137" width="12.140625" style="163" customWidth="1"/>
    <col min="16138" max="16138" width="10.140625" style="163" customWidth="1"/>
    <col min="16139" max="16140" width="13" style="163" customWidth="1"/>
    <col min="16141" max="16141" width="0.42578125" style="163" customWidth="1"/>
    <col min="16142" max="16142" width="12.7109375" style="163" bestFit="1" customWidth="1"/>
    <col min="16143" max="16143" width="12.140625" style="163" customWidth="1"/>
    <col min="16144" max="16144" width="10.140625" style="163" customWidth="1"/>
    <col min="16145" max="16146" width="13" style="163" customWidth="1"/>
    <col min="16147" max="16147" width="8.28515625" style="163" customWidth="1"/>
    <col min="16148" max="16148" width="11" style="163" customWidth="1"/>
    <col min="16149" max="16343" width="9.140625" style="163" customWidth="1"/>
    <col min="16344" max="16384" width="6.7109375" style="163"/>
  </cols>
  <sheetData>
    <row r="1" spans="1:20" ht="23.25" customHeight="1" x14ac:dyDescent="0.35">
      <c r="B1" s="154"/>
      <c r="D1" s="1087">
        <v>2016</v>
      </c>
      <c r="E1" s="1088"/>
      <c r="F1" s="1088"/>
      <c r="H1" s="1087">
        <v>2017</v>
      </c>
      <c r="I1" s="1088"/>
      <c r="J1" s="1088"/>
      <c r="L1" s="1087">
        <v>2018</v>
      </c>
      <c r="M1" s="1088"/>
      <c r="N1" s="1088"/>
      <c r="P1" s="1087">
        <v>2019</v>
      </c>
      <c r="Q1" s="1088"/>
      <c r="R1" s="1088"/>
      <c r="T1" s="483"/>
    </row>
    <row r="2" spans="1:20" ht="32.25" customHeight="1" x14ac:dyDescent="0.2">
      <c r="A2" s="425" t="s">
        <v>272</v>
      </c>
      <c r="B2" s="162" t="s">
        <v>1</v>
      </c>
      <c r="D2" s="200" t="s">
        <v>2437</v>
      </c>
      <c r="E2" s="200" t="s">
        <v>392</v>
      </c>
      <c r="F2" s="200" t="s">
        <v>3</v>
      </c>
      <c r="H2" s="200" t="s">
        <v>2922</v>
      </c>
      <c r="I2" s="200" t="s">
        <v>392</v>
      </c>
      <c r="J2" s="200" t="s">
        <v>3</v>
      </c>
      <c r="L2" s="200" t="s">
        <v>3062</v>
      </c>
      <c r="M2" s="200" t="s">
        <v>392</v>
      </c>
      <c r="N2" s="200" t="s">
        <v>3</v>
      </c>
      <c r="P2" s="200" t="s">
        <v>3263</v>
      </c>
      <c r="Q2" s="200" t="s">
        <v>392</v>
      </c>
      <c r="R2" s="200" t="s">
        <v>3</v>
      </c>
      <c r="S2" s="162" t="s">
        <v>340</v>
      </c>
      <c r="T2" s="162" t="s">
        <v>6</v>
      </c>
    </row>
    <row r="3" spans="1:20" s="207" customFormat="1" ht="21" customHeight="1" x14ac:dyDescent="0.2">
      <c r="A3" s="203"/>
      <c r="B3" s="985" t="s">
        <v>3229</v>
      </c>
      <c r="C3" s="484"/>
      <c r="D3" s="205">
        <f>D5+D68</f>
        <v>11497499</v>
      </c>
      <c r="E3" s="205">
        <f>E5+E68</f>
        <v>770432</v>
      </c>
      <c r="F3" s="205">
        <f>F5+F68</f>
        <v>12267931</v>
      </c>
      <c r="G3" s="484"/>
      <c r="H3" s="205">
        <f>H5+H68</f>
        <v>12904240</v>
      </c>
      <c r="I3" s="205">
        <f>I5+I68</f>
        <v>767674</v>
      </c>
      <c r="J3" s="205">
        <f>J5+J68</f>
        <v>13671914</v>
      </c>
      <c r="K3" s="484"/>
      <c r="L3" s="205">
        <f>L5+L68+L90+L94</f>
        <v>14462905.01</v>
      </c>
      <c r="M3" s="205">
        <f>M5+M68+M90+M94</f>
        <v>795665.74403403362</v>
      </c>
      <c r="N3" s="205">
        <f>N5+N68+N90+N94</f>
        <v>15258570.754034033</v>
      </c>
      <c r="O3" s="484"/>
      <c r="P3" s="205">
        <f>P4+P90+P94</f>
        <v>14587688</v>
      </c>
      <c r="Q3" s="205">
        <f t="shared" ref="Q3:R3" si="0">Q4+Q90+Q94</f>
        <v>980232</v>
      </c>
      <c r="R3" s="205">
        <f t="shared" si="0"/>
        <v>15567920</v>
      </c>
      <c r="S3" s="205"/>
      <c r="T3" s="205"/>
    </row>
    <row r="4" spans="1:20" s="207" customFormat="1" ht="38.25" customHeight="1" x14ac:dyDescent="0.2">
      <c r="A4" s="1094" t="s">
        <v>3373</v>
      </c>
      <c r="B4" s="1095"/>
      <c r="C4" s="485"/>
      <c r="D4" s="205">
        <f>D5+D68</f>
        <v>11497499</v>
      </c>
      <c r="E4" s="205">
        <f>E5+E68</f>
        <v>770432</v>
      </c>
      <c r="F4" s="205">
        <f>F5+F68</f>
        <v>12267931</v>
      </c>
      <c r="G4" s="485"/>
      <c r="H4" s="205">
        <f>H5+H68</f>
        <v>12904240</v>
      </c>
      <c r="I4" s="205">
        <f>I5+I68</f>
        <v>767674</v>
      </c>
      <c r="J4" s="205">
        <f>J5+J68</f>
        <v>13671914</v>
      </c>
      <c r="K4" s="485"/>
      <c r="L4" s="205">
        <f>L5+L68</f>
        <v>10825960.01</v>
      </c>
      <c r="M4" s="205">
        <f>M5+M68</f>
        <v>785702.32738695643</v>
      </c>
      <c r="N4" s="205">
        <f>N5+N68</f>
        <v>11611662.337386956</v>
      </c>
      <c r="O4" s="485"/>
      <c r="P4" s="205">
        <f>P5+P68</f>
        <v>10093690</v>
      </c>
      <c r="Q4" s="205">
        <f>Q5+Q68</f>
        <v>965698</v>
      </c>
      <c r="R4" s="205">
        <f>R5+R68</f>
        <v>11059388</v>
      </c>
      <c r="S4" s="205"/>
      <c r="T4" s="205"/>
    </row>
    <row r="5" spans="1:20" s="207" customFormat="1" ht="19.5" customHeight="1" x14ac:dyDescent="0.2">
      <c r="A5" s="1094"/>
      <c r="B5" s="1095"/>
      <c r="C5" s="485"/>
      <c r="D5" s="205">
        <f>SUM(D6:D67)</f>
        <v>10492311</v>
      </c>
      <c r="E5" s="205">
        <f>SUM(E6:E67)</f>
        <v>770432</v>
      </c>
      <c r="F5" s="205">
        <f>SUM(F6:F67)</f>
        <v>11262743</v>
      </c>
      <c r="G5" s="485"/>
      <c r="H5" s="205">
        <f>SUM(H6:H67)</f>
        <v>11696314</v>
      </c>
      <c r="I5" s="205">
        <f>SUM(I6:I67)</f>
        <v>767674</v>
      </c>
      <c r="J5" s="205">
        <f>SUM(J6:J67)</f>
        <v>12463988</v>
      </c>
      <c r="K5" s="485"/>
      <c r="L5" s="205">
        <f>SUM(L6:L67)</f>
        <v>9610233.0099999998</v>
      </c>
      <c r="M5" s="205">
        <f>SUM(M6:M67)</f>
        <v>785702.32738695643</v>
      </c>
      <c r="N5" s="205">
        <f>SUM(N6:N67)</f>
        <v>10395935.337386956</v>
      </c>
      <c r="O5" s="485"/>
      <c r="P5" s="205">
        <f>SUM(P6:P67)</f>
        <v>8510120</v>
      </c>
      <c r="Q5" s="205">
        <f>SUM(Q6:Q67)</f>
        <v>965698</v>
      </c>
      <c r="R5" s="205">
        <f>SUM(R6:R67)</f>
        <v>9475818</v>
      </c>
      <c r="S5" s="205"/>
      <c r="T5" s="205"/>
    </row>
    <row r="6" spans="1:20" s="359" customFormat="1" ht="32.25" customHeight="1" x14ac:dyDescent="0.2">
      <c r="A6" s="231">
        <v>580030260</v>
      </c>
      <c r="B6" s="209" t="s">
        <v>1265</v>
      </c>
      <c r="C6" s="344"/>
      <c r="D6" s="435">
        <v>1977000</v>
      </c>
      <c r="E6" s="435"/>
      <c r="F6" s="435">
        <f t="shared" ref="F6:F31" si="1">SUM(D6:E6)</f>
        <v>1977000</v>
      </c>
      <c r="G6" s="344"/>
      <c r="H6" s="435">
        <v>1482900</v>
      </c>
      <c r="I6" s="435"/>
      <c r="J6" s="435">
        <f t="shared" ref="J6:J67" si="2">SUM(H6:I6)</f>
        <v>1482900</v>
      </c>
      <c r="K6" s="344"/>
      <c r="L6" s="435">
        <v>593160</v>
      </c>
      <c r="M6" s="435"/>
      <c r="N6" s="435">
        <f t="shared" ref="N6:N67" si="3">SUM(L6:M6)</f>
        <v>593160</v>
      </c>
      <c r="O6" s="344"/>
      <c r="P6" s="435" t="s">
        <v>3375</v>
      </c>
      <c r="Q6" s="435"/>
      <c r="R6" s="435">
        <f t="shared" ref="R6:R62" si="4">SUM(P6:Q6)</f>
        <v>0</v>
      </c>
      <c r="S6" s="170" t="s">
        <v>329</v>
      </c>
      <c r="T6" s="170" t="s">
        <v>136</v>
      </c>
    </row>
    <row r="7" spans="1:20" s="359" customFormat="1" ht="24.75" customHeight="1" x14ac:dyDescent="0.2">
      <c r="A7" s="231">
        <v>580100212</v>
      </c>
      <c r="B7" s="209" t="s">
        <v>1266</v>
      </c>
      <c r="C7" s="344"/>
      <c r="D7" s="435">
        <v>1034737</v>
      </c>
      <c r="E7" s="435"/>
      <c r="F7" s="435">
        <f t="shared" si="1"/>
        <v>1034737</v>
      </c>
      <c r="G7" s="344"/>
      <c r="H7" s="435">
        <v>1034737</v>
      </c>
      <c r="I7" s="435"/>
      <c r="J7" s="435">
        <f t="shared" si="2"/>
        <v>1034737</v>
      </c>
      <c r="K7" s="344"/>
      <c r="L7" s="435">
        <v>413895.01</v>
      </c>
      <c r="M7" s="435"/>
      <c r="N7" s="435">
        <f t="shared" si="3"/>
        <v>413895.01</v>
      </c>
      <c r="O7" s="344"/>
      <c r="P7" s="1034" t="s">
        <v>3374</v>
      </c>
      <c r="Q7" s="435"/>
      <c r="R7" s="435">
        <f t="shared" si="4"/>
        <v>0</v>
      </c>
      <c r="S7" s="170" t="s">
        <v>329</v>
      </c>
      <c r="T7" s="170" t="s">
        <v>136</v>
      </c>
    </row>
    <row r="8" spans="1:20" ht="25.5" x14ac:dyDescent="0.2">
      <c r="A8" s="195">
        <v>580073575</v>
      </c>
      <c r="B8" s="365" t="s">
        <v>3124</v>
      </c>
      <c r="D8" s="435">
        <f>143623+12000</f>
        <v>155623</v>
      </c>
      <c r="E8" s="435"/>
      <c r="F8" s="435">
        <f t="shared" si="1"/>
        <v>155623</v>
      </c>
      <c r="H8" s="435">
        <f>123048+12000</f>
        <v>135048</v>
      </c>
      <c r="I8" s="435"/>
      <c r="J8" s="435">
        <f t="shared" si="2"/>
        <v>135048</v>
      </c>
      <c r="L8" s="435">
        <v>111648</v>
      </c>
      <c r="M8" s="435"/>
      <c r="N8" s="435">
        <f t="shared" si="3"/>
        <v>111648</v>
      </c>
      <c r="O8" s="344">
        <v>12000</v>
      </c>
      <c r="P8" s="435">
        <f>12000+87664</f>
        <v>99664</v>
      </c>
      <c r="Q8" s="435"/>
      <c r="R8" s="435">
        <f t="shared" si="4"/>
        <v>99664</v>
      </c>
      <c r="S8" s="170" t="s">
        <v>280</v>
      </c>
      <c r="T8" s="170" t="s">
        <v>136</v>
      </c>
    </row>
    <row r="9" spans="1:20" ht="25.5" x14ac:dyDescent="0.2">
      <c r="A9" s="195">
        <v>510748734</v>
      </c>
      <c r="B9" s="209" t="s">
        <v>1267</v>
      </c>
      <c r="D9" s="435">
        <v>202848</v>
      </c>
      <c r="E9" s="849">
        <v>100000</v>
      </c>
      <c r="F9" s="435">
        <f t="shared" si="1"/>
        <v>302848</v>
      </c>
      <c r="H9" s="435">
        <v>204111</v>
      </c>
      <c r="I9" s="849">
        <v>54185</v>
      </c>
      <c r="J9" s="435">
        <f t="shared" si="2"/>
        <v>258296</v>
      </c>
      <c r="L9" s="435">
        <v>242902</v>
      </c>
      <c r="M9" s="849">
        <v>48795.329204395057</v>
      </c>
      <c r="N9" s="435">
        <f t="shared" si="3"/>
        <v>291697.32920439506</v>
      </c>
      <c r="P9" s="435">
        <v>236239</v>
      </c>
      <c r="Q9" s="849">
        <v>64190</v>
      </c>
      <c r="R9" s="435">
        <f t="shared" si="4"/>
        <v>300429</v>
      </c>
      <c r="S9" s="170" t="s">
        <v>53</v>
      </c>
      <c r="T9" s="170" t="s">
        <v>53</v>
      </c>
    </row>
    <row r="10" spans="1:20" ht="23.25" customHeight="1" x14ac:dyDescent="0.2">
      <c r="A10" s="195">
        <v>510748734</v>
      </c>
      <c r="B10" s="209" t="s">
        <v>2969</v>
      </c>
      <c r="D10" s="435"/>
      <c r="E10" s="849"/>
      <c r="F10" s="435"/>
      <c r="H10" s="435">
        <v>369484</v>
      </c>
      <c r="I10" s="849"/>
      <c r="J10" s="435">
        <f t="shared" si="2"/>
        <v>369484</v>
      </c>
      <c r="L10" s="435">
        <v>348721</v>
      </c>
      <c r="M10" s="849"/>
      <c r="N10" s="435">
        <f t="shared" si="3"/>
        <v>348721</v>
      </c>
      <c r="P10" s="435">
        <v>299445</v>
      </c>
      <c r="Q10" s="849"/>
      <c r="R10" s="435">
        <f t="shared" si="4"/>
        <v>299445</v>
      </c>
      <c r="S10" s="170" t="s">
        <v>654</v>
      </c>
      <c r="T10" s="170" t="s">
        <v>9</v>
      </c>
    </row>
    <row r="11" spans="1:20" ht="25.5" x14ac:dyDescent="0.2">
      <c r="A11" s="195">
        <v>580170801</v>
      </c>
      <c r="B11" s="209" t="s">
        <v>1268</v>
      </c>
      <c r="D11" s="836">
        <v>356593</v>
      </c>
      <c r="E11" s="435"/>
      <c r="F11" s="435">
        <f t="shared" si="1"/>
        <v>356593</v>
      </c>
      <c r="H11" s="435">
        <v>389029</v>
      </c>
      <c r="I11" s="435"/>
      <c r="J11" s="435">
        <f t="shared" si="2"/>
        <v>389029</v>
      </c>
      <c r="L11" s="435">
        <v>602251</v>
      </c>
      <c r="M11" s="849"/>
      <c r="N11" s="435">
        <f t="shared" si="3"/>
        <v>602251</v>
      </c>
      <c r="P11" s="435">
        <v>319135</v>
      </c>
      <c r="Q11" s="849"/>
      <c r="R11" s="435">
        <f t="shared" si="4"/>
        <v>319135</v>
      </c>
      <c r="S11" s="170" t="s">
        <v>280</v>
      </c>
      <c r="T11" s="170" t="s">
        <v>136</v>
      </c>
    </row>
    <row r="12" spans="1:20" ht="25.5" x14ac:dyDescent="0.2">
      <c r="A12" s="195">
        <v>580170801</v>
      </c>
      <c r="B12" s="209" t="s">
        <v>2970</v>
      </c>
      <c r="D12" s="435">
        <f>74781+33985</f>
        <v>108766</v>
      </c>
      <c r="E12" s="435"/>
      <c r="F12" s="435">
        <f t="shared" si="1"/>
        <v>108766</v>
      </c>
      <c r="H12" s="435">
        <v>208955</v>
      </c>
      <c r="I12" s="435"/>
      <c r="J12" s="435">
        <f t="shared" si="2"/>
        <v>208955</v>
      </c>
      <c r="L12" s="435"/>
      <c r="M12" s="849"/>
      <c r="N12" s="435">
        <f t="shared" si="3"/>
        <v>0</v>
      </c>
      <c r="P12" s="435">
        <v>104752</v>
      </c>
      <c r="Q12" s="849"/>
      <c r="R12" s="435">
        <f t="shared" si="4"/>
        <v>104752</v>
      </c>
      <c r="S12" s="170" t="s">
        <v>280</v>
      </c>
      <c r="T12" s="170" t="s">
        <v>136</v>
      </c>
    </row>
    <row r="13" spans="1:20" ht="34.5" customHeight="1" x14ac:dyDescent="0.2">
      <c r="A13" s="195">
        <v>580265304</v>
      </c>
      <c r="B13" s="209" t="s">
        <v>1269</v>
      </c>
      <c r="D13" s="836">
        <v>36867</v>
      </c>
      <c r="E13" s="435"/>
      <c r="F13" s="435">
        <f t="shared" si="1"/>
        <v>36867</v>
      </c>
      <c r="H13" s="836">
        <v>37843</v>
      </c>
      <c r="I13" s="435"/>
      <c r="J13" s="435">
        <f t="shared" si="2"/>
        <v>37843</v>
      </c>
      <c r="L13" s="435">
        <v>37967</v>
      </c>
      <c r="M13" s="849"/>
      <c r="N13" s="435">
        <f t="shared" si="3"/>
        <v>37967</v>
      </c>
      <c r="P13" s="435">
        <v>40000</v>
      </c>
      <c r="Q13" s="849"/>
      <c r="R13" s="435">
        <f t="shared" si="4"/>
        <v>40000</v>
      </c>
      <c r="S13" s="170" t="s">
        <v>280</v>
      </c>
      <c r="T13" s="170" t="s">
        <v>136</v>
      </c>
    </row>
    <row r="14" spans="1:20" ht="25.5" x14ac:dyDescent="0.2">
      <c r="A14" s="195">
        <v>580158830</v>
      </c>
      <c r="B14" s="209" t="s">
        <v>1270</v>
      </c>
      <c r="D14" s="435">
        <v>90000</v>
      </c>
      <c r="E14" s="435"/>
      <c r="F14" s="435">
        <f t="shared" si="1"/>
        <v>90000</v>
      </c>
      <c r="H14" s="435">
        <v>77107</v>
      </c>
      <c r="I14" s="435"/>
      <c r="J14" s="435">
        <f t="shared" si="2"/>
        <v>77107</v>
      </c>
      <c r="L14" s="435">
        <v>53863</v>
      </c>
      <c r="M14" s="849"/>
      <c r="N14" s="435">
        <f t="shared" si="3"/>
        <v>53863</v>
      </c>
      <c r="P14" s="435">
        <v>34725</v>
      </c>
      <c r="Q14" s="849"/>
      <c r="R14" s="435">
        <f t="shared" si="4"/>
        <v>34725</v>
      </c>
      <c r="S14" s="170" t="s">
        <v>280</v>
      </c>
      <c r="T14" s="170" t="s">
        <v>136</v>
      </c>
    </row>
    <row r="15" spans="1:20" ht="30.75" customHeight="1" x14ac:dyDescent="0.2">
      <c r="A15" s="195">
        <v>513377457</v>
      </c>
      <c r="B15" s="209" t="s">
        <v>438</v>
      </c>
      <c r="D15" s="435">
        <f>127444+400000</f>
        <v>527444</v>
      </c>
      <c r="E15" s="435"/>
      <c r="F15" s="435">
        <f t="shared" si="1"/>
        <v>527444</v>
      </c>
      <c r="H15" s="435">
        <f>128237+306000+96490</f>
        <v>530727</v>
      </c>
      <c r="I15" s="435"/>
      <c r="J15" s="435">
        <f t="shared" si="2"/>
        <v>530727</v>
      </c>
      <c r="L15" s="435">
        <v>411633</v>
      </c>
      <c r="M15" s="849"/>
      <c r="N15" s="435">
        <f t="shared" si="3"/>
        <v>411633</v>
      </c>
      <c r="P15" s="435">
        <v>344977</v>
      </c>
      <c r="Q15" s="849"/>
      <c r="R15" s="435">
        <f t="shared" si="4"/>
        <v>344977</v>
      </c>
      <c r="S15" s="170" t="s">
        <v>280</v>
      </c>
      <c r="T15" s="170" t="s">
        <v>136</v>
      </c>
    </row>
    <row r="16" spans="1:20" ht="36.75" customHeight="1" x14ac:dyDescent="0.2">
      <c r="A16" s="195">
        <v>580039329</v>
      </c>
      <c r="B16" s="209" t="s">
        <v>1271</v>
      </c>
      <c r="D16" s="435">
        <f>632181+122134</f>
        <v>754315</v>
      </c>
      <c r="E16" s="849">
        <v>300000</v>
      </c>
      <c r="F16" s="435">
        <f t="shared" si="1"/>
        <v>1054315</v>
      </c>
      <c r="H16" s="435">
        <v>689683</v>
      </c>
      <c r="I16" s="849">
        <v>168869</v>
      </c>
      <c r="J16" s="435">
        <f t="shared" si="2"/>
        <v>858552</v>
      </c>
      <c r="L16" s="435">
        <v>761748</v>
      </c>
      <c r="M16" s="849">
        <v>164877.48838462794</v>
      </c>
      <c r="N16" s="435">
        <f t="shared" si="3"/>
        <v>926625.48838462797</v>
      </c>
      <c r="P16" s="435">
        <v>833517</v>
      </c>
      <c r="Q16" s="849">
        <v>201301</v>
      </c>
      <c r="R16" s="435">
        <f t="shared" si="4"/>
        <v>1034818</v>
      </c>
      <c r="S16" s="170" t="s">
        <v>53</v>
      </c>
      <c r="T16" s="170" t="s">
        <v>53</v>
      </c>
    </row>
    <row r="17" spans="1:20" ht="25.5" x14ac:dyDescent="0.2">
      <c r="A17" s="195">
        <v>580103026</v>
      </c>
      <c r="B17" s="209" t="s">
        <v>1272</v>
      </c>
      <c r="D17" s="435">
        <f>86398+18763</f>
        <v>105161</v>
      </c>
      <c r="E17" s="435"/>
      <c r="F17" s="435">
        <f t="shared" si="1"/>
        <v>105161</v>
      </c>
      <c r="H17" s="435">
        <f>91359+26446</f>
        <v>117805</v>
      </c>
      <c r="I17" s="435"/>
      <c r="J17" s="435">
        <f t="shared" si="2"/>
        <v>117805</v>
      </c>
      <c r="L17" s="435">
        <v>216477</v>
      </c>
      <c r="M17" s="849"/>
      <c r="N17" s="435">
        <f t="shared" si="3"/>
        <v>216477</v>
      </c>
      <c r="P17" s="435">
        <f>220730+26256</f>
        <v>246986</v>
      </c>
      <c r="Q17" s="849"/>
      <c r="R17" s="435">
        <f t="shared" si="4"/>
        <v>246986</v>
      </c>
      <c r="S17" s="170" t="s">
        <v>280</v>
      </c>
      <c r="T17" s="170" t="s">
        <v>136</v>
      </c>
    </row>
    <row r="18" spans="1:20" ht="27.75" customHeight="1" x14ac:dyDescent="0.2">
      <c r="A18" s="195">
        <v>510673577</v>
      </c>
      <c r="B18" s="223" t="s">
        <v>1273</v>
      </c>
      <c r="D18" s="435">
        <f>55012+350000+76466</f>
        <v>481478</v>
      </c>
      <c r="E18" s="849">
        <v>84751</v>
      </c>
      <c r="F18" s="435">
        <f t="shared" si="1"/>
        <v>566229</v>
      </c>
      <c r="H18" s="435">
        <f>58268+183661+370714+80992</f>
        <v>693635</v>
      </c>
      <c r="I18" s="849">
        <f>93492+14695+46318</f>
        <v>154505</v>
      </c>
      <c r="J18" s="435">
        <f t="shared" si="2"/>
        <v>848140</v>
      </c>
      <c r="L18" s="435">
        <v>563532</v>
      </c>
      <c r="M18" s="849">
        <v>165822.26422236217</v>
      </c>
      <c r="N18" s="435">
        <f t="shared" si="3"/>
        <v>729354.2642223622</v>
      </c>
      <c r="P18" s="435">
        <v>407424</v>
      </c>
      <c r="Q18" s="849">
        <v>148920</v>
      </c>
      <c r="R18" s="435">
        <f t="shared" si="4"/>
        <v>556344</v>
      </c>
      <c r="S18" s="170" t="s">
        <v>53</v>
      </c>
      <c r="T18" s="170" t="s">
        <v>53</v>
      </c>
    </row>
    <row r="19" spans="1:20" ht="25.5" x14ac:dyDescent="0.2">
      <c r="A19" s="195">
        <v>580013860</v>
      </c>
      <c r="B19" s="209" t="s">
        <v>1274</v>
      </c>
      <c r="D19" s="435">
        <v>276970</v>
      </c>
      <c r="E19" s="435"/>
      <c r="F19" s="435">
        <f t="shared" si="1"/>
        <v>276970</v>
      </c>
      <c r="H19" s="435">
        <v>293362</v>
      </c>
      <c r="I19" s="435"/>
      <c r="J19" s="435">
        <f t="shared" si="2"/>
        <v>293362</v>
      </c>
      <c r="L19" s="435">
        <v>500878</v>
      </c>
      <c r="M19" s="849"/>
      <c r="N19" s="435">
        <f t="shared" si="3"/>
        <v>500878</v>
      </c>
      <c r="P19" s="435">
        <v>507122</v>
      </c>
      <c r="Q19" s="849"/>
      <c r="R19" s="435">
        <f t="shared" si="4"/>
        <v>507122</v>
      </c>
      <c r="S19" s="170" t="s">
        <v>280</v>
      </c>
      <c r="T19" s="170" t="s">
        <v>136</v>
      </c>
    </row>
    <row r="20" spans="1:20" ht="25.5" x14ac:dyDescent="0.2">
      <c r="A20" s="195">
        <v>580013860</v>
      </c>
      <c r="B20" s="209" t="s">
        <v>1275</v>
      </c>
      <c r="D20" s="435">
        <v>136779</v>
      </c>
      <c r="E20" s="435"/>
      <c r="F20" s="435">
        <f t="shared" si="1"/>
        <v>136779</v>
      </c>
      <c r="H20" s="435">
        <v>122246</v>
      </c>
      <c r="I20" s="435"/>
      <c r="J20" s="435">
        <f t="shared" si="2"/>
        <v>122246</v>
      </c>
      <c r="L20" s="435">
        <v>135267</v>
      </c>
      <c r="M20" s="849"/>
      <c r="N20" s="435">
        <f t="shared" si="3"/>
        <v>135267</v>
      </c>
      <c r="P20" s="435">
        <v>103610</v>
      </c>
      <c r="Q20" s="849"/>
      <c r="R20" s="435">
        <f t="shared" si="4"/>
        <v>103610</v>
      </c>
      <c r="S20" s="170" t="s">
        <v>280</v>
      </c>
      <c r="T20" s="170" t="s">
        <v>136</v>
      </c>
    </row>
    <row r="21" spans="1:20" ht="25.5" x14ac:dyDescent="0.2">
      <c r="A21" s="195">
        <v>580268811</v>
      </c>
      <c r="B21" s="209" t="s">
        <v>1276</v>
      </c>
      <c r="D21" s="435">
        <f>247386+60000+40000</f>
        <v>347386</v>
      </c>
      <c r="E21" s="435"/>
      <c r="F21" s="435">
        <f t="shared" si="1"/>
        <v>347386</v>
      </c>
      <c r="H21" s="435">
        <f>269888+39948+60000</f>
        <v>369836</v>
      </c>
      <c r="I21" s="435"/>
      <c r="J21" s="435">
        <f t="shared" si="2"/>
        <v>369836</v>
      </c>
      <c r="L21" s="836">
        <v>369477</v>
      </c>
      <c r="M21" s="849"/>
      <c r="N21" s="435">
        <f t="shared" si="3"/>
        <v>369477</v>
      </c>
      <c r="P21" s="836">
        <f>150000+89354+48867</f>
        <v>288221</v>
      </c>
      <c r="Q21" s="849"/>
      <c r="R21" s="435">
        <f t="shared" si="4"/>
        <v>288221</v>
      </c>
      <c r="S21" s="170" t="s">
        <v>280</v>
      </c>
      <c r="T21" s="170" t="s">
        <v>136</v>
      </c>
    </row>
    <row r="22" spans="1:20" s="359" customFormat="1" ht="25.5" x14ac:dyDescent="0.2">
      <c r="A22" s="231">
        <v>580299618</v>
      </c>
      <c r="B22" s="209" t="s">
        <v>1277</v>
      </c>
      <c r="C22" s="344"/>
      <c r="D22" s="435">
        <f>48659+15000</f>
        <v>63659</v>
      </c>
      <c r="E22" s="435"/>
      <c r="F22" s="435">
        <f t="shared" si="1"/>
        <v>63659</v>
      </c>
      <c r="G22" s="344"/>
      <c r="H22" s="435">
        <f>43660+15000</f>
        <v>58660</v>
      </c>
      <c r="I22" s="435"/>
      <c r="J22" s="435">
        <f t="shared" si="2"/>
        <v>58660</v>
      </c>
      <c r="K22" s="344"/>
      <c r="L22" s="435">
        <v>38597</v>
      </c>
      <c r="M22" s="849"/>
      <c r="N22" s="435">
        <f t="shared" si="3"/>
        <v>38597</v>
      </c>
      <c r="O22" s="344"/>
      <c r="P22" s="435">
        <v>35739</v>
      </c>
      <c r="Q22" s="849"/>
      <c r="R22" s="435">
        <f t="shared" si="4"/>
        <v>35739</v>
      </c>
      <c r="S22" s="170" t="s">
        <v>280</v>
      </c>
      <c r="T22" s="170" t="s">
        <v>136</v>
      </c>
    </row>
    <row r="23" spans="1:20" ht="25.5" x14ac:dyDescent="0.2">
      <c r="A23" s="195">
        <v>580266104</v>
      </c>
      <c r="B23" s="209" t="s">
        <v>1278</v>
      </c>
      <c r="D23" s="435">
        <v>69719</v>
      </c>
      <c r="E23" s="435"/>
      <c r="F23" s="435">
        <f t="shared" si="1"/>
        <v>69719</v>
      </c>
      <c r="H23" s="435">
        <v>63024</v>
      </c>
      <c r="I23" s="435"/>
      <c r="J23" s="435">
        <f t="shared" si="2"/>
        <v>63024</v>
      </c>
      <c r="L23" s="435">
        <v>47320</v>
      </c>
      <c r="M23" s="849"/>
      <c r="N23" s="435">
        <f t="shared" si="3"/>
        <v>47320</v>
      </c>
      <c r="P23" s="435">
        <v>42402</v>
      </c>
      <c r="Q23" s="849"/>
      <c r="R23" s="435">
        <f t="shared" si="4"/>
        <v>42402</v>
      </c>
      <c r="S23" s="170" t="s">
        <v>280</v>
      </c>
      <c r="T23" s="170" t="s">
        <v>136</v>
      </c>
    </row>
    <row r="24" spans="1:20" ht="25.5" x14ac:dyDescent="0.2">
      <c r="A24" s="195">
        <v>580076842</v>
      </c>
      <c r="B24" s="209" t="s">
        <v>1279</v>
      </c>
      <c r="D24" s="435">
        <v>54551</v>
      </c>
      <c r="E24" s="435"/>
      <c r="F24" s="435">
        <f t="shared" si="1"/>
        <v>54551</v>
      </c>
      <c r="H24" s="435">
        <v>54100</v>
      </c>
      <c r="I24" s="435"/>
      <c r="J24" s="435">
        <f t="shared" si="2"/>
        <v>54100</v>
      </c>
      <c r="L24" s="435">
        <v>47974</v>
      </c>
      <c r="M24" s="849"/>
      <c r="N24" s="435">
        <f t="shared" si="3"/>
        <v>47974</v>
      </c>
      <c r="P24" s="435">
        <v>43919</v>
      </c>
      <c r="Q24" s="849"/>
      <c r="R24" s="435">
        <f t="shared" si="4"/>
        <v>43919</v>
      </c>
      <c r="S24" s="170" t="s">
        <v>416</v>
      </c>
      <c r="T24" s="170" t="s">
        <v>136</v>
      </c>
    </row>
    <row r="25" spans="1:20" ht="27" customHeight="1" x14ac:dyDescent="0.2">
      <c r="A25" s="195">
        <v>580352490</v>
      </c>
      <c r="B25" s="209" t="s">
        <v>405</v>
      </c>
      <c r="D25" s="435">
        <v>41419</v>
      </c>
      <c r="E25" s="849">
        <v>15000</v>
      </c>
      <c r="F25" s="435">
        <f t="shared" si="1"/>
        <v>56419</v>
      </c>
      <c r="H25" s="435">
        <v>41677</v>
      </c>
      <c r="I25" s="849">
        <v>11064</v>
      </c>
      <c r="J25" s="435">
        <f t="shared" si="2"/>
        <v>52741</v>
      </c>
      <c r="L25" s="435" t="s">
        <v>3221</v>
      </c>
      <c r="M25" s="849"/>
      <c r="N25" s="435">
        <f t="shared" si="3"/>
        <v>0</v>
      </c>
      <c r="P25" s="435"/>
      <c r="Q25" s="849"/>
      <c r="R25" s="435">
        <f t="shared" si="4"/>
        <v>0</v>
      </c>
      <c r="S25" s="170" t="s">
        <v>53</v>
      </c>
      <c r="T25" s="170" t="s">
        <v>53</v>
      </c>
    </row>
    <row r="26" spans="1:20" ht="18" customHeight="1" x14ac:dyDescent="0.2">
      <c r="A26" s="195">
        <v>580149698</v>
      </c>
      <c r="B26" s="209" t="s">
        <v>1280</v>
      </c>
      <c r="D26" s="836">
        <v>65000</v>
      </c>
      <c r="E26" s="849">
        <v>25720</v>
      </c>
      <c r="F26" s="435">
        <f t="shared" si="1"/>
        <v>90720</v>
      </c>
      <c r="H26" s="435">
        <v>92159</v>
      </c>
      <c r="I26" s="849">
        <v>17363</v>
      </c>
      <c r="J26" s="435">
        <f t="shared" si="2"/>
        <v>109522</v>
      </c>
      <c r="L26" s="435">
        <v>96964</v>
      </c>
      <c r="M26" s="849">
        <v>22031.780473114355</v>
      </c>
      <c r="N26" s="435">
        <f t="shared" si="3"/>
        <v>118995.78047311436</v>
      </c>
      <c r="P26" s="435">
        <v>94897</v>
      </c>
      <c r="Q26" s="849">
        <v>25624</v>
      </c>
      <c r="R26" s="435">
        <f t="shared" si="4"/>
        <v>120521</v>
      </c>
      <c r="S26" s="170" t="s">
        <v>53</v>
      </c>
      <c r="T26" s="170" t="s">
        <v>53</v>
      </c>
    </row>
    <row r="27" spans="1:20" ht="25.5" x14ac:dyDescent="0.2">
      <c r="A27" s="195">
        <v>580370773</v>
      </c>
      <c r="B27" s="209" t="s">
        <v>1281</v>
      </c>
      <c r="D27" s="435">
        <v>8496</v>
      </c>
      <c r="E27" s="435"/>
      <c r="F27" s="435">
        <f t="shared" si="1"/>
        <v>8496</v>
      </c>
      <c r="H27" s="435">
        <v>16878</v>
      </c>
      <c r="I27" s="435"/>
      <c r="J27" s="435">
        <f t="shared" si="2"/>
        <v>16878</v>
      </c>
      <c r="L27" s="435">
        <v>40000</v>
      </c>
      <c r="M27" s="849"/>
      <c r="N27" s="435">
        <f t="shared" si="3"/>
        <v>40000</v>
      </c>
      <c r="P27" s="435">
        <v>60000</v>
      </c>
      <c r="Q27" s="849"/>
      <c r="R27" s="435">
        <f t="shared" si="4"/>
        <v>60000</v>
      </c>
      <c r="S27" s="170" t="s">
        <v>280</v>
      </c>
      <c r="T27" s="170" t="s">
        <v>136</v>
      </c>
    </row>
    <row r="28" spans="1:20" ht="22.5" customHeight="1" x14ac:dyDescent="0.2">
      <c r="A28" s="195">
        <v>580353597</v>
      </c>
      <c r="B28" s="209" t="s">
        <v>1282</v>
      </c>
      <c r="D28" s="435">
        <f>121648+33985+210000</f>
        <v>365633</v>
      </c>
      <c r="E28" s="849">
        <v>35204</v>
      </c>
      <c r="F28" s="435">
        <f t="shared" si="1"/>
        <v>400837</v>
      </c>
      <c r="H28" s="435">
        <f>229101+82829+108158</f>
        <v>420088</v>
      </c>
      <c r="I28" s="849">
        <f>56095+8174</f>
        <v>64269</v>
      </c>
      <c r="J28" s="435">
        <f t="shared" si="2"/>
        <v>484357</v>
      </c>
      <c r="L28" s="435">
        <v>505392</v>
      </c>
      <c r="M28" s="849">
        <v>74570.831747073651</v>
      </c>
      <c r="N28" s="435">
        <f t="shared" si="3"/>
        <v>579962.83174707368</v>
      </c>
      <c r="P28" s="435">
        <f>321831+94674</f>
        <v>416505</v>
      </c>
      <c r="Q28" s="849">
        <v>105705</v>
      </c>
      <c r="R28" s="435">
        <f t="shared" si="4"/>
        <v>522210</v>
      </c>
      <c r="S28" s="170" t="s">
        <v>53</v>
      </c>
      <c r="T28" s="170" t="s">
        <v>53</v>
      </c>
    </row>
    <row r="29" spans="1:20" ht="16.5" customHeight="1" x14ac:dyDescent="0.2">
      <c r="A29" s="195">
        <v>580411924</v>
      </c>
      <c r="B29" s="209" t="s">
        <v>1283</v>
      </c>
      <c r="D29" s="435">
        <v>24000</v>
      </c>
      <c r="E29" s="435"/>
      <c r="F29" s="435">
        <f t="shared" si="1"/>
        <v>24000</v>
      </c>
      <c r="H29" s="435">
        <v>26000</v>
      </c>
      <c r="I29" s="435"/>
      <c r="J29" s="435">
        <f t="shared" si="2"/>
        <v>26000</v>
      </c>
      <c r="L29" s="435">
        <v>24927</v>
      </c>
      <c r="M29" s="849"/>
      <c r="N29" s="435">
        <f t="shared" si="3"/>
        <v>24927</v>
      </c>
      <c r="P29" s="435">
        <v>27000</v>
      </c>
      <c r="Q29" s="849"/>
      <c r="R29" s="435">
        <f t="shared" si="4"/>
        <v>27000</v>
      </c>
      <c r="S29" s="170" t="s">
        <v>416</v>
      </c>
      <c r="T29" s="170" t="s">
        <v>136</v>
      </c>
    </row>
    <row r="30" spans="1:20" ht="26.25" customHeight="1" x14ac:dyDescent="0.2">
      <c r="A30" s="195">
        <v>580243590</v>
      </c>
      <c r="B30" s="223" t="s">
        <v>1284</v>
      </c>
      <c r="D30" s="435">
        <v>42000</v>
      </c>
      <c r="E30" s="435"/>
      <c r="F30" s="435">
        <f t="shared" si="1"/>
        <v>42000</v>
      </c>
      <c r="H30" s="435">
        <v>45000</v>
      </c>
      <c r="I30" s="435"/>
      <c r="J30" s="435">
        <f t="shared" si="2"/>
        <v>45000</v>
      </c>
      <c r="L30" s="435">
        <v>45000</v>
      </c>
      <c r="M30" s="849"/>
      <c r="N30" s="435">
        <f t="shared" si="3"/>
        <v>45000</v>
      </c>
      <c r="P30" s="435">
        <v>45000</v>
      </c>
      <c r="Q30" s="849"/>
      <c r="R30" s="435">
        <f t="shared" si="4"/>
        <v>45000</v>
      </c>
      <c r="S30" s="170" t="s">
        <v>1285</v>
      </c>
      <c r="T30" s="170" t="s">
        <v>9</v>
      </c>
    </row>
    <row r="31" spans="1:20" ht="39.75" customHeight="1" x14ac:dyDescent="0.2">
      <c r="A31" s="195">
        <v>512287350</v>
      </c>
      <c r="B31" s="223" t="s">
        <v>1286</v>
      </c>
      <c r="D31" s="435">
        <v>400000</v>
      </c>
      <c r="E31" s="435"/>
      <c r="F31" s="435">
        <f t="shared" si="1"/>
        <v>400000</v>
      </c>
      <c r="H31" s="435">
        <v>402490</v>
      </c>
      <c r="I31" s="435"/>
      <c r="J31" s="435">
        <f t="shared" si="2"/>
        <v>402490</v>
      </c>
      <c r="L31" s="435">
        <v>311473</v>
      </c>
      <c r="M31" s="849"/>
      <c r="N31" s="435">
        <f t="shared" si="3"/>
        <v>311473</v>
      </c>
      <c r="P31" s="435">
        <v>71219</v>
      </c>
      <c r="Q31" s="849"/>
      <c r="R31" s="435">
        <f t="shared" si="4"/>
        <v>71219</v>
      </c>
      <c r="S31" s="170" t="s">
        <v>426</v>
      </c>
      <c r="T31" s="170" t="s">
        <v>136</v>
      </c>
    </row>
    <row r="32" spans="1:20" ht="37.5" customHeight="1" x14ac:dyDescent="0.2">
      <c r="A32" s="486">
        <v>510145022</v>
      </c>
      <c r="B32" s="85" t="s">
        <v>1287</v>
      </c>
      <c r="D32" s="435">
        <v>65000</v>
      </c>
      <c r="E32" s="435"/>
      <c r="F32" s="435">
        <f t="shared" ref="F32:F67" si="5">SUM(D32:E32)</f>
        <v>65000</v>
      </c>
      <c r="H32" s="435">
        <v>65000</v>
      </c>
      <c r="I32" s="435"/>
      <c r="J32" s="435">
        <f t="shared" si="2"/>
        <v>65000</v>
      </c>
      <c r="L32" s="435">
        <v>50087</v>
      </c>
      <c r="M32" s="849"/>
      <c r="N32" s="435">
        <f t="shared" si="3"/>
        <v>50087</v>
      </c>
      <c r="P32" s="435">
        <v>65000</v>
      </c>
      <c r="Q32" s="849"/>
      <c r="R32" s="435">
        <f t="shared" si="4"/>
        <v>65000</v>
      </c>
      <c r="S32" s="170" t="s">
        <v>43</v>
      </c>
      <c r="T32" s="170" t="s">
        <v>9</v>
      </c>
    </row>
    <row r="33" spans="1:20" ht="27.75" customHeight="1" x14ac:dyDescent="0.2">
      <c r="A33" s="486">
        <v>580044725</v>
      </c>
      <c r="B33" s="55" t="s">
        <v>1288</v>
      </c>
      <c r="D33" s="435">
        <v>63722</v>
      </c>
      <c r="E33" s="435"/>
      <c r="F33" s="435">
        <f t="shared" si="5"/>
        <v>63722</v>
      </c>
      <c r="H33" s="435">
        <v>67493</v>
      </c>
      <c r="I33" s="435"/>
      <c r="J33" s="435">
        <f t="shared" si="2"/>
        <v>67493</v>
      </c>
      <c r="L33" s="435">
        <v>106130</v>
      </c>
      <c r="M33" s="849"/>
      <c r="N33" s="435">
        <f t="shared" si="3"/>
        <v>106130</v>
      </c>
      <c r="P33" s="435">
        <v>108000</v>
      </c>
      <c r="Q33" s="849"/>
      <c r="R33" s="435">
        <f t="shared" si="4"/>
        <v>108000</v>
      </c>
      <c r="S33" s="170" t="s">
        <v>280</v>
      </c>
      <c r="T33" s="170" t="s">
        <v>136</v>
      </c>
    </row>
    <row r="34" spans="1:20" ht="27.75" customHeight="1" x14ac:dyDescent="0.2">
      <c r="A34" s="486">
        <v>580080224</v>
      </c>
      <c r="B34" s="487" t="s">
        <v>1289</v>
      </c>
      <c r="D34" s="836">
        <v>77528</v>
      </c>
      <c r="E34" s="435"/>
      <c r="F34" s="435">
        <f t="shared" si="5"/>
        <v>77528</v>
      </c>
      <c r="H34" s="435"/>
      <c r="I34" s="435"/>
      <c r="J34" s="435">
        <f t="shared" si="2"/>
        <v>0</v>
      </c>
      <c r="L34" s="435">
        <v>22977</v>
      </c>
      <c r="M34" s="849"/>
      <c r="N34" s="435">
        <f t="shared" si="3"/>
        <v>22977</v>
      </c>
      <c r="P34" s="435">
        <v>71314</v>
      </c>
      <c r="Q34" s="849">
        <v>6072</v>
      </c>
      <c r="R34" s="435">
        <f t="shared" si="4"/>
        <v>77386</v>
      </c>
      <c r="S34" s="170" t="s">
        <v>53</v>
      </c>
      <c r="T34" s="170" t="s">
        <v>53</v>
      </c>
    </row>
    <row r="35" spans="1:20" ht="27.75" customHeight="1" x14ac:dyDescent="0.2">
      <c r="A35" s="337">
        <v>580537041</v>
      </c>
      <c r="B35" s="487" t="s">
        <v>1290</v>
      </c>
      <c r="D35" s="836">
        <f>200000+85716+19374</f>
        <v>305090</v>
      </c>
      <c r="E35" s="849">
        <v>69757</v>
      </c>
      <c r="F35" s="435">
        <f t="shared" si="5"/>
        <v>374847</v>
      </c>
      <c r="H35" s="435">
        <v>396400</v>
      </c>
      <c r="I35" s="849">
        <f>53323+13724</f>
        <v>67047</v>
      </c>
      <c r="J35" s="435">
        <f t="shared" si="2"/>
        <v>463447</v>
      </c>
      <c r="L35" s="435">
        <v>427313</v>
      </c>
      <c r="M35" s="849">
        <v>72053.501389952871</v>
      </c>
      <c r="N35" s="435">
        <f t="shared" si="3"/>
        <v>499366.50138995284</v>
      </c>
      <c r="P35" s="435">
        <f>320000+110000+29403</f>
        <v>459403</v>
      </c>
      <c r="Q35" s="849">
        <v>78814</v>
      </c>
      <c r="R35" s="435">
        <f t="shared" si="4"/>
        <v>538217</v>
      </c>
      <c r="S35" s="170" t="s">
        <v>53</v>
      </c>
      <c r="T35" s="170" t="s">
        <v>53</v>
      </c>
    </row>
    <row r="36" spans="1:20" ht="27.75" customHeight="1" x14ac:dyDescent="0.2">
      <c r="A36" s="486">
        <v>580371045</v>
      </c>
      <c r="B36" s="487" t="s">
        <v>1291</v>
      </c>
      <c r="D36" s="836">
        <v>53102</v>
      </c>
      <c r="E36" s="435"/>
      <c r="F36" s="435">
        <f t="shared" si="5"/>
        <v>53102</v>
      </c>
      <c r="H36" s="435">
        <v>51821</v>
      </c>
      <c r="I36" s="435"/>
      <c r="J36" s="435">
        <f t="shared" si="2"/>
        <v>51821</v>
      </c>
      <c r="L36" s="836">
        <v>60000</v>
      </c>
      <c r="M36" s="849">
        <v>12388.468797374744</v>
      </c>
      <c r="N36" s="435">
        <f t="shared" si="3"/>
        <v>72388.46879737475</v>
      </c>
      <c r="P36" s="1033">
        <v>28194</v>
      </c>
      <c r="Q36" s="849">
        <v>15856</v>
      </c>
      <c r="R36" s="435">
        <f t="shared" si="4"/>
        <v>44050</v>
      </c>
      <c r="S36" s="170" t="s">
        <v>53</v>
      </c>
      <c r="T36" s="170" t="s">
        <v>53</v>
      </c>
    </row>
    <row r="37" spans="1:20" ht="27.75" customHeight="1" x14ac:dyDescent="0.2">
      <c r="A37" s="486">
        <v>580482412</v>
      </c>
      <c r="B37" s="487" t="s">
        <v>1292</v>
      </c>
      <c r="D37" s="435">
        <v>32000</v>
      </c>
      <c r="E37" s="435"/>
      <c r="F37" s="435">
        <f t="shared" si="5"/>
        <v>32000</v>
      </c>
      <c r="H37" s="435">
        <v>32000</v>
      </c>
      <c r="I37" s="435"/>
      <c r="J37" s="435">
        <f t="shared" si="2"/>
        <v>32000</v>
      </c>
      <c r="L37" s="435">
        <v>32000</v>
      </c>
      <c r="M37" s="849"/>
      <c r="N37" s="435">
        <f t="shared" si="3"/>
        <v>32000</v>
      </c>
      <c r="P37" s="435">
        <v>33425</v>
      </c>
      <c r="Q37" s="849"/>
      <c r="R37" s="435">
        <f t="shared" si="4"/>
        <v>33425</v>
      </c>
      <c r="S37" s="170" t="s">
        <v>725</v>
      </c>
      <c r="T37" s="170" t="s">
        <v>53</v>
      </c>
    </row>
    <row r="38" spans="1:20" ht="27.75" customHeight="1" x14ac:dyDescent="0.2">
      <c r="A38" s="486">
        <v>580234995</v>
      </c>
      <c r="B38" s="487" t="s">
        <v>2376</v>
      </c>
      <c r="D38" s="435">
        <v>53102</v>
      </c>
      <c r="E38" s="435"/>
      <c r="F38" s="435">
        <f t="shared" si="5"/>
        <v>53102</v>
      </c>
      <c r="H38" s="435">
        <v>396400</v>
      </c>
      <c r="I38" s="435"/>
      <c r="J38" s="435">
        <f t="shared" si="2"/>
        <v>396400</v>
      </c>
      <c r="L38" s="435">
        <v>78219</v>
      </c>
      <c r="M38" s="849"/>
      <c r="N38" s="435">
        <f t="shared" si="3"/>
        <v>78219</v>
      </c>
      <c r="P38" s="435">
        <v>76902</v>
      </c>
      <c r="Q38" s="849"/>
      <c r="R38" s="435">
        <f t="shared" si="4"/>
        <v>76902</v>
      </c>
      <c r="S38" s="170" t="s">
        <v>280</v>
      </c>
      <c r="T38" s="170" t="s">
        <v>136</v>
      </c>
    </row>
    <row r="39" spans="1:20" ht="28.5" customHeight="1" x14ac:dyDescent="0.2">
      <c r="A39" s="486">
        <v>580052421</v>
      </c>
      <c r="B39" s="487" t="s">
        <v>315</v>
      </c>
      <c r="D39" s="435">
        <v>72554</v>
      </c>
      <c r="E39" s="435"/>
      <c r="F39" s="435">
        <f t="shared" si="5"/>
        <v>72554</v>
      </c>
      <c r="H39" s="435">
        <v>99857</v>
      </c>
      <c r="I39" s="435"/>
      <c r="J39" s="435">
        <f t="shared" si="2"/>
        <v>99857</v>
      </c>
      <c r="L39" s="435">
        <v>81236</v>
      </c>
      <c r="M39" s="849"/>
      <c r="N39" s="435">
        <f t="shared" si="3"/>
        <v>81236</v>
      </c>
      <c r="P39" s="435">
        <v>67191</v>
      </c>
      <c r="Q39" s="849"/>
      <c r="R39" s="435">
        <f t="shared" si="4"/>
        <v>67191</v>
      </c>
      <c r="S39" s="170" t="s">
        <v>280</v>
      </c>
      <c r="T39" s="170" t="s">
        <v>136</v>
      </c>
    </row>
    <row r="40" spans="1:20" ht="27.75" customHeight="1" x14ac:dyDescent="0.2">
      <c r="A40" s="486">
        <v>580241610</v>
      </c>
      <c r="B40" s="487" t="s">
        <v>1293</v>
      </c>
      <c r="D40" s="435">
        <v>15930</v>
      </c>
      <c r="E40" s="435"/>
      <c r="F40" s="435">
        <f t="shared" si="5"/>
        <v>15930</v>
      </c>
      <c r="H40" s="435">
        <v>19658</v>
      </c>
      <c r="I40" s="435"/>
      <c r="J40" s="435">
        <f t="shared" si="2"/>
        <v>19658</v>
      </c>
      <c r="L40" s="435">
        <v>27245</v>
      </c>
      <c r="M40" s="849"/>
      <c r="N40" s="435">
        <f t="shared" si="3"/>
        <v>27245</v>
      </c>
      <c r="P40" s="435">
        <v>43391</v>
      </c>
      <c r="Q40" s="849"/>
      <c r="R40" s="435">
        <f t="shared" si="4"/>
        <v>43391</v>
      </c>
      <c r="S40" s="170" t="s">
        <v>1294</v>
      </c>
      <c r="T40" s="170" t="s">
        <v>9</v>
      </c>
    </row>
    <row r="41" spans="1:20" ht="27.75" customHeight="1" x14ac:dyDescent="0.2">
      <c r="A41" s="486">
        <v>580396307</v>
      </c>
      <c r="B41" s="487" t="s">
        <v>1295</v>
      </c>
      <c r="D41" s="435">
        <v>21241</v>
      </c>
      <c r="E41" s="435"/>
      <c r="F41" s="435">
        <f t="shared" si="5"/>
        <v>21241</v>
      </c>
      <c r="H41" s="435">
        <v>30000</v>
      </c>
      <c r="I41" s="435"/>
      <c r="J41" s="435">
        <f t="shared" si="2"/>
        <v>30000</v>
      </c>
      <c r="L41" s="435">
        <v>29429</v>
      </c>
      <c r="M41" s="849"/>
      <c r="N41" s="435">
        <f t="shared" si="3"/>
        <v>29429</v>
      </c>
      <c r="P41" s="435">
        <v>28024</v>
      </c>
      <c r="Q41" s="849"/>
      <c r="R41" s="435">
        <f t="shared" si="4"/>
        <v>28024</v>
      </c>
      <c r="S41" s="170" t="s">
        <v>408</v>
      </c>
      <c r="T41" s="170" t="s">
        <v>136</v>
      </c>
    </row>
    <row r="42" spans="1:20" ht="24.75" customHeight="1" x14ac:dyDescent="0.2">
      <c r="A42" s="486">
        <v>580082824</v>
      </c>
      <c r="B42" s="457" t="s">
        <v>1297</v>
      </c>
      <c r="D42" s="435">
        <v>70094</v>
      </c>
      <c r="E42" s="435"/>
      <c r="F42" s="435">
        <f t="shared" si="5"/>
        <v>70094</v>
      </c>
      <c r="H42" s="435">
        <v>73789</v>
      </c>
      <c r="I42" s="435"/>
      <c r="J42" s="435">
        <f t="shared" si="2"/>
        <v>73789</v>
      </c>
      <c r="L42" s="435">
        <v>50896</v>
      </c>
      <c r="M42" s="849"/>
      <c r="N42" s="435">
        <f t="shared" si="3"/>
        <v>50896</v>
      </c>
      <c r="P42" s="435">
        <v>12730</v>
      </c>
      <c r="Q42" s="849"/>
      <c r="R42" s="435">
        <f t="shared" si="4"/>
        <v>12730</v>
      </c>
      <c r="S42" s="170" t="s">
        <v>33</v>
      </c>
      <c r="T42" s="170" t="s">
        <v>9</v>
      </c>
    </row>
    <row r="43" spans="1:20" ht="30" customHeight="1" x14ac:dyDescent="0.2">
      <c r="A43" s="456">
        <v>580181741</v>
      </c>
      <c r="B43" s="458" t="s">
        <v>1359</v>
      </c>
      <c r="D43" s="435">
        <v>60000</v>
      </c>
      <c r="E43" s="435"/>
      <c r="F43" s="435">
        <f t="shared" si="5"/>
        <v>60000</v>
      </c>
      <c r="H43" s="836">
        <f>63551+21291</f>
        <v>84842</v>
      </c>
      <c r="I43" s="435"/>
      <c r="J43" s="435">
        <f t="shared" si="2"/>
        <v>84842</v>
      </c>
      <c r="L43" s="435">
        <v>101205</v>
      </c>
      <c r="M43" s="849"/>
      <c r="N43" s="435">
        <f t="shared" si="3"/>
        <v>101205</v>
      </c>
      <c r="P43" s="435">
        <v>76495</v>
      </c>
      <c r="Q43" s="849"/>
      <c r="R43" s="435">
        <f t="shared" si="4"/>
        <v>76495</v>
      </c>
      <c r="S43" s="170" t="s">
        <v>461</v>
      </c>
      <c r="T43" s="170" t="s">
        <v>12</v>
      </c>
    </row>
    <row r="44" spans="1:20" ht="24.75" customHeight="1" x14ac:dyDescent="0.2">
      <c r="A44" s="456">
        <v>580465011</v>
      </c>
      <c r="B44" s="458" t="s">
        <v>1298</v>
      </c>
      <c r="D44" s="435">
        <v>120000</v>
      </c>
      <c r="E44" s="849">
        <v>40000</v>
      </c>
      <c r="F44" s="435">
        <f t="shared" si="5"/>
        <v>160000</v>
      </c>
      <c r="H44" s="435">
        <v>170000</v>
      </c>
      <c r="I44" s="849">
        <v>32054</v>
      </c>
      <c r="J44" s="435">
        <f t="shared" si="2"/>
        <v>202054</v>
      </c>
      <c r="L44" s="435">
        <v>150000</v>
      </c>
      <c r="M44" s="849">
        <v>40640.661036137986</v>
      </c>
      <c r="N44" s="435">
        <f t="shared" si="3"/>
        <v>190640.66103613799</v>
      </c>
      <c r="P44" s="435">
        <v>251431</v>
      </c>
      <c r="Q44" s="849">
        <v>39639</v>
      </c>
      <c r="R44" s="435">
        <f t="shared" si="4"/>
        <v>291070</v>
      </c>
      <c r="S44" s="170" t="s">
        <v>53</v>
      </c>
      <c r="T44" s="170" t="s">
        <v>53</v>
      </c>
    </row>
    <row r="45" spans="1:20" ht="24.75" customHeight="1" x14ac:dyDescent="0.2">
      <c r="A45" s="456">
        <v>511757114</v>
      </c>
      <c r="B45" s="786" t="s">
        <v>1386</v>
      </c>
      <c r="D45" s="435">
        <v>45000</v>
      </c>
      <c r="E45" s="435"/>
      <c r="F45" s="435">
        <f t="shared" si="5"/>
        <v>45000</v>
      </c>
      <c r="H45" s="435">
        <v>50000</v>
      </c>
      <c r="I45" s="435"/>
      <c r="J45" s="435">
        <f t="shared" si="2"/>
        <v>50000</v>
      </c>
      <c r="L45" s="435">
        <v>45000</v>
      </c>
      <c r="M45" s="849"/>
      <c r="N45" s="435">
        <f t="shared" si="3"/>
        <v>45000</v>
      </c>
      <c r="P45" s="435"/>
      <c r="Q45" s="849"/>
      <c r="R45" s="435">
        <f t="shared" si="4"/>
        <v>0</v>
      </c>
      <c r="S45" s="170" t="s">
        <v>461</v>
      </c>
      <c r="T45" s="170" t="s">
        <v>12</v>
      </c>
    </row>
    <row r="46" spans="1:20" ht="24.75" customHeight="1" x14ac:dyDescent="0.2">
      <c r="A46" s="456">
        <v>580282341</v>
      </c>
      <c r="B46" s="85" t="s">
        <v>1381</v>
      </c>
      <c r="D46" s="435">
        <v>55226</v>
      </c>
      <c r="E46" s="435"/>
      <c r="F46" s="435">
        <f t="shared" si="5"/>
        <v>55226</v>
      </c>
      <c r="H46" s="435">
        <v>67455</v>
      </c>
      <c r="I46" s="435"/>
      <c r="J46" s="435">
        <f t="shared" si="2"/>
        <v>67455</v>
      </c>
      <c r="L46" s="435">
        <v>99588</v>
      </c>
      <c r="M46" s="849"/>
      <c r="N46" s="435">
        <f t="shared" si="3"/>
        <v>99588</v>
      </c>
      <c r="P46" s="435"/>
      <c r="Q46" s="849"/>
      <c r="R46" s="435">
        <f t="shared" si="4"/>
        <v>0</v>
      </c>
      <c r="S46" s="170" t="s">
        <v>280</v>
      </c>
      <c r="T46" s="170" t="s">
        <v>136</v>
      </c>
    </row>
    <row r="47" spans="1:20" ht="24.75" customHeight="1" x14ac:dyDescent="0.2">
      <c r="A47" s="456">
        <v>580502946</v>
      </c>
      <c r="B47" s="55" t="s">
        <v>1358</v>
      </c>
      <c r="D47" s="435">
        <v>250000</v>
      </c>
      <c r="E47" s="435"/>
      <c r="F47" s="435">
        <f t="shared" si="5"/>
        <v>250000</v>
      </c>
      <c r="H47" s="435">
        <v>463215</v>
      </c>
      <c r="I47" s="435"/>
      <c r="J47" s="435">
        <f t="shared" si="2"/>
        <v>463215</v>
      </c>
      <c r="L47" s="435">
        <v>606780</v>
      </c>
      <c r="M47" s="849"/>
      <c r="N47" s="435">
        <f t="shared" si="3"/>
        <v>606780</v>
      </c>
      <c r="P47" s="435">
        <v>808863</v>
      </c>
      <c r="Q47" s="849">
        <v>160349</v>
      </c>
      <c r="R47" s="435">
        <f t="shared" si="4"/>
        <v>969212</v>
      </c>
      <c r="S47" s="170" t="s">
        <v>53</v>
      </c>
      <c r="T47" s="170" t="s">
        <v>53</v>
      </c>
    </row>
    <row r="48" spans="1:20" ht="24.75" customHeight="1" x14ac:dyDescent="0.2">
      <c r="A48" s="456">
        <v>580013399</v>
      </c>
      <c r="B48" s="860" t="s">
        <v>2374</v>
      </c>
      <c r="D48" s="836">
        <v>10620</v>
      </c>
      <c r="E48" s="435"/>
      <c r="F48" s="435">
        <f t="shared" si="5"/>
        <v>10620</v>
      </c>
      <c r="H48" s="435"/>
      <c r="I48" s="435"/>
      <c r="J48" s="435">
        <f t="shared" si="2"/>
        <v>0</v>
      </c>
      <c r="L48" s="435"/>
      <c r="M48" s="849"/>
      <c r="N48" s="435">
        <f t="shared" si="3"/>
        <v>0</v>
      </c>
      <c r="P48" s="435"/>
      <c r="Q48" s="849"/>
      <c r="R48" s="435">
        <f t="shared" si="4"/>
        <v>0</v>
      </c>
      <c r="S48" s="170" t="s">
        <v>2375</v>
      </c>
      <c r="T48" s="170" t="s">
        <v>53</v>
      </c>
    </row>
    <row r="49" spans="1:20" ht="24.75" customHeight="1" x14ac:dyDescent="0.2">
      <c r="A49" s="456" t="s">
        <v>2379</v>
      </c>
      <c r="B49" s="855" t="s">
        <v>2380</v>
      </c>
      <c r="D49" s="435">
        <v>35047</v>
      </c>
      <c r="E49" s="435"/>
      <c r="F49" s="435">
        <f t="shared" si="5"/>
        <v>35047</v>
      </c>
      <c r="H49" s="435">
        <v>61000</v>
      </c>
      <c r="I49" s="435"/>
      <c r="J49" s="435">
        <f t="shared" si="2"/>
        <v>61000</v>
      </c>
      <c r="L49" s="836">
        <v>75000</v>
      </c>
      <c r="M49" s="849"/>
      <c r="N49" s="435">
        <f t="shared" si="3"/>
        <v>75000</v>
      </c>
      <c r="P49" s="1033">
        <v>63231</v>
      </c>
      <c r="Q49" s="849">
        <v>19820</v>
      </c>
      <c r="R49" s="435">
        <f t="shared" si="4"/>
        <v>83051</v>
      </c>
      <c r="S49" s="170" t="s">
        <v>53</v>
      </c>
      <c r="T49" s="170" t="s">
        <v>53</v>
      </c>
    </row>
    <row r="50" spans="1:20" ht="24.75" customHeight="1" x14ac:dyDescent="0.2">
      <c r="A50" s="456" t="s">
        <v>2377</v>
      </c>
      <c r="B50" s="855" t="s">
        <v>2378</v>
      </c>
      <c r="D50" s="435">
        <v>8496</v>
      </c>
      <c r="E50" s="435"/>
      <c r="F50" s="435">
        <f t="shared" si="5"/>
        <v>8496</v>
      </c>
      <c r="H50" s="435">
        <v>11076</v>
      </c>
      <c r="I50" s="435"/>
      <c r="J50" s="435">
        <f t="shared" si="2"/>
        <v>11076</v>
      </c>
      <c r="L50" s="435"/>
      <c r="M50" s="849"/>
      <c r="N50" s="435">
        <f t="shared" si="3"/>
        <v>0</v>
      </c>
      <c r="P50" s="435"/>
      <c r="Q50" s="849"/>
      <c r="R50" s="435">
        <f t="shared" si="4"/>
        <v>0</v>
      </c>
      <c r="S50" s="170" t="s">
        <v>280</v>
      </c>
      <c r="T50" s="170" t="s">
        <v>136</v>
      </c>
    </row>
    <row r="51" spans="1:20" ht="24.75" customHeight="1" x14ac:dyDescent="0.2">
      <c r="A51" s="456" t="s">
        <v>2381</v>
      </c>
      <c r="B51" s="855" t="s">
        <v>2382</v>
      </c>
      <c r="D51" s="435">
        <v>42081</v>
      </c>
      <c r="E51" s="435"/>
      <c r="F51" s="435">
        <f t="shared" si="5"/>
        <v>42081</v>
      </c>
      <c r="H51" s="435">
        <f>109315+11547</f>
        <v>120862</v>
      </c>
      <c r="I51" s="435"/>
      <c r="J51" s="435">
        <f t="shared" si="2"/>
        <v>120862</v>
      </c>
      <c r="L51" s="435">
        <v>129436</v>
      </c>
      <c r="M51" s="849"/>
      <c r="N51" s="435">
        <f t="shared" si="3"/>
        <v>129436</v>
      </c>
      <c r="P51" s="435">
        <f>49000+93239</f>
        <v>142239</v>
      </c>
      <c r="Q51" s="849"/>
      <c r="R51" s="435">
        <f t="shared" si="4"/>
        <v>142239</v>
      </c>
      <c r="S51" s="170" t="s">
        <v>280</v>
      </c>
      <c r="T51" s="170" t="s">
        <v>136</v>
      </c>
    </row>
    <row r="52" spans="1:20" ht="24.75" customHeight="1" x14ac:dyDescent="0.2">
      <c r="A52" s="456" t="s">
        <v>2479</v>
      </c>
      <c r="B52" s="899" t="s">
        <v>2480</v>
      </c>
      <c r="D52" s="836">
        <v>742430</v>
      </c>
      <c r="E52" s="849">
        <v>100000</v>
      </c>
      <c r="F52" s="435">
        <f t="shared" si="5"/>
        <v>842430</v>
      </c>
      <c r="H52" s="435">
        <v>688196</v>
      </c>
      <c r="I52" s="849">
        <v>198318</v>
      </c>
      <c r="J52" s="435">
        <f t="shared" si="2"/>
        <v>886514</v>
      </c>
      <c r="L52" s="435">
        <v>269554</v>
      </c>
      <c r="M52" s="849">
        <v>164522.00213191775</v>
      </c>
      <c r="N52" s="435">
        <f t="shared" si="3"/>
        <v>434076.00213191775</v>
      </c>
      <c r="P52" s="836">
        <v>600432</v>
      </c>
      <c r="Q52" s="849">
        <v>71233</v>
      </c>
      <c r="R52" s="435">
        <f t="shared" si="4"/>
        <v>671665</v>
      </c>
      <c r="S52" s="170" t="s">
        <v>53</v>
      </c>
      <c r="T52" s="170" t="s">
        <v>53</v>
      </c>
    </row>
    <row r="53" spans="1:20" ht="24.75" customHeight="1" x14ac:dyDescent="0.2">
      <c r="A53" s="456">
        <v>580031326</v>
      </c>
      <c r="B53" s="899" t="s">
        <v>2483</v>
      </c>
      <c r="D53" s="435">
        <v>10000</v>
      </c>
      <c r="E53" s="849"/>
      <c r="F53" s="435">
        <f t="shared" si="5"/>
        <v>10000</v>
      </c>
      <c r="H53" s="435"/>
      <c r="I53" s="849"/>
      <c r="J53" s="435">
        <f t="shared" si="2"/>
        <v>0</v>
      </c>
      <c r="L53" s="435"/>
      <c r="M53" s="849"/>
      <c r="N53" s="435">
        <f t="shared" si="3"/>
        <v>0</v>
      </c>
      <c r="P53" s="435"/>
      <c r="Q53" s="849"/>
      <c r="R53" s="435">
        <f t="shared" si="4"/>
        <v>0</v>
      </c>
      <c r="S53" s="170" t="s">
        <v>53</v>
      </c>
      <c r="T53" s="170" t="s">
        <v>53</v>
      </c>
    </row>
    <row r="54" spans="1:20" ht="24.75" customHeight="1" x14ac:dyDescent="0.2">
      <c r="A54" s="456">
        <v>580133015</v>
      </c>
      <c r="B54" s="899" t="s">
        <v>316</v>
      </c>
      <c r="D54" s="435">
        <v>120000</v>
      </c>
      <c r="E54" s="849"/>
      <c r="F54" s="435">
        <f t="shared" si="5"/>
        <v>120000</v>
      </c>
      <c r="H54" s="435">
        <v>127102</v>
      </c>
      <c r="I54" s="849"/>
      <c r="J54" s="435">
        <f t="shared" si="2"/>
        <v>127102</v>
      </c>
      <c r="L54" s="435">
        <v>143809</v>
      </c>
      <c r="M54" s="849"/>
      <c r="N54" s="435">
        <f t="shared" si="3"/>
        <v>143809</v>
      </c>
      <c r="P54" s="435">
        <v>105977</v>
      </c>
      <c r="Q54" s="849"/>
      <c r="R54" s="435">
        <f t="shared" si="4"/>
        <v>105977</v>
      </c>
      <c r="S54" s="170" t="s">
        <v>2484</v>
      </c>
      <c r="T54" s="170" t="s">
        <v>32</v>
      </c>
    </row>
    <row r="55" spans="1:20" ht="24.75" customHeight="1" x14ac:dyDescent="0.2">
      <c r="A55" s="456">
        <v>580416485</v>
      </c>
      <c r="B55" s="899" t="s">
        <v>2485</v>
      </c>
      <c r="D55" s="435">
        <v>112604</v>
      </c>
      <c r="E55" s="849"/>
      <c r="F55" s="435">
        <f t="shared" si="5"/>
        <v>112604</v>
      </c>
      <c r="H55" s="435">
        <v>119268</v>
      </c>
      <c r="I55" s="849"/>
      <c r="J55" s="435">
        <f t="shared" si="2"/>
        <v>119268</v>
      </c>
      <c r="L55" s="435">
        <v>106618</v>
      </c>
      <c r="M55" s="849">
        <v>20000</v>
      </c>
      <c r="N55" s="435">
        <f t="shared" si="3"/>
        <v>126618</v>
      </c>
      <c r="P55" s="435">
        <v>118305</v>
      </c>
      <c r="Q55" s="849">
        <v>28175</v>
      </c>
      <c r="R55" s="435">
        <f t="shared" si="4"/>
        <v>146480</v>
      </c>
      <c r="S55" s="170" t="s">
        <v>53</v>
      </c>
      <c r="T55" s="170" t="s">
        <v>53</v>
      </c>
    </row>
    <row r="56" spans="1:20" ht="24.75" customHeight="1" x14ac:dyDescent="0.2">
      <c r="A56" s="456">
        <v>580448686</v>
      </c>
      <c r="B56" s="899" t="s">
        <v>2486</v>
      </c>
      <c r="D56" s="435">
        <v>9558</v>
      </c>
      <c r="E56" s="849"/>
      <c r="F56" s="435">
        <f t="shared" si="5"/>
        <v>9558</v>
      </c>
      <c r="H56" s="435">
        <v>9761</v>
      </c>
      <c r="I56" s="849"/>
      <c r="J56" s="435">
        <f t="shared" si="2"/>
        <v>9761</v>
      </c>
      <c r="L56" s="435"/>
      <c r="M56" s="849"/>
      <c r="N56" s="435">
        <f t="shared" si="3"/>
        <v>0</v>
      </c>
      <c r="P56" s="435"/>
      <c r="Q56" s="849"/>
      <c r="R56" s="435">
        <f t="shared" si="4"/>
        <v>0</v>
      </c>
      <c r="S56" s="170" t="s">
        <v>280</v>
      </c>
      <c r="T56" s="170" t="s">
        <v>136</v>
      </c>
    </row>
    <row r="57" spans="1:20" ht="24.75" customHeight="1" x14ac:dyDescent="0.2">
      <c r="A57" s="456">
        <v>580476968</v>
      </c>
      <c r="B57" s="899" t="s">
        <v>2487</v>
      </c>
      <c r="D57" s="435">
        <f>32090+91335</f>
        <v>123425</v>
      </c>
      <c r="E57" s="849"/>
      <c r="F57" s="435">
        <f t="shared" si="5"/>
        <v>123425</v>
      </c>
      <c r="H57" s="435">
        <f>99642+50515</f>
        <v>150157</v>
      </c>
      <c r="I57" s="849"/>
      <c r="J57" s="435">
        <f t="shared" si="2"/>
        <v>150157</v>
      </c>
      <c r="L57" s="435">
        <v>147387</v>
      </c>
      <c r="M57" s="849"/>
      <c r="N57" s="435">
        <f t="shared" si="3"/>
        <v>147387</v>
      </c>
      <c r="P57" s="435">
        <f>44327+55035</f>
        <v>99362</v>
      </c>
      <c r="Q57" s="849"/>
      <c r="R57" s="435">
        <f t="shared" si="4"/>
        <v>99362</v>
      </c>
      <c r="S57" s="170" t="s">
        <v>280</v>
      </c>
      <c r="T57" s="170" t="s">
        <v>136</v>
      </c>
    </row>
    <row r="58" spans="1:20" ht="24.75" customHeight="1" x14ac:dyDescent="0.2">
      <c r="A58" s="456">
        <v>580574325</v>
      </c>
      <c r="B58" s="899" t="s">
        <v>2488</v>
      </c>
      <c r="D58" s="435">
        <v>38643</v>
      </c>
      <c r="E58" s="849"/>
      <c r="F58" s="435">
        <f t="shared" si="5"/>
        <v>38643</v>
      </c>
      <c r="H58" s="435">
        <v>59785</v>
      </c>
      <c r="I58" s="849"/>
      <c r="J58" s="435">
        <f t="shared" si="2"/>
        <v>59785</v>
      </c>
      <c r="L58" s="435"/>
      <c r="M58" s="849"/>
      <c r="N58" s="435">
        <f t="shared" si="3"/>
        <v>0</v>
      </c>
      <c r="P58" s="435">
        <v>73405</v>
      </c>
      <c r="Q58" s="849"/>
      <c r="R58" s="435">
        <f t="shared" si="4"/>
        <v>73405</v>
      </c>
      <c r="S58" s="170" t="s">
        <v>53</v>
      </c>
      <c r="T58" s="170" t="s">
        <v>53</v>
      </c>
    </row>
    <row r="59" spans="1:20" ht="24.75" customHeight="1" x14ac:dyDescent="0.2">
      <c r="A59" s="456">
        <v>580520864</v>
      </c>
      <c r="B59" s="900" t="s">
        <v>2489</v>
      </c>
      <c r="D59" s="435">
        <f>5000+5000</f>
        <v>10000</v>
      </c>
      <c r="E59" s="849"/>
      <c r="F59" s="435">
        <f t="shared" si="5"/>
        <v>10000</v>
      </c>
      <c r="H59" s="435">
        <f>10009+12277+13000</f>
        <v>35286</v>
      </c>
      <c r="I59" s="849"/>
      <c r="J59" s="435">
        <f t="shared" si="2"/>
        <v>35286</v>
      </c>
      <c r="L59" s="435">
        <v>45666</v>
      </c>
      <c r="M59" s="849"/>
      <c r="N59" s="435">
        <f t="shared" si="3"/>
        <v>45666</v>
      </c>
      <c r="P59" s="435">
        <v>58301</v>
      </c>
      <c r="Q59" s="849"/>
      <c r="R59" s="435">
        <f t="shared" si="4"/>
        <v>58301</v>
      </c>
      <c r="S59" s="170" t="s">
        <v>280</v>
      </c>
      <c r="T59" s="170" t="s">
        <v>136</v>
      </c>
    </row>
    <row r="60" spans="1:20" ht="24.75" customHeight="1" x14ac:dyDescent="0.2">
      <c r="A60" s="456">
        <v>510658735</v>
      </c>
      <c r="B60" s="900" t="s">
        <v>2967</v>
      </c>
      <c r="D60" s="435"/>
      <c r="E60" s="849"/>
      <c r="F60" s="435"/>
      <c r="H60" s="836">
        <v>98212</v>
      </c>
      <c r="I60" s="849"/>
      <c r="J60" s="435">
        <f t="shared" si="2"/>
        <v>98212</v>
      </c>
      <c r="L60" s="435"/>
      <c r="M60" s="849"/>
      <c r="N60" s="435">
        <f t="shared" si="3"/>
        <v>0</v>
      </c>
      <c r="P60" s="435">
        <v>45068</v>
      </c>
      <c r="Q60" s="849"/>
      <c r="R60" s="435">
        <f t="shared" si="4"/>
        <v>45068</v>
      </c>
      <c r="S60" s="170" t="s">
        <v>770</v>
      </c>
      <c r="T60" s="170" t="s">
        <v>32</v>
      </c>
    </row>
    <row r="61" spans="1:20" ht="24.75" customHeight="1" x14ac:dyDescent="0.2">
      <c r="A61" s="456">
        <v>580392280</v>
      </c>
      <c r="B61" s="900" t="s">
        <v>1518</v>
      </c>
      <c r="D61" s="435"/>
      <c r="E61" s="849"/>
      <c r="F61" s="435"/>
      <c r="H61" s="435">
        <v>22500</v>
      </c>
      <c r="I61" s="849"/>
      <c r="J61" s="435">
        <f t="shared" si="2"/>
        <v>22500</v>
      </c>
      <c r="L61" s="435">
        <v>22500</v>
      </c>
      <c r="M61" s="849"/>
      <c r="N61" s="435">
        <f t="shared" si="3"/>
        <v>22500</v>
      </c>
      <c r="P61" s="435">
        <v>22500</v>
      </c>
      <c r="Q61" s="849"/>
      <c r="R61" s="435">
        <f t="shared" si="4"/>
        <v>22500</v>
      </c>
      <c r="S61" s="170" t="s">
        <v>946</v>
      </c>
      <c r="T61" s="170" t="s">
        <v>32</v>
      </c>
    </row>
    <row r="62" spans="1:20" ht="24.75" customHeight="1" x14ac:dyDescent="0.2">
      <c r="A62" s="456" t="s">
        <v>3121</v>
      </c>
      <c r="B62" s="855" t="s">
        <v>3122</v>
      </c>
      <c r="D62" s="435"/>
      <c r="E62" s="849"/>
      <c r="F62" s="435"/>
      <c r="H62" s="435"/>
      <c r="I62" s="849"/>
      <c r="J62" s="435"/>
      <c r="L62" s="435">
        <v>19275</v>
      </c>
      <c r="M62" s="849"/>
      <c r="N62" s="435">
        <f t="shared" si="3"/>
        <v>19275</v>
      </c>
      <c r="P62" s="435">
        <v>50000</v>
      </c>
      <c r="Q62" s="849"/>
      <c r="R62" s="435">
        <f t="shared" si="4"/>
        <v>50000</v>
      </c>
      <c r="S62" s="170" t="s">
        <v>3123</v>
      </c>
      <c r="T62" s="170" t="s">
        <v>9</v>
      </c>
    </row>
    <row r="63" spans="1:20" ht="24.75" customHeight="1" x14ac:dyDescent="0.2">
      <c r="A63" s="456" t="s">
        <v>3125</v>
      </c>
      <c r="B63" s="855" t="s">
        <v>3126</v>
      </c>
      <c r="D63" s="435"/>
      <c r="E63" s="849"/>
      <c r="F63" s="435"/>
      <c r="H63" s="435"/>
      <c r="I63" s="849"/>
      <c r="J63" s="435"/>
      <c r="L63" s="435">
        <v>34454</v>
      </c>
      <c r="M63" s="849"/>
      <c r="N63" s="435">
        <f t="shared" ref="N63" si="6">SUM(L63:M63)</f>
        <v>34454</v>
      </c>
      <c r="P63" s="435">
        <v>81087</v>
      </c>
      <c r="Q63" s="849"/>
      <c r="R63" s="435">
        <f t="shared" ref="R63" si="7">SUM(P63:Q63)</f>
        <v>81087</v>
      </c>
      <c r="S63" s="170" t="s">
        <v>53</v>
      </c>
      <c r="T63" s="170" t="s">
        <v>53</v>
      </c>
    </row>
    <row r="64" spans="1:20" ht="24.75" customHeight="1" x14ac:dyDescent="0.2">
      <c r="A64" s="456" t="s">
        <v>3119</v>
      </c>
      <c r="B64" s="855" t="s">
        <v>3120</v>
      </c>
      <c r="D64" s="435"/>
      <c r="E64" s="849"/>
      <c r="F64" s="435"/>
      <c r="H64" s="435"/>
      <c r="I64" s="849"/>
      <c r="J64" s="435"/>
      <c r="L64" s="435">
        <v>7079</v>
      </c>
      <c r="M64" s="849"/>
      <c r="N64" s="435">
        <f t="shared" si="3"/>
        <v>7079</v>
      </c>
      <c r="P64" s="435">
        <v>30000</v>
      </c>
      <c r="Q64" s="849"/>
      <c r="R64" s="435">
        <f t="shared" ref="R64:R67" si="8">SUM(P64:Q64)</f>
        <v>30000</v>
      </c>
      <c r="S64" s="170" t="s">
        <v>53</v>
      </c>
      <c r="T64" s="170" t="s">
        <v>53</v>
      </c>
    </row>
    <row r="65" spans="1:20" ht="24.75" customHeight="1" x14ac:dyDescent="0.2">
      <c r="A65" s="456">
        <v>580051902</v>
      </c>
      <c r="B65" s="855" t="s">
        <v>3370</v>
      </c>
      <c r="D65" s="435"/>
      <c r="E65" s="849"/>
      <c r="F65" s="435"/>
      <c r="H65" s="435"/>
      <c r="I65" s="849"/>
      <c r="J65" s="435"/>
      <c r="L65" s="435"/>
      <c r="M65" s="849"/>
      <c r="N65" s="435"/>
      <c r="P65" s="435">
        <v>59603</v>
      </c>
      <c r="Q65" s="849"/>
      <c r="R65" s="435">
        <f t="shared" ref="R65:R66" si="9">SUM(P65:Q65)</f>
        <v>59603</v>
      </c>
      <c r="S65" s="170" t="s">
        <v>53</v>
      </c>
      <c r="T65" s="170" t="s">
        <v>53</v>
      </c>
    </row>
    <row r="66" spans="1:20" ht="24.75" customHeight="1" x14ac:dyDescent="0.2">
      <c r="A66" s="456">
        <v>580004729</v>
      </c>
      <c r="B66" s="855" t="s">
        <v>3371</v>
      </c>
      <c r="D66" s="435"/>
      <c r="E66" s="849"/>
      <c r="F66" s="435"/>
      <c r="H66" s="435"/>
      <c r="I66" s="849"/>
      <c r="J66" s="435"/>
      <c r="L66" s="435"/>
      <c r="M66" s="849"/>
      <c r="N66" s="435"/>
      <c r="P66" s="435">
        <v>76791</v>
      </c>
      <c r="Q66" s="849"/>
      <c r="R66" s="435">
        <f t="shared" si="9"/>
        <v>76791</v>
      </c>
      <c r="S66" s="170" t="s">
        <v>53</v>
      </c>
      <c r="T66" s="170" t="s">
        <v>53</v>
      </c>
    </row>
    <row r="67" spans="1:20" ht="27.75" customHeight="1" x14ac:dyDescent="0.2">
      <c r="A67" s="486">
        <v>590000659</v>
      </c>
      <c r="B67" s="487" t="s">
        <v>1299</v>
      </c>
      <c r="D67" s="435">
        <v>143374</v>
      </c>
      <c r="E67" s="435"/>
      <c r="F67" s="435">
        <f t="shared" si="5"/>
        <v>143374</v>
      </c>
      <c r="H67" s="435">
        <v>148595</v>
      </c>
      <c r="I67" s="435"/>
      <c r="J67" s="435">
        <f t="shared" si="2"/>
        <v>148595</v>
      </c>
      <c r="L67" s="836">
        <v>120284</v>
      </c>
      <c r="M67" s="849"/>
      <c r="N67" s="435">
        <f t="shared" si="3"/>
        <v>120284</v>
      </c>
      <c r="P67" s="435">
        <v>50958</v>
      </c>
      <c r="Q67" s="849"/>
      <c r="R67" s="435">
        <f t="shared" si="8"/>
        <v>50958</v>
      </c>
      <c r="S67" s="170" t="s">
        <v>280</v>
      </c>
      <c r="T67" s="170" t="s">
        <v>136</v>
      </c>
    </row>
    <row r="68" spans="1:20" s="207" customFormat="1" ht="18" x14ac:dyDescent="0.25">
      <c r="A68" s="488" t="s">
        <v>475</v>
      </c>
      <c r="B68" s="460"/>
      <c r="C68" s="344"/>
      <c r="D68" s="489">
        <f>SUM(D69:D88)</f>
        <v>1005188</v>
      </c>
      <c r="E68" s="489">
        <f>SUM(E69:E88)</f>
        <v>0</v>
      </c>
      <c r="F68" s="489">
        <f>SUM(F69:F88)</f>
        <v>1005188</v>
      </c>
      <c r="G68" s="344"/>
      <c r="H68" s="489">
        <f>SUM(H69:H88)</f>
        <v>1207926</v>
      </c>
      <c r="I68" s="489">
        <f>SUM(I69:I88)</f>
        <v>0</v>
      </c>
      <c r="J68" s="489">
        <f>SUM(J69:J88)</f>
        <v>1207926</v>
      </c>
      <c r="K68" s="344"/>
      <c r="L68" s="489">
        <f>SUM(L69:L88)</f>
        <v>1215727</v>
      </c>
      <c r="M68" s="489">
        <f>SUM(M69:M88)</f>
        <v>0</v>
      </c>
      <c r="N68" s="489">
        <f>SUM(N69:N88)</f>
        <v>1215727</v>
      </c>
      <c r="O68" s="344"/>
      <c r="P68" s="489">
        <f>SUM(P69:P88)</f>
        <v>1583570</v>
      </c>
      <c r="Q68" s="489">
        <f>SUM(Q69:Q88)</f>
        <v>0</v>
      </c>
      <c r="R68" s="489">
        <f>SUM(R69:R88)</f>
        <v>1583570</v>
      </c>
      <c r="S68" s="491"/>
      <c r="T68" s="491"/>
    </row>
    <row r="69" spans="1:20" ht="18" customHeight="1" x14ac:dyDescent="0.2">
      <c r="A69" s="195">
        <v>500250006</v>
      </c>
      <c r="B69" s="209" t="s">
        <v>1300</v>
      </c>
      <c r="D69" s="435">
        <v>350000</v>
      </c>
      <c r="E69" s="435"/>
      <c r="F69" s="435">
        <f t="shared" ref="F69:F88" si="10">SUM(D69:E69)</f>
        <v>350000</v>
      </c>
      <c r="H69" s="435">
        <v>370714</v>
      </c>
      <c r="I69" s="435"/>
      <c r="J69" s="435">
        <f t="shared" ref="J69:J88" si="11">SUM(H69:I69)</f>
        <v>370714</v>
      </c>
      <c r="L69" s="435">
        <v>329906</v>
      </c>
      <c r="M69" s="435"/>
      <c r="N69" s="435">
        <f t="shared" ref="N69:N88" si="12">SUM(L69:M69)</f>
        <v>329906</v>
      </c>
      <c r="P69" s="435">
        <v>227247</v>
      </c>
      <c r="Q69" s="435"/>
      <c r="R69" s="435">
        <f t="shared" ref="R69:R70" si="13">SUM(P69:Q69)</f>
        <v>227247</v>
      </c>
      <c r="S69" s="170" t="s">
        <v>280</v>
      </c>
      <c r="T69" s="170" t="s">
        <v>136</v>
      </c>
    </row>
    <row r="70" spans="1:20" s="359" customFormat="1" ht="18" customHeight="1" x14ac:dyDescent="0.2">
      <c r="A70" s="231">
        <v>500250006</v>
      </c>
      <c r="B70" s="209" t="s">
        <v>1301</v>
      </c>
      <c r="C70" s="344"/>
      <c r="D70" s="435">
        <f>38233+35000+42481+30000+50000+30000</f>
        <v>225714</v>
      </c>
      <c r="E70" s="435"/>
      <c r="F70" s="435">
        <f t="shared" si="10"/>
        <v>225714</v>
      </c>
      <c r="G70" s="344"/>
      <c r="H70" s="435">
        <v>249384</v>
      </c>
      <c r="I70" s="435"/>
      <c r="J70" s="435">
        <f t="shared" si="11"/>
        <v>249384</v>
      </c>
      <c r="K70" s="344"/>
      <c r="L70" s="435">
        <v>453910</v>
      </c>
      <c r="M70" s="435"/>
      <c r="N70" s="435">
        <f t="shared" si="12"/>
        <v>453910</v>
      </c>
      <c r="O70" s="344"/>
      <c r="P70" s="435">
        <v>600000</v>
      </c>
      <c r="Q70" s="435"/>
      <c r="R70" s="435">
        <f t="shared" si="13"/>
        <v>600000</v>
      </c>
      <c r="S70" s="170" t="s">
        <v>280</v>
      </c>
      <c r="T70" s="170" t="s">
        <v>136</v>
      </c>
    </row>
    <row r="71" spans="1:20" s="359" customFormat="1" ht="18" customHeight="1" x14ac:dyDescent="0.2">
      <c r="A71" s="231">
        <v>500250006</v>
      </c>
      <c r="B71" s="209" t="s">
        <v>3115</v>
      </c>
      <c r="C71" s="344"/>
      <c r="D71" s="435"/>
      <c r="E71" s="435"/>
      <c r="F71" s="435"/>
      <c r="G71" s="344"/>
      <c r="H71" s="435"/>
      <c r="I71" s="435"/>
      <c r="J71" s="435"/>
      <c r="K71" s="344"/>
      <c r="L71" s="435">
        <v>4134</v>
      </c>
      <c r="M71" s="435"/>
      <c r="N71" s="435">
        <f t="shared" ref="N71" si="14">SUM(L71:M71)</f>
        <v>4134</v>
      </c>
      <c r="O71" s="344"/>
      <c r="P71" s="435">
        <v>6370</v>
      </c>
      <c r="Q71" s="435"/>
      <c r="R71" s="435">
        <f t="shared" ref="R71" si="15">SUM(P71:Q71)</f>
        <v>6370</v>
      </c>
      <c r="S71" s="170" t="s">
        <v>280</v>
      </c>
      <c r="T71" s="170" t="s">
        <v>136</v>
      </c>
    </row>
    <row r="72" spans="1:20" s="359" customFormat="1" ht="18" customHeight="1" x14ac:dyDescent="0.2">
      <c r="A72" s="231">
        <v>500250006</v>
      </c>
      <c r="B72" s="209" t="s">
        <v>3116</v>
      </c>
      <c r="C72" s="344"/>
      <c r="D72" s="435"/>
      <c r="E72" s="435"/>
      <c r="F72" s="435"/>
      <c r="G72" s="344"/>
      <c r="H72" s="435"/>
      <c r="I72" s="435"/>
      <c r="J72" s="435"/>
      <c r="K72" s="344"/>
      <c r="L72" s="435">
        <v>13375</v>
      </c>
      <c r="M72" s="435"/>
      <c r="N72" s="435">
        <f t="shared" ref="N72" si="16">SUM(L72:M72)</f>
        <v>13375</v>
      </c>
      <c r="O72" s="344"/>
      <c r="P72" s="435">
        <v>88754</v>
      </c>
      <c r="Q72" s="435"/>
      <c r="R72" s="435">
        <f t="shared" ref="R72" si="17">SUM(P72:Q72)</f>
        <v>88754</v>
      </c>
      <c r="S72" s="170" t="s">
        <v>280</v>
      </c>
      <c r="T72" s="170" t="s">
        <v>136</v>
      </c>
    </row>
    <row r="73" spans="1:20" s="359" customFormat="1" ht="27" customHeight="1" x14ac:dyDescent="0.2">
      <c r="A73" s="456">
        <v>500222062</v>
      </c>
      <c r="B73" s="223" t="s">
        <v>1302</v>
      </c>
      <c r="C73" s="344"/>
      <c r="D73" s="435">
        <v>20500</v>
      </c>
      <c r="E73" s="435"/>
      <c r="F73" s="435">
        <f t="shared" si="10"/>
        <v>20500</v>
      </c>
      <c r="G73" s="344"/>
      <c r="H73" s="435">
        <v>22000</v>
      </c>
      <c r="I73" s="435"/>
      <c r="J73" s="435">
        <f t="shared" si="11"/>
        <v>22000</v>
      </c>
      <c r="K73" s="344"/>
      <c r="L73" s="435"/>
      <c r="M73" s="435"/>
      <c r="N73" s="435">
        <f t="shared" si="12"/>
        <v>0</v>
      </c>
      <c r="O73" s="344"/>
      <c r="P73" s="435">
        <v>22000</v>
      </c>
      <c r="Q73" s="435"/>
      <c r="R73" s="435">
        <f t="shared" ref="R73:R88" si="18">SUM(P73:Q73)</f>
        <v>22000</v>
      </c>
      <c r="S73" s="55" t="s">
        <v>1303</v>
      </c>
      <c r="T73" s="170" t="s">
        <v>9</v>
      </c>
    </row>
    <row r="74" spans="1:20" s="359" customFormat="1" ht="24" customHeight="1" x14ac:dyDescent="0.2">
      <c r="A74" s="456">
        <v>500262381</v>
      </c>
      <c r="B74" s="223" t="s">
        <v>1304</v>
      </c>
      <c r="C74" s="344"/>
      <c r="D74" s="435">
        <v>82838</v>
      </c>
      <c r="E74" s="435"/>
      <c r="F74" s="435">
        <f t="shared" si="10"/>
        <v>82838</v>
      </c>
      <c r="G74" s="344"/>
      <c r="H74" s="435">
        <v>75675</v>
      </c>
      <c r="I74" s="435"/>
      <c r="J74" s="435">
        <f t="shared" si="11"/>
        <v>75675</v>
      </c>
      <c r="K74" s="344"/>
      <c r="L74" s="435">
        <v>65441</v>
      </c>
      <c r="M74" s="435"/>
      <c r="N74" s="435">
        <f t="shared" si="12"/>
        <v>65441</v>
      </c>
      <c r="O74" s="344"/>
      <c r="P74" s="435">
        <v>75756</v>
      </c>
      <c r="Q74" s="435"/>
      <c r="R74" s="435">
        <f t="shared" si="18"/>
        <v>75756</v>
      </c>
      <c r="S74" s="55" t="s">
        <v>1305</v>
      </c>
      <c r="T74" s="170" t="s">
        <v>1306</v>
      </c>
    </row>
    <row r="75" spans="1:20" s="359" customFormat="1" ht="23.25" customHeight="1" x14ac:dyDescent="0.2">
      <c r="A75" s="456">
        <v>500283007</v>
      </c>
      <c r="B75" s="367" t="s">
        <v>3369</v>
      </c>
      <c r="C75" s="344"/>
      <c r="D75" s="435">
        <v>40000</v>
      </c>
      <c r="E75" s="435"/>
      <c r="F75" s="435">
        <f t="shared" si="10"/>
        <v>40000</v>
      </c>
      <c r="G75" s="344"/>
      <c r="H75" s="435">
        <f>40000+10021</f>
        <v>50021</v>
      </c>
      <c r="I75" s="435"/>
      <c r="J75" s="435">
        <f t="shared" si="11"/>
        <v>50021</v>
      </c>
      <c r="K75" s="344"/>
      <c r="L75" s="435">
        <v>70000</v>
      </c>
      <c r="M75" s="435"/>
      <c r="N75" s="435">
        <f t="shared" si="12"/>
        <v>70000</v>
      </c>
      <c r="O75" s="344"/>
      <c r="P75" s="435">
        <v>93983</v>
      </c>
      <c r="Q75" s="435"/>
      <c r="R75" s="435">
        <f t="shared" si="18"/>
        <v>93983</v>
      </c>
      <c r="S75" s="170" t="s">
        <v>292</v>
      </c>
      <c r="T75" s="170" t="s">
        <v>136</v>
      </c>
    </row>
    <row r="76" spans="1:20" s="359" customFormat="1" ht="20.25" customHeight="1" x14ac:dyDescent="0.2">
      <c r="A76" s="456">
        <v>500265004</v>
      </c>
      <c r="B76" s="367" t="s">
        <v>1307</v>
      </c>
      <c r="C76" s="344"/>
      <c r="D76" s="435">
        <v>14868</v>
      </c>
      <c r="E76" s="435"/>
      <c r="F76" s="435">
        <f t="shared" si="10"/>
        <v>14868</v>
      </c>
      <c r="G76" s="344"/>
      <c r="H76" s="435">
        <v>19211</v>
      </c>
      <c r="I76" s="435"/>
      <c r="J76" s="435">
        <f t="shared" si="11"/>
        <v>19211</v>
      </c>
      <c r="K76" s="344"/>
      <c r="L76" s="435">
        <v>58373</v>
      </c>
      <c r="M76" s="435"/>
      <c r="N76" s="435">
        <f t="shared" si="12"/>
        <v>58373</v>
      </c>
      <c r="O76" s="344"/>
      <c r="P76" s="435">
        <v>80639</v>
      </c>
      <c r="Q76" s="435"/>
      <c r="R76" s="435">
        <f t="shared" si="18"/>
        <v>80639</v>
      </c>
      <c r="S76" s="170" t="s">
        <v>896</v>
      </c>
      <c r="T76" s="170" t="s">
        <v>12</v>
      </c>
    </row>
    <row r="77" spans="1:20" s="359" customFormat="1" ht="20.25" customHeight="1" x14ac:dyDescent="0.2">
      <c r="A77" s="456">
        <v>500284005</v>
      </c>
      <c r="B77" s="367" t="s">
        <v>1308</v>
      </c>
      <c r="C77" s="344"/>
      <c r="D77" s="435">
        <v>59474</v>
      </c>
      <c r="E77" s="435"/>
      <c r="F77" s="435">
        <f t="shared" si="10"/>
        <v>59474</v>
      </c>
      <c r="G77" s="344"/>
      <c r="H77" s="435">
        <v>71885</v>
      </c>
      <c r="I77" s="435"/>
      <c r="J77" s="435">
        <f t="shared" si="11"/>
        <v>71885</v>
      </c>
      <c r="K77" s="344"/>
      <c r="L77" s="435">
        <v>75489</v>
      </c>
      <c r="M77" s="435"/>
      <c r="N77" s="435">
        <f t="shared" si="12"/>
        <v>75489</v>
      </c>
      <c r="O77" s="344"/>
      <c r="P77" s="435">
        <v>114445</v>
      </c>
      <c r="Q77" s="435"/>
      <c r="R77" s="435">
        <f t="shared" si="18"/>
        <v>114445</v>
      </c>
      <c r="S77" s="170" t="s">
        <v>327</v>
      </c>
      <c r="T77" s="170" t="s">
        <v>12</v>
      </c>
    </row>
    <row r="78" spans="1:20" s="359" customFormat="1" ht="20.25" customHeight="1" x14ac:dyDescent="0.2">
      <c r="A78" s="456" t="s">
        <v>1309</v>
      </c>
      <c r="B78" s="367" t="s">
        <v>1310</v>
      </c>
      <c r="C78" s="344"/>
      <c r="D78" s="435">
        <v>62502</v>
      </c>
      <c r="E78" s="435"/>
      <c r="F78" s="435">
        <f t="shared" si="10"/>
        <v>62502</v>
      </c>
      <c r="G78" s="344"/>
      <c r="H78" s="435">
        <v>66201</v>
      </c>
      <c r="I78" s="435"/>
      <c r="J78" s="435">
        <f t="shared" si="11"/>
        <v>66201</v>
      </c>
      <c r="K78" s="344"/>
      <c r="L78" s="435"/>
      <c r="M78" s="435"/>
      <c r="N78" s="435">
        <f t="shared" si="12"/>
        <v>0</v>
      </c>
      <c r="O78" s="344"/>
      <c r="P78" s="435">
        <v>38069</v>
      </c>
      <c r="Q78" s="435"/>
      <c r="R78" s="435">
        <f t="shared" si="18"/>
        <v>38069</v>
      </c>
      <c r="S78" s="170" t="s">
        <v>1196</v>
      </c>
      <c r="T78" s="170" t="s">
        <v>9</v>
      </c>
    </row>
    <row r="79" spans="1:20" s="359" customFormat="1" ht="20.25" customHeight="1" x14ac:dyDescent="0.2">
      <c r="A79" s="456" t="s">
        <v>2372</v>
      </c>
      <c r="B79" s="51" t="s">
        <v>2373</v>
      </c>
      <c r="C79" s="344"/>
      <c r="D79" s="435"/>
      <c r="E79" s="435"/>
      <c r="F79" s="435">
        <f t="shared" si="10"/>
        <v>0</v>
      </c>
      <c r="G79" s="344"/>
      <c r="H79" s="435">
        <v>124257</v>
      </c>
      <c r="I79" s="435"/>
      <c r="J79" s="435">
        <f t="shared" si="11"/>
        <v>124257</v>
      </c>
      <c r="K79" s="344"/>
      <c r="L79" s="435"/>
      <c r="M79" s="435"/>
      <c r="N79" s="435">
        <f t="shared" si="12"/>
        <v>0</v>
      </c>
      <c r="O79" s="344"/>
      <c r="P79" s="435">
        <v>90709</v>
      </c>
      <c r="Q79" s="435"/>
      <c r="R79" s="435">
        <f t="shared" si="18"/>
        <v>90709</v>
      </c>
      <c r="S79" s="170" t="s">
        <v>53</v>
      </c>
      <c r="T79" s="170" t="s">
        <v>53</v>
      </c>
    </row>
    <row r="80" spans="1:20" s="359" customFormat="1" ht="20.25" customHeight="1" x14ac:dyDescent="0.2">
      <c r="A80" s="456">
        <v>500222005</v>
      </c>
      <c r="B80" s="51" t="s">
        <v>2481</v>
      </c>
      <c r="C80" s="344"/>
      <c r="D80" s="836">
        <v>27613</v>
      </c>
      <c r="E80" s="435"/>
      <c r="F80" s="435">
        <f t="shared" si="10"/>
        <v>27613</v>
      </c>
      <c r="G80" s="344"/>
      <c r="H80" s="435"/>
      <c r="I80" s="435"/>
      <c r="J80" s="435">
        <f t="shared" si="11"/>
        <v>0</v>
      </c>
      <c r="K80" s="344"/>
      <c r="L80" s="435"/>
      <c r="M80" s="435"/>
      <c r="N80" s="435">
        <f t="shared" si="12"/>
        <v>0</v>
      </c>
      <c r="O80" s="344"/>
      <c r="P80" s="435"/>
      <c r="Q80" s="435"/>
      <c r="R80" s="435">
        <f t="shared" si="18"/>
        <v>0</v>
      </c>
      <c r="S80" s="170" t="s">
        <v>456</v>
      </c>
      <c r="T80" s="170" t="s">
        <v>32</v>
      </c>
    </row>
    <row r="81" spans="1:20" s="359" customFormat="1" ht="21" customHeight="1" x14ac:dyDescent="0.2">
      <c r="A81" s="456">
        <v>500261367</v>
      </c>
      <c r="B81" s="51" t="s">
        <v>2966</v>
      </c>
      <c r="C81" s="344"/>
      <c r="D81" s="435">
        <v>20179</v>
      </c>
      <c r="E81" s="435"/>
      <c r="F81" s="435">
        <f t="shared" si="10"/>
        <v>20179</v>
      </c>
      <c r="G81" s="344"/>
      <c r="H81" s="435">
        <v>21373</v>
      </c>
      <c r="I81" s="435"/>
      <c r="J81" s="435">
        <f t="shared" si="11"/>
        <v>21373</v>
      </c>
      <c r="K81" s="344"/>
      <c r="L81" s="435">
        <v>22757</v>
      </c>
      <c r="M81" s="435"/>
      <c r="N81" s="435">
        <f t="shared" si="12"/>
        <v>22757</v>
      </c>
      <c r="O81" s="344"/>
      <c r="P81" s="435">
        <v>36000</v>
      </c>
      <c r="Q81" s="435"/>
      <c r="R81" s="435">
        <f t="shared" si="18"/>
        <v>36000</v>
      </c>
      <c r="S81" s="170" t="s">
        <v>1585</v>
      </c>
      <c r="T81" s="170" t="s">
        <v>32</v>
      </c>
    </row>
    <row r="82" spans="1:20" s="359" customFormat="1" ht="21" customHeight="1" x14ac:dyDescent="0.2">
      <c r="A82" s="456">
        <v>500296009</v>
      </c>
      <c r="B82" s="51" t="s">
        <v>2482</v>
      </c>
      <c r="C82" s="344"/>
      <c r="D82" s="435">
        <v>21500</v>
      </c>
      <c r="E82" s="435"/>
      <c r="F82" s="435">
        <f t="shared" si="10"/>
        <v>21500</v>
      </c>
      <c r="G82" s="344"/>
      <c r="H82" s="435"/>
      <c r="I82" s="435"/>
      <c r="J82" s="435">
        <f t="shared" si="11"/>
        <v>0</v>
      </c>
      <c r="K82" s="344"/>
      <c r="L82" s="435"/>
      <c r="M82" s="435"/>
      <c r="N82" s="435">
        <f t="shared" si="12"/>
        <v>0</v>
      </c>
      <c r="O82" s="344"/>
      <c r="P82" s="435"/>
      <c r="Q82" s="435"/>
      <c r="R82" s="435">
        <f t="shared" si="18"/>
        <v>0</v>
      </c>
      <c r="S82" s="170" t="s">
        <v>1556</v>
      </c>
      <c r="T82" s="170" t="s">
        <v>9</v>
      </c>
    </row>
    <row r="83" spans="1:20" s="359" customFormat="1" ht="28.5" customHeight="1" x14ac:dyDescent="0.2">
      <c r="A83" s="456" t="s">
        <v>2773</v>
      </c>
      <c r="B83" s="860" t="s">
        <v>2968</v>
      </c>
      <c r="C83" s="344"/>
      <c r="D83" s="435"/>
      <c r="E83" s="435"/>
      <c r="F83" s="435"/>
      <c r="G83" s="344"/>
      <c r="H83" s="435">
        <v>14055</v>
      </c>
      <c r="I83" s="435"/>
      <c r="J83" s="435">
        <f t="shared" si="11"/>
        <v>14055</v>
      </c>
      <c r="K83" s="344"/>
      <c r="L83" s="435"/>
      <c r="M83" s="435"/>
      <c r="N83" s="435">
        <f t="shared" si="12"/>
        <v>0</v>
      </c>
      <c r="O83" s="344"/>
      <c r="P83" s="435"/>
      <c r="Q83" s="435"/>
      <c r="R83" s="435">
        <f t="shared" si="18"/>
        <v>0</v>
      </c>
      <c r="S83" s="170" t="s">
        <v>705</v>
      </c>
      <c r="T83" s="170" t="s">
        <v>9</v>
      </c>
    </row>
    <row r="84" spans="1:20" s="359" customFormat="1" ht="21" customHeight="1" x14ac:dyDescent="0.2">
      <c r="A84" s="456">
        <v>500243308</v>
      </c>
      <c r="B84" s="51" t="s">
        <v>2965</v>
      </c>
      <c r="C84" s="344"/>
      <c r="D84" s="435"/>
      <c r="E84" s="435"/>
      <c r="F84" s="435"/>
      <c r="G84" s="344"/>
      <c r="H84" s="435">
        <v>11250</v>
      </c>
      <c r="I84" s="435"/>
      <c r="J84" s="435">
        <f t="shared" si="11"/>
        <v>11250</v>
      </c>
      <c r="K84" s="344"/>
      <c r="L84" s="435">
        <v>11250</v>
      </c>
      <c r="M84" s="435"/>
      <c r="N84" s="435">
        <f t="shared" si="12"/>
        <v>11250</v>
      </c>
      <c r="O84" s="344"/>
      <c r="P84" s="435">
        <v>11250</v>
      </c>
      <c r="Q84" s="435"/>
      <c r="R84" s="435">
        <f t="shared" si="18"/>
        <v>11250</v>
      </c>
      <c r="S84" s="170" t="s">
        <v>2964</v>
      </c>
      <c r="T84" s="170" t="s">
        <v>12</v>
      </c>
    </row>
    <row r="85" spans="1:20" s="359" customFormat="1" ht="21" customHeight="1" x14ac:dyDescent="0.2">
      <c r="A85" s="456" t="s">
        <v>1592</v>
      </c>
      <c r="B85" s="51" t="s">
        <v>2971</v>
      </c>
      <c r="C85" s="344"/>
      <c r="D85" s="435"/>
      <c r="E85" s="435"/>
      <c r="F85" s="435"/>
      <c r="G85" s="344"/>
      <c r="H85" s="435">
        <v>27165</v>
      </c>
      <c r="I85" s="435"/>
      <c r="J85" s="435">
        <f t="shared" si="11"/>
        <v>27165</v>
      </c>
      <c r="K85" s="344"/>
      <c r="L85" s="435"/>
      <c r="M85" s="435"/>
      <c r="N85" s="435">
        <f t="shared" si="12"/>
        <v>0</v>
      </c>
      <c r="O85" s="344"/>
      <c r="P85" s="435"/>
      <c r="Q85" s="435"/>
      <c r="R85" s="435">
        <f t="shared" si="18"/>
        <v>0</v>
      </c>
      <c r="S85" s="170" t="s">
        <v>1593</v>
      </c>
      <c r="T85" s="170" t="s">
        <v>12</v>
      </c>
    </row>
    <row r="86" spans="1:20" s="359" customFormat="1" ht="21" customHeight="1" x14ac:dyDescent="0.2">
      <c r="A86" s="855" t="s">
        <v>3117</v>
      </c>
      <c r="B86" s="855" t="s">
        <v>3118</v>
      </c>
      <c r="C86" s="344"/>
      <c r="D86" s="435"/>
      <c r="E86" s="435"/>
      <c r="F86" s="435"/>
      <c r="G86" s="344"/>
      <c r="H86" s="435"/>
      <c r="I86" s="435"/>
      <c r="J86" s="435"/>
      <c r="K86" s="344"/>
      <c r="L86" s="435">
        <v>26198</v>
      </c>
      <c r="M86" s="435"/>
      <c r="N86" s="435">
        <f t="shared" si="12"/>
        <v>26198</v>
      </c>
      <c r="O86" s="344"/>
      <c r="P86" s="435">
        <v>37874</v>
      </c>
      <c r="Q86" s="435"/>
      <c r="R86" s="435">
        <f t="shared" si="18"/>
        <v>37874</v>
      </c>
      <c r="S86" s="170" t="s">
        <v>706</v>
      </c>
      <c r="T86" s="170" t="s">
        <v>12</v>
      </c>
    </row>
    <row r="87" spans="1:20" s="359" customFormat="1" ht="21" customHeight="1" x14ac:dyDescent="0.2">
      <c r="A87" s="456" t="s">
        <v>2683</v>
      </c>
      <c r="B87" s="855" t="s">
        <v>3113</v>
      </c>
      <c r="C87" s="344"/>
      <c r="D87" s="435"/>
      <c r="E87" s="435"/>
      <c r="F87" s="435"/>
      <c r="G87" s="344"/>
      <c r="H87" s="435"/>
      <c r="I87" s="435"/>
      <c r="J87" s="435"/>
      <c r="K87" s="344"/>
      <c r="L87" s="435">
        <v>26250</v>
      </c>
      <c r="M87" s="435"/>
      <c r="N87" s="435">
        <f t="shared" si="12"/>
        <v>26250</v>
      </c>
      <c r="O87" s="344"/>
      <c r="P87" s="435">
        <v>33750</v>
      </c>
      <c r="Q87" s="435"/>
      <c r="R87" s="435">
        <f t="shared" si="18"/>
        <v>33750</v>
      </c>
      <c r="S87" s="170" t="s">
        <v>3114</v>
      </c>
      <c r="T87" s="170" t="s">
        <v>9</v>
      </c>
    </row>
    <row r="88" spans="1:20" s="359" customFormat="1" ht="24" customHeight="1" x14ac:dyDescent="0.2">
      <c r="A88" s="456">
        <v>500221015</v>
      </c>
      <c r="B88" s="209" t="s">
        <v>1311</v>
      </c>
      <c r="C88" s="344"/>
      <c r="D88" s="435">
        <v>80000</v>
      </c>
      <c r="E88" s="435"/>
      <c r="F88" s="435">
        <f t="shared" si="10"/>
        <v>80000</v>
      </c>
      <c r="G88" s="344"/>
      <c r="H88" s="435">
        <v>84735</v>
      </c>
      <c r="I88" s="435"/>
      <c r="J88" s="435">
        <f t="shared" si="11"/>
        <v>84735</v>
      </c>
      <c r="K88" s="344"/>
      <c r="L88" s="435">
        <v>58644</v>
      </c>
      <c r="M88" s="435"/>
      <c r="N88" s="435">
        <f t="shared" si="12"/>
        <v>58644</v>
      </c>
      <c r="O88" s="344"/>
      <c r="P88" s="435">
        <v>26724</v>
      </c>
      <c r="Q88" s="435"/>
      <c r="R88" s="435">
        <f t="shared" si="18"/>
        <v>26724</v>
      </c>
      <c r="S88" s="170" t="s">
        <v>1285</v>
      </c>
      <c r="T88" s="170" t="s">
        <v>9</v>
      </c>
    </row>
    <row r="89" spans="1:20" s="359" customFormat="1" ht="16.5" customHeight="1" x14ac:dyDescent="0.2">
      <c r="A89" s="953"/>
      <c r="B89" s="954"/>
      <c r="C89" s="344"/>
      <c r="D89" s="435"/>
      <c r="E89" s="435"/>
      <c r="F89" s="435"/>
      <c r="G89" s="344"/>
      <c r="H89" s="435"/>
      <c r="I89" s="435"/>
      <c r="J89" s="435"/>
      <c r="K89" s="344"/>
      <c r="L89" s="435"/>
      <c r="M89" s="435"/>
      <c r="N89" s="435"/>
      <c r="O89" s="344"/>
      <c r="P89" s="435"/>
      <c r="Q89" s="435"/>
      <c r="R89" s="435"/>
      <c r="S89" s="170"/>
      <c r="T89" s="170"/>
    </row>
    <row r="90" spans="1:20" s="207" customFormat="1" ht="16.5" customHeight="1" x14ac:dyDescent="0.2">
      <c r="A90" s="1092" t="s">
        <v>3110</v>
      </c>
      <c r="B90" s="1093"/>
      <c r="C90" s="484"/>
      <c r="D90" s="205"/>
      <c r="E90" s="205"/>
      <c r="F90" s="205"/>
      <c r="G90" s="484"/>
      <c r="H90" s="205"/>
      <c r="I90" s="205"/>
      <c r="J90" s="205"/>
      <c r="K90" s="484"/>
      <c r="L90" s="205">
        <f>SUM(L91:L92)</f>
        <v>843105</v>
      </c>
      <c r="M90" s="205">
        <f t="shared" ref="M90:N90" si="19">SUM(M91:M92)</f>
        <v>0</v>
      </c>
      <c r="N90" s="205">
        <f t="shared" si="19"/>
        <v>843105</v>
      </c>
      <c r="O90" s="484"/>
      <c r="P90" s="205">
        <f>SUM(P91:P92)</f>
        <v>1107000</v>
      </c>
      <c r="Q90" s="205">
        <f t="shared" ref="Q90:R90" si="20">SUM(Q91:Q92)</f>
        <v>0</v>
      </c>
      <c r="R90" s="205">
        <f t="shared" si="20"/>
        <v>1107000</v>
      </c>
      <c r="S90" s="205"/>
      <c r="T90" s="205"/>
    </row>
    <row r="91" spans="1:20" s="359" customFormat="1" ht="18" customHeight="1" x14ac:dyDescent="0.2">
      <c r="A91" s="231">
        <v>580100212</v>
      </c>
      <c r="B91" s="209" t="s">
        <v>3111</v>
      </c>
      <c r="C91" s="344"/>
      <c r="D91" s="435"/>
      <c r="E91" s="435"/>
      <c r="F91" s="435"/>
      <c r="G91" s="344"/>
      <c r="H91" s="435"/>
      <c r="I91" s="435"/>
      <c r="J91" s="435"/>
      <c r="K91" s="344"/>
      <c r="L91" s="435">
        <v>591705</v>
      </c>
      <c r="M91" s="435"/>
      <c r="N91" s="435">
        <f t="shared" ref="N91" si="21">SUM(L91:M91)</f>
        <v>591705</v>
      </c>
      <c r="O91" s="344"/>
      <c r="P91" s="435">
        <v>1107000</v>
      </c>
      <c r="Q91" s="435"/>
      <c r="R91" s="435">
        <f t="shared" ref="R91:R92" si="22">SUM(P91:Q91)</f>
        <v>1107000</v>
      </c>
      <c r="S91" s="170" t="s">
        <v>329</v>
      </c>
      <c r="T91" s="170" t="s">
        <v>136</v>
      </c>
    </row>
    <row r="92" spans="1:20" s="359" customFormat="1" ht="18" customHeight="1" x14ac:dyDescent="0.2">
      <c r="A92" s="231">
        <v>513220830</v>
      </c>
      <c r="B92" s="209" t="s">
        <v>3112</v>
      </c>
      <c r="C92" s="344"/>
      <c r="D92" s="435"/>
      <c r="E92" s="435"/>
      <c r="F92" s="435"/>
      <c r="G92" s="344"/>
      <c r="H92" s="435"/>
      <c r="I92" s="435"/>
      <c r="J92" s="435"/>
      <c r="K92" s="344"/>
      <c r="L92" s="435">
        <v>251400</v>
      </c>
      <c r="M92" s="435"/>
      <c r="N92" s="435">
        <f t="shared" ref="N92" si="23">SUM(L92:M92)</f>
        <v>251400</v>
      </c>
      <c r="O92" s="344"/>
      <c r="P92" s="435"/>
      <c r="Q92" s="435"/>
      <c r="R92" s="435">
        <f t="shared" si="22"/>
        <v>0</v>
      </c>
      <c r="S92" s="170" t="s">
        <v>292</v>
      </c>
      <c r="T92" s="170" t="s">
        <v>136</v>
      </c>
    </row>
    <row r="93" spans="1:20" ht="20.25" customHeight="1" x14ac:dyDescent="0.2"/>
    <row r="94" spans="1:20" s="207" customFormat="1" ht="16.5" customHeight="1" x14ac:dyDescent="0.2">
      <c r="A94" s="1092" t="s">
        <v>3107</v>
      </c>
      <c r="B94" s="1093"/>
      <c r="C94" s="484"/>
      <c r="D94" s="205"/>
      <c r="E94" s="205"/>
      <c r="F94" s="205"/>
      <c r="G94" s="484"/>
      <c r="H94" s="205"/>
      <c r="I94" s="205"/>
      <c r="J94" s="205"/>
      <c r="K94" s="484"/>
      <c r="L94" s="205">
        <f>SUM(L95:L98)</f>
        <v>2793840</v>
      </c>
      <c r="M94" s="205">
        <f t="shared" ref="M94:N94" si="24">SUM(M95:M98)</f>
        <v>9963.4166470771925</v>
      </c>
      <c r="N94" s="205">
        <f t="shared" si="24"/>
        <v>2803803.4166470771</v>
      </c>
      <c r="O94" s="484"/>
      <c r="P94" s="205">
        <f>SUM(P95:P100)</f>
        <v>3386998</v>
      </c>
      <c r="Q94" s="205">
        <f>SUM(Q95:Q100)</f>
        <v>14534</v>
      </c>
      <c r="R94" s="205">
        <f>SUM(R95:R100)</f>
        <v>3401532</v>
      </c>
      <c r="S94" s="205"/>
      <c r="T94" s="205"/>
    </row>
    <row r="95" spans="1:20" s="359" customFormat="1" ht="18" customHeight="1" x14ac:dyDescent="0.2">
      <c r="A95" s="444">
        <v>580035756</v>
      </c>
      <c r="B95" s="209" t="s">
        <v>3108</v>
      </c>
      <c r="C95" s="344"/>
      <c r="D95" s="435"/>
      <c r="E95" s="435"/>
      <c r="F95" s="435"/>
      <c r="G95" s="344"/>
      <c r="H95" s="435"/>
      <c r="I95" s="435"/>
      <c r="J95" s="435"/>
      <c r="K95" s="344"/>
      <c r="L95" s="435">
        <v>523496</v>
      </c>
      <c r="M95" s="435"/>
      <c r="N95" s="435">
        <f t="shared" ref="N95" si="25">SUM(L95:M95)</f>
        <v>523496</v>
      </c>
      <c r="O95" s="344"/>
      <c r="P95" s="435">
        <f>304390+218240+179728+179728</f>
        <v>882086</v>
      </c>
      <c r="Q95" s="435"/>
      <c r="R95" s="435">
        <f t="shared" ref="R95" si="26">SUM(P95:Q95)</f>
        <v>882086</v>
      </c>
      <c r="S95" s="170" t="s">
        <v>280</v>
      </c>
      <c r="T95" s="170" t="s">
        <v>136</v>
      </c>
    </row>
    <row r="96" spans="1:20" s="359" customFormat="1" ht="18" customHeight="1" x14ac:dyDescent="0.2">
      <c r="A96" s="231">
        <v>580030260</v>
      </c>
      <c r="B96" s="209" t="s">
        <v>1265</v>
      </c>
      <c r="C96" s="344"/>
      <c r="D96" s="435"/>
      <c r="E96" s="435"/>
      <c r="F96" s="435"/>
      <c r="G96" s="344"/>
      <c r="H96" s="435"/>
      <c r="I96" s="435"/>
      <c r="J96" s="435"/>
      <c r="K96" s="344"/>
      <c r="L96" s="435">
        <f>1316840+101610+695284</f>
        <v>2113734</v>
      </c>
      <c r="M96" s="435"/>
      <c r="N96" s="435">
        <f t="shared" ref="N96:N97" si="27">SUM(L96:M96)</f>
        <v>2113734</v>
      </c>
      <c r="O96" s="344"/>
      <c r="P96" s="435">
        <f>764000+357550+294452+58524+58524+677400+72812</f>
        <v>2283262</v>
      </c>
      <c r="Q96" s="435"/>
      <c r="R96" s="435">
        <f t="shared" ref="R96:R97" si="28">SUM(P96:Q96)</f>
        <v>2283262</v>
      </c>
      <c r="S96" s="170" t="s">
        <v>329</v>
      </c>
      <c r="T96" s="170" t="s">
        <v>136</v>
      </c>
    </row>
    <row r="97" spans="1:20" s="359" customFormat="1" ht="18" customHeight="1" x14ac:dyDescent="0.2">
      <c r="A97" s="337">
        <v>580537041</v>
      </c>
      <c r="B97" s="209" t="s">
        <v>3109</v>
      </c>
      <c r="C97" s="344"/>
      <c r="D97" s="435"/>
      <c r="E97" s="435"/>
      <c r="F97" s="435"/>
      <c r="G97" s="344"/>
      <c r="H97" s="435"/>
      <c r="I97" s="435"/>
      <c r="J97" s="435"/>
      <c r="K97" s="344"/>
      <c r="L97" s="435">
        <v>101610</v>
      </c>
      <c r="M97" s="435"/>
      <c r="N97" s="435">
        <f t="shared" si="27"/>
        <v>101610</v>
      </c>
      <c r="O97" s="344"/>
      <c r="P97" s="435">
        <f>58524</f>
        <v>58524</v>
      </c>
      <c r="Q97" s="435"/>
      <c r="R97" s="435">
        <f t="shared" si="28"/>
        <v>58524</v>
      </c>
      <c r="S97" s="170" t="s">
        <v>53</v>
      </c>
      <c r="T97" s="170" t="s">
        <v>53</v>
      </c>
    </row>
    <row r="98" spans="1:20" s="359" customFormat="1" ht="18" customHeight="1" x14ac:dyDescent="0.2">
      <c r="A98" s="195">
        <v>580352490</v>
      </c>
      <c r="B98" s="209" t="s">
        <v>405</v>
      </c>
      <c r="C98" s="344"/>
      <c r="D98" s="435"/>
      <c r="E98" s="435"/>
      <c r="F98" s="435"/>
      <c r="G98" s="344"/>
      <c r="H98" s="435"/>
      <c r="I98" s="435"/>
      <c r="J98" s="435"/>
      <c r="K98" s="344"/>
      <c r="L98" s="435">
        <v>55000</v>
      </c>
      <c r="M98" s="849">
        <v>9963.4166470771925</v>
      </c>
      <c r="N98" s="435">
        <f t="shared" ref="N98" si="29">SUM(L98:M98)</f>
        <v>64963.416647077189</v>
      </c>
      <c r="O98" s="344"/>
      <c r="P98" s="435">
        <f>46078</f>
        <v>46078</v>
      </c>
      <c r="Q98" s="849">
        <v>14534</v>
      </c>
      <c r="R98" s="435">
        <f t="shared" ref="R98" si="30">SUM(P98:Q98)</f>
        <v>60612</v>
      </c>
      <c r="S98" s="170" t="s">
        <v>53</v>
      </c>
      <c r="T98" s="170" t="s">
        <v>53</v>
      </c>
    </row>
    <row r="99" spans="1:20" s="359" customFormat="1" ht="18" customHeight="1" x14ac:dyDescent="0.2">
      <c r="A99" s="195">
        <v>510673577</v>
      </c>
      <c r="B99" s="223" t="s">
        <v>1273</v>
      </c>
      <c r="C99" s="344"/>
      <c r="D99" s="435"/>
      <c r="E99" s="435"/>
      <c r="F99" s="435"/>
      <c r="G99" s="344"/>
      <c r="H99" s="435"/>
      <c r="I99" s="435"/>
      <c r="J99" s="435"/>
      <c r="K99" s="344"/>
      <c r="L99" s="435"/>
      <c r="M99" s="849"/>
      <c r="N99" s="435"/>
      <c r="O99" s="344"/>
      <c r="P99" s="435">
        <v>58524</v>
      </c>
      <c r="Q99" s="849"/>
      <c r="R99" s="435">
        <f t="shared" ref="R99" si="31">SUM(P99:Q99)</f>
        <v>58524</v>
      </c>
      <c r="S99" s="170" t="s">
        <v>53</v>
      </c>
      <c r="T99" s="170" t="s">
        <v>53</v>
      </c>
    </row>
    <row r="100" spans="1:20" s="359" customFormat="1" ht="18" customHeight="1" x14ac:dyDescent="0.2">
      <c r="A100" s="195">
        <v>580428621</v>
      </c>
      <c r="B100" s="209" t="s">
        <v>3372</v>
      </c>
      <c r="C100" s="344"/>
      <c r="D100" s="435"/>
      <c r="E100" s="435"/>
      <c r="F100" s="435"/>
      <c r="G100" s="344"/>
      <c r="H100" s="435"/>
      <c r="I100" s="435"/>
      <c r="J100" s="435"/>
      <c r="K100" s="344"/>
      <c r="L100" s="435"/>
      <c r="M100" s="849"/>
      <c r="N100" s="435"/>
      <c r="O100" s="344"/>
      <c r="P100" s="435">
        <v>58524</v>
      </c>
      <c r="Q100" s="849"/>
      <c r="R100" s="435">
        <f t="shared" ref="R100" si="32">SUM(P100:Q100)</f>
        <v>58524</v>
      </c>
      <c r="S100" s="170" t="s">
        <v>723</v>
      </c>
      <c r="T100" s="170" t="s">
        <v>12</v>
      </c>
    </row>
  </sheetData>
  <mergeCells count="8">
    <mergeCell ref="P1:R1"/>
    <mergeCell ref="H1:J1"/>
    <mergeCell ref="L1:N1"/>
    <mergeCell ref="A94:B94"/>
    <mergeCell ref="A90:B90"/>
    <mergeCell ref="A5:B5"/>
    <mergeCell ref="D1:F1"/>
    <mergeCell ref="A4:B4"/>
  </mergeCells>
  <pageMargins left="0" right="0.19685039370078741" top="1.4960629921259843" bottom="0.35433070866141736" header="0.86614173228346458" footer="0.11811023622047245"/>
  <pageSetup paperSize="9" scale="74" fitToHeight="7" orientation="landscape" r:id="rId1"/>
  <headerFooter alignWithMargins="0">
    <oddHeader>&amp;L&amp;D&amp;C&amp;"Arial,מודגש"מינהל תרבות
&amp;11תקציב על שינויו 2016-2019 בש"ח בהתאם להחלטת ועדת התמיכות&amp;R&amp;"Arial,מודגש"&amp;16תקנה 42-02-22- ספרות
42-02-68-תרגום ספרות עברית
42-02-69- מוסדות ספרות</oddHeader>
    <oddFooter>&amp;L&amp;F&amp;C&amp;P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גיליון8">
    <pageSetUpPr fitToPage="1"/>
  </sheetPr>
  <dimension ref="A1:X101"/>
  <sheetViews>
    <sheetView rightToLeft="1" topLeftCell="B1" zoomScale="80" zoomScaleNormal="80" workbookViewId="0">
      <pane xSplit="2" ySplit="2" topLeftCell="D3" activePane="bottomRight" state="frozen"/>
      <selection activeCell="S19" sqref="S19"/>
      <selection pane="topRight" activeCell="S19" sqref="S19"/>
      <selection pane="bottomLeft" activeCell="S19" sqref="S19"/>
      <selection pane="bottomRight" activeCell="W1" sqref="W1:X1048576"/>
    </sheetView>
  </sheetViews>
  <sheetFormatPr defaultColWidth="1.85546875" defaultRowHeight="12.75" x14ac:dyDescent="0.2"/>
  <cols>
    <col min="1" max="1" width="1.140625" style="163" customWidth="1"/>
    <col min="2" max="2" width="14.140625" style="163" bestFit="1" customWidth="1"/>
    <col min="3" max="3" width="20.28515625" style="343" customWidth="1"/>
    <col min="4" max="4" width="0.7109375" style="344" customWidth="1"/>
    <col min="5" max="6" width="13.140625" style="163" customWidth="1"/>
    <col min="7" max="7" width="13.140625" style="342" customWidth="1"/>
    <col min="8" max="8" width="0.7109375" style="344" customWidth="1"/>
    <col min="9" max="10" width="13.140625" style="163" customWidth="1"/>
    <col min="11" max="11" width="11.140625" style="163" customWidth="1"/>
    <col min="12" max="12" width="13.140625" style="342" customWidth="1"/>
    <col min="13" max="13" width="0.7109375" style="344" customWidth="1"/>
    <col min="14" max="15" width="13.140625" style="163" customWidth="1"/>
    <col min="16" max="16" width="11.140625" style="163" customWidth="1"/>
    <col min="17" max="17" width="13.140625" style="342" customWidth="1"/>
    <col min="18" max="18" width="0.7109375" style="344" customWidth="1"/>
    <col min="19" max="20" width="13.140625" style="163" customWidth="1"/>
    <col min="21" max="21" width="11.140625" style="163" customWidth="1"/>
    <col min="22" max="22" width="13.140625" style="342" customWidth="1"/>
    <col min="23" max="23" width="13.42578125" style="442" hidden="1" customWidth="1"/>
    <col min="24" max="24" width="11.140625" style="442" hidden="1" customWidth="1"/>
    <col min="25" max="252" width="1.85546875" style="163"/>
    <col min="253" max="253" width="1.140625" style="163" customWidth="1"/>
    <col min="254" max="254" width="14.140625" style="163" bestFit="1" customWidth="1"/>
    <col min="255" max="255" width="20.28515625" style="163" customWidth="1"/>
    <col min="256" max="256" width="0.7109375" style="163" customWidth="1"/>
    <col min="257" max="260" width="13.140625" style="163" customWidth="1"/>
    <col min="261" max="261" width="0.7109375" style="163" customWidth="1"/>
    <col min="262" max="265" width="13.140625" style="163" customWidth="1"/>
    <col min="266" max="266" width="18" style="163" customWidth="1"/>
    <col min="267" max="267" width="0.7109375" style="163" customWidth="1"/>
    <col min="268" max="271" width="13.140625" style="163" customWidth="1"/>
    <col min="272" max="272" width="18" style="163" customWidth="1"/>
    <col min="273" max="273" width="0.7109375" style="163" customWidth="1"/>
    <col min="274" max="277" width="13.140625" style="163" customWidth="1"/>
    <col min="278" max="278" width="18" style="163" customWidth="1"/>
    <col min="279" max="279" width="13.42578125" style="163" customWidth="1"/>
    <col min="280" max="280" width="11.140625" style="163" customWidth="1"/>
    <col min="281" max="508" width="1.85546875" style="163"/>
    <col min="509" max="509" width="1.140625" style="163" customWidth="1"/>
    <col min="510" max="510" width="14.140625" style="163" bestFit="1" customWidth="1"/>
    <col min="511" max="511" width="20.28515625" style="163" customWidth="1"/>
    <col min="512" max="512" width="0.7109375" style="163" customWidth="1"/>
    <col min="513" max="516" width="13.140625" style="163" customWidth="1"/>
    <col min="517" max="517" width="0.7109375" style="163" customWidth="1"/>
    <col min="518" max="521" width="13.140625" style="163" customWidth="1"/>
    <col min="522" max="522" width="18" style="163" customWidth="1"/>
    <col min="523" max="523" width="0.7109375" style="163" customWidth="1"/>
    <col min="524" max="527" width="13.140625" style="163" customWidth="1"/>
    <col min="528" max="528" width="18" style="163" customWidth="1"/>
    <col min="529" max="529" width="0.7109375" style="163" customWidth="1"/>
    <col min="530" max="533" width="13.140625" style="163" customWidth="1"/>
    <col min="534" max="534" width="18" style="163" customWidth="1"/>
    <col min="535" max="535" width="13.42578125" style="163" customWidth="1"/>
    <col min="536" max="536" width="11.140625" style="163" customWidth="1"/>
    <col min="537" max="764" width="1.85546875" style="163"/>
    <col min="765" max="765" width="1.140625" style="163" customWidth="1"/>
    <col min="766" max="766" width="14.140625" style="163" bestFit="1" customWidth="1"/>
    <col min="767" max="767" width="20.28515625" style="163" customWidth="1"/>
    <col min="768" max="768" width="0.7109375" style="163" customWidth="1"/>
    <col min="769" max="772" width="13.140625" style="163" customWidth="1"/>
    <col min="773" max="773" width="0.7109375" style="163" customWidth="1"/>
    <col min="774" max="777" width="13.140625" style="163" customWidth="1"/>
    <col min="778" max="778" width="18" style="163" customWidth="1"/>
    <col min="779" max="779" width="0.7109375" style="163" customWidth="1"/>
    <col min="780" max="783" width="13.140625" style="163" customWidth="1"/>
    <col min="784" max="784" width="18" style="163" customWidth="1"/>
    <col min="785" max="785" width="0.7109375" style="163" customWidth="1"/>
    <col min="786" max="789" width="13.140625" style="163" customWidth="1"/>
    <col min="790" max="790" width="18" style="163" customWidth="1"/>
    <col min="791" max="791" width="13.42578125" style="163" customWidth="1"/>
    <col min="792" max="792" width="11.140625" style="163" customWidth="1"/>
    <col min="793" max="1020" width="1.85546875" style="163"/>
    <col min="1021" max="1021" width="1.140625" style="163" customWidth="1"/>
    <col min="1022" max="1022" width="14.140625" style="163" bestFit="1" customWidth="1"/>
    <col min="1023" max="1023" width="20.28515625" style="163" customWidth="1"/>
    <col min="1024" max="1024" width="0.7109375" style="163" customWidth="1"/>
    <col min="1025" max="1028" width="13.140625" style="163" customWidth="1"/>
    <col min="1029" max="1029" width="0.7109375" style="163" customWidth="1"/>
    <col min="1030" max="1033" width="13.140625" style="163" customWidth="1"/>
    <col min="1034" max="1034" width="18" style="163" customWidth="1"/>
    <col min="1035" max="1035" width="0.7109375" style="163" customWidth="1"/>
    <col min="1036" max="1039" width="13.140625" style="163" customWidth="1"/>
    <col min="1040" max="1040" width="18" style="163" customWidth="1"/>
    <col min="1041" max="1041" width="0.7109375" style="163" customWidth="1"/>
    <col min="1042" max="1045" width="13.140625" style="163" customWidth="1"/>
    <col min="1046" max="1046" width="18" style="163" customWidth="1"/>
    <col min="1047" max="1047" width="13.42578125" style="163" customWidth="1"/>
    <col min="1048" max="1048" width="11.140625" style="163" customWidth="1"/>
    <col min="1049" max="1276" width="1.85546875" style="163"/>
    <col min="1277" max="1277" width="1.140625" style="163" customWidth="1"/>
    <col min="1278" max="1278" width="14.140625" style="163" bestFit="1" customWidth="1"/>
    <col min="1279" max="1279" width="20.28515625" style="163" customWidth="1"/>
    <col min="1280" max="1280" width="0.7109375" style="163" customWidth="1"/>
    <col min="1281" max="1284" width="13.140625" style="163" customWidth="1"/>
    <col min="1285" max="1285" width="0.7109375" style="163" customWidth="1"/>
    <col min="1286" max="1289" width="13.140625" style="163" customWidth="1"/>
    <col min="1290" max="1290" width="18" style="163" customWidth="1"/>
    <col min="1291" max="1291" width="0.7109375" style="163" customWidth="1"/>
    <col min="1292" max="1295" width="13.140625" style="163" customWidth="1"/>
    <col min="1296" max="1296" width="18" style="163" customWidth="1"/>
    <col min="1297" max="1297" width="0.7109375" style="163" customWidth="1"/>
    <col min="1298" max="1301" width="13.140625" style="163" customWidth="1"/>
    <col min="1302" max="1302" width="18" style="163" customWidth="1"/>
    <col min="1303" max="1303" width="13.42578125" style="163" customWidth="1"/>
    <col min="1304" max="1304" width="11.140625" style="163" customWidth="1"/>
    <col min="1305" max="1532" width="1.85546875" style="163"/>
    <col min="1533" max="1533" width="1.140625" style="163" customWidth="1"/>
    <col min="1534" max="1534" width="14.140625" style="163" bestFit="1" customWidth="1"/>
    <col min="1535" max="1535" width="20.28515625" style="163" customWidth="1"/>
    <col min="1536" max="1536" width="0.7109375" style="163" customWidth="1"/>
    <col min="1537" max="1540" width="13.140625" style="163" customWidth="1"/>
    <col min="1541" max="1541" width="0.7109375" style="163" customWidth="1"/>
    <col min="1542" max="1545" width="13.140625" style="163" customWidth="1"/>
    <col min="1546" max="1546" width="18" style="163" customWidth="1"/>
    <col min="1547" max="1547" width="0.7109375" style="163" customWidth="1"/>
    <col min="1548" max="1551" width="13.140625" style="163" customWidth="1"/>
    <col min="1552" max="1552" width="18" style="163" customWidth="1"/>
    <col min="1553" max="1553" width="0.7109375" style="163" customWidth="1"/>
    <col min="1554" max="1557" width="13.140625" style="163" customWidth="1"/>
    <col min="1558" max="1558" width="18" style="163" customWidth="1"/>
    <col min="1559" max="1559" width="13.42578125" style="163" customWidth="1"/>
    <col min="1560" max="1560" width="11.140625" style="163" customWidth="1"/>
    <col min="1561" max="1788" width="1.85546875" style="163"/>
    <col min="1789" max="1789" width="1.140625" style="163" customWidth="1"/>
    <col min="1790" max="1790" width="14.140625" style="163" bestFit="1" customWidth="1"/>
    <col min="1791" max="1791" width="20.28515625" style="163" customWidth="1"/>
    <col min="1792" max="1792" width="0.7109375" style="163" customWidth="1"/>
    <col min="1793" max="1796" width="13.140625" style="163" customWidth="1"/>
    <col min="1797" max="1797" width="0.7109375" style="163" customWidth="1"/>
    <col min="1798" max="1801" width="13.140625" style="163" customWidth="1"/>
    <col min="1802" max="1802" width="18" style="163" customWidth="1"/>
    <col min="1803" max="1803" width="0.7109375" style="163" customWidth="1"/>
    <col min="1804" max="1807" width="13.140625" style="163" customWidth="1"/>
    <col min="1808" max="1808" width="18" style="163" customWidth="1"/>
    <col min="1809" max="1809" width="0.7109375" style="163" customWidth="1"/>
    <col min="1810" max="1813" width="13.140625" style="163" customWidth="1"/>
    <col min="1814" max="1814" width="18" style="163" customWidth="1"/>
    <col min="1815" max="1815" width="13.42578125" style="163" customWidth="1"/>
    <col min="1816" max="1816" width="11.140625" style="163" customWidth="1"/>
    <col min="1817" max="2044" width="1.85546875" style="163"/>
    <col min="2045" max="2045" width="1.140625" style="163" customWidth="1"/>
    <col min="2046" max="2046" width="14.140625" style="163" bestFit="1" customWidth="1"/>
    <col min="2047" max="2047" width="20.28515625" style="163" customWidth="1"/>
    <col min="2048" max="2048" width="0.7109375" style="163" customWidth="1"/>
    <col min="2049" max="2052" width="13.140625" style="163" customWidth="1"/>
    <col min="2053" max="2053" width="0.7109375" style="163" customWidth="1"/>
    <col min="2054" max="2057" width="13.140625" style="163" customWidth="1"/>
    <col min="2058" max="2058" width="18" style="163" customWidth="1"/>
    <col min="2059" max="2059" width="0.7109375" style="163" customWidth="1"/>
    <col min="2060" max="2063" width="13.140625" style="163" customWidth="1"/>
    <col min="2064" max="2064" width="18" style="163" customWidth="1"/>
    <col min="2065" max="2065" width="0.7109375" style="163" customWidth="1"/>
    <col min="2066" max="2069" width="13.140625" style="163" customWidth="1"/>
    <col min="2070" max="2070" width="18" style="163" customWidth="1"/>
    <col min="2071" max="2071" width="13.42578125" style="163" customWidth="1"/>
    <col min="2072" max="2072" width="11.140625" style="163" customWidth="1"/>
    <col min="2073" max="2300" width="1.85546875" style="163"/>
    <col min="2301" max="2301" width="1.140625" style="163" customWidth="1"/>
    <col min="2302" max="2302" width="14.140625" style="163" bestFit="1" customWidth="1"/>
    <col min="2303" max="2303" width="20.28515625" style="163" customWidth="1"/>
    <col min="2304" max="2304" width="0.7109375" style="163" customWidth="1"/>
    <col min="2305" max="2308" width="13.140625" style="163" customWidth="1"/>
    <col min="2309" max="2309" width="0.7109375" style="163" customWidth="1"/>
    <col min="2310" max="2313" width="13.140625" style="163" customWidth="1"/>
    <col min="2314" max="2314" width="18" style="163" customWidth="1"/>
    <col min="2315" max="2315" width="0.7109375" style="163" customWidth="1"/>
    <col min="2316" max="2319" width="13.140625" style="163" customWidth="1"/>
    <col min="2320" max="2320" width="18" style="163" customWidth="1"/>
    <col min="2321" max="2321" width="0.7109375" style="163" customWidth="1"/>
    <col min="2322" max="2325" width="13.140625" style="163" customWidth="1"/>
    <col min="2326" max="2326" width="18" style="163" customWidth="1"/>
    <col min="2327" max="2327" width="13.42578125" style="163" customWidth="1"/>
    <col min="2328" max="2328" width="11.140625" style="163" customWidth="1"/>
    <col min="2329" max="2556" width="1.85546875" style="163"/>
    <col min="2557" max="2557" width="1.140625" style="163" customWidth="1"/>
    <col min="2558" max="2558" width="14.140625" style="163" bestFit="1" customWidth="1"/>
    <col min="2559" max="2559" width="20.28515625" style="163" customWidth="1"/>
    <col min="2560" max="2560" width="0.7109375" style="163" customWidth="1"/>
    <col min="2561" max="2564" width="13.140625" style="163" customWidth="1"/>
    <col min="2565" max="2565" width="0.7109375" style="163" customWidth="1"/>
    <col min="2566" max="2569" width="13.140625" style="163" customWidth="1"/>
    <col min="2570" max="2570" width="18" style="163" customWidth="1"/>
    <col min="2571" max="2571" width="0.7109375" style="163" customWidth="1"/>
    <col min="2572" max="2575" width="13.140625" style="163" customWidth="1"/>
    <col min="2576" max="2576" width="18" style="163" customWidth="1"/>
    <col min="2577" max="2577" width="0.7109375" style="163" customWidth="1"/>
    <col min="2578" max="2581" width="13.140625" style="163" customWidth="1"/>
    <col min="2582" max="2582" width="18" style="163" customWidth="1"/>
    <col min="2583" max="2583" width="13.42578125" style="163" customWidth="1"/>
    <col min="2584" max="2584" width="11.140625" style="163" customWidth="1"/>
    <col min="2585" max="2812" width="1.85546875" style="163"/>
    <col min="2813" max="2813" width="1.140625" style="163" customWidth="1"/>
    <col min="2814" max="2814" width="14.140625" style="163" bestFit="1" customWidth="1"/>
    <col min="2815" max="2815" width="20.28515625" style="163" customWidth="1"/>
    <col min="2816" max="2816" width="0.7109375" style="163" customWidth="1"/>
    <col min="2817" max="2820" width="13.140625" style="163" customWidth="1"/>
    <col min="2821" max="2821" width="0.7109375" style="163" customWidth="1"/>
    <col min="2822" max="2825" width="13.140625" style="163" customWidth="1"/>
    <col min="2826" max="2826" width="18" style="163" customWidth="1"/>
    <col min="2827" max="2827" width="0.7109375" style="163" customWidth="1"/>
    <col min="2828" max="2831" width="13.140625" style="163" customWidth="1"/>
    <col min="2832" max="2832" width="18" style="163" customWidth="1"/>
    <col min="2833" max="2833" width="0.7109375" style="163" customWidth="1"/>
    <col min="2834" max="2837" width="13.140625" style="163" customWidth="1"/>
    <col min="2838" max="2838" width="18" style="163" customWidth="1"/>
    <col min="2839" max="2839" width="13.42578125" style="163" customWidth="1"/>
    <col min="2840" max="2840" width="11.140625" style="163" customWidth="1"/>
    <col min="2841" max="3068" width="1.85546875" style="163"/>
    <col min="3069" max="3069" width="1.140625" style="163" customWidth="1"/>
    <col min="3070" max="3070" width="14.140625" style="163" bestFit="1" customWidth="1"/>
    <col min="3071" max="3071" width="20.28515625" style="163" customWidth="1"/>
    <col min="3072" max="3072" width="0.7109375" style="163" customWidth="1"/>
    <col min="3073" max="3076" width="13.140625" style="163" customWidth="1"/>
    <col min="3077" max="3077" width="0.7109375" style="163" customWidth="1"/>
    <col min="3078" max="3081" width="13.140625" style="163" customWidth="1"/>
    <col min="3082" max="3082" width="18" style="163" customWidth="1"/>
    <col min="3083" max="3083" width="0.7109375" style="163" customWidth="1"/>
    <col min="3084" max="3087" width="13.140625" style="163" customWidth="1"/>
    <col min="3088" max="3088" width="18" style="163" customWidth="1"/>
    <col min="3089" max="3089" width="0.7109375" style="163" customWidth="1"/>
    <col min="3090" max="3093" width="13.140625" style="163" customWidth="1"/>
    <col min="3094" max="3094" width="18" style="163" customWidth="1"/>
    <col min="3095" max="3095" width="13.42578125" style="163" customWidth="1"/>
    <col min="3096" max="3096" width="11.140625" style="163" customWidth="1"/>
    <col min="3097" max="3324" width="1.85546875" style="163"/>
    <col min="3325" max="3325" width="1.140625" style="163" customWidth="1"/>
    <col min="3326" max="3326" width="14.140625" style="163" bestFit="1" customWidth="1"/>
    <col min="3327" max="3327" width="20.28515625" style="163" customWidth="1"/>
    <col min="3328" max="3328" width="0.7109375" style="163" customWidth="1"/>
    <col min="3329" max="3332" width="13.140625" style="163" customWidth="1"/>
    <col min="3333" max="3333" width="0.7109375" style="163" customWidth="1"/>
    <col min="3334" max="3337" width="13.140625" style="163" customWidth="1"/>
    <col min="3338" max="3338" width="18" style="163" customWidth="1"/>
    <col min="3339" max="3339" width="0.7109375" style="163" customWidth="1"/>
    <col min="3340" max="3343" width="13.140625" style="163" customWidth="1"/>
    <col min="3344" max="3344" width="18" style="163" customWidth="1"/>
    <col min="3345" max="3345" width="0.7109375" style="163" customWidth="1"/>
    <col min="3346" max="3349" width="13.140625" style="163" customWidth="1"/>
    <col min="3350" max="3350" width="18" style="163" customWidth="1"/>
    <col min="3351" max="3351" width="13.42578125" style="163" customWidth="1"/>
    <col min="3352" max="3352" width="11.140625" style="163" customWidth="1"/>
    <col min="3353" max="3580" width="1.85546875" style="163"/>
    <col min="3581" max="3581" width="1.140625" style="163" customWidth="1"/>
    <col min="3582" max="3582" width="14.140625" style="163" bestFit="1" customWidth="1"/>
    <col min="3583" max="3583" width="20.28515625" style="163" customWidth="1"/>
    <col min="3584" max="3584" width="0.7109375" style="163" customWidth="1"/>
    <col min="3585" max="3588" width="13.140625" style="163" customWidth="1"/>
    <col min="3589" max="3589" width="0.7109375" style="163" customWidth="1"/>
    <col min="3590" max="3593" width="13.140625" style="163" customWidth="1"/>
    <col min="3594" max="3594" width="18" style="163" customWidth="1"/>
    <col min="3595" max="3595" width="0.7109375" style="163" customWidth="1"/>
    <col min="3596" max="3599" width="13.140625" style="163" customWidth="1"/>
    <col min="3600" max="3600" width="18" style="163" customWidth="1"/>
    <col min="3601" max="3601" width="0.7109375" style="163" customWidth="1"/>
    <col min="3602" max="3605" width="13.140625" style="163" customWidth="1"/>
    <col min="3606" max="3606" width="18" style="163" customWidth="1"/>
    <col min="3607" max="3607" width="13.42578125" style="163" customWidth="1"/>
    <col min="3608" max="3608" width="11.140625" style="163" customWidth="1"/>
    <col min="3609" max="3836" width="1.85546875" style="163"/>
    <col min="3837" max="3837" width="1.140625" style="163" customWidth="1"/>
    <col min="3838" max="3838" width="14.140625" style="163" bestFit="1" customWidth="1"/>
    <col min="3839" max="3839" width="20.28515625" style="163" customWidth="1"/>
    <col min="3840" max="3840" width="0.7109375" style="163" customWidth="1"/>
    <col min="3841" max="3844" width="13.140625" style="163" customWidth="1"/>
    <col min="3845" max="3845" width="0.7109375" style="163" customWidth="1"/>
    <col min="3846" max="3849" width="13.140625" style="163" customWidth="1"/>
    <col min="3850" max="3850" width="18" style="163" customWidth="1"/>
    <col min="3851" max="3851" width="0.7109375" style="163" customWidth="1"/>
    <col min="3852" max="3855" width="13.140625" style="163" customWidth="1"/>
    <col min="3856" max="3856" width="18" style="163" customWidth="1"/>
    <col min="3857" max="3857" width="0.7109375" style="163" customWidth="1"/>
    <col min="3858" max="3861" width="13.140625" style="163" customWidth="1"/>
    <col min="3862" max="3862" width="18" style="163" customWidth="1"/>
    <col min="3863" max="3863" width="13.42578125" style="163" customWidth="1"/>
    <col min="3864" max="3864" width="11.140625" style="163" customWidth="1"/>
    <col min="3865" max="4092" width="1.85546875" style="163"/>
    <col min="4093" max="4093" width="1.140625" style="163" customWidth="1"/>
    <col min="4094" max="4094" width="14.140625" style="163" bestFit="1" customWidth="1"/>
    <col min="4095" max="4095" width="20.28515625" style="163" customWidth="1"/>
    <col min="4096" max="4096" width="0.7109375" style="163" customWidth="1"/>
    <col min="4097" max="4100" width="13.140625" style="163" customWidth="1"/>
    <col min="4101" max="4101" width="0.7109375" style="163" customWidth="1"/>
    <col min="4102" max="4105" width="13.140625" style="163" customWidth="1"/>
    <col min="4106" max="4106" width="18" style="163" customWidth="1"/>
    <col min="4107" max="4107" width="0.7109375" style="163" customWidth="1"/>
    <col min="4108" max="4111" width="13.140625" style="163" customWidth="1"/>
    <col min="4112" max="4112" width="18" style="163" customWidth="1"/>
    <col min="4113" max="4113" width="0.7109375" style="163" customWidth="1"/>
    <col min="4114" max="4117" width="13.140625" style="163" customWidth="1"/>
    <col min="4118" max="4118" width="18" style="163" customWidth="1"/>
    <col min="4119" max="4119" width="13.42578125" style="163" customWidth="1"/>
    <col min="4120" max="4120" width="11.140625" style="163" customWidth="1"/>
    <col min="4121" max="4348" width="1.85546875" style="163"/>
    <col min="4349" max="4349" width="1.140625" style="163" customWidth="1"/>
    <col min="4350" max="4350" width="14.140625" style="163" bestFit="1" customWidth="1"/>
    <col min="4351" max="4351" width="20.28515625" style="163" customWidth="1"/>
    <col min="4352" max="4352" width="0.7109375" style="163" customWidth="1"/>
    <col min="4353" max="4356" width="13.140625" style="163" customWidth="1"/>
    <col min="4357" max="4357" width="0.7109375" style="163" customWidth="1"/>
    <col min="4358" max="4361" width="13.140625" style="163" customWidth="1"/>
    <col min="4362" max="4362" width="18" style="163" customWidth="1"/>
    <col min="4363" max="4363" width="0.7109375" style="163" customWidth="1"/>
    <col min="4364" max="4367" width="13.140625" style="163" customWidth="1"/>
    <col min="4368" max="4368" width="18" style="163" customWidth="1"/>
    <col min="4369" max="4369" width="0.7109375" style="163" customWidth="1"/>
    <col min="4370" max="4373" width="13.140625" style="163" customWidth="1"/>
    <col min="4374" max="4374" width="18" style="163" customWidth="1"/>
    <col min="4375" max="4375" width="13.42578125" style="163" customWidth="1"/>
    <col min="4376" max="4376" width="11.140625" style="163" customWidth="1"/>
    <col min="4377" max="4604" width="1.85546875" style="163"/>
    <col min="4605" max="4605" width="1.140625" style="163" customWidth="1"/>
    <col min="4606" max="4606" width="14.140625" style="163" bestFit="1" customWidth="1"/>
    <col min="4607" max="4607" width="20.28515625" style="163" customWidth="1"/>
    <col min="4608" max="4608" width="0.7109375" style="163" customWidth="1"/>
    <col min="4609" max="4612" width="13.140625" style="163" customWidth="1"/>
    <col min="4613" max="4613" width="0.7109375" style="163" customWidth="1"/>
    <col min="4614" max="4617" width="13.140625" style="163" customWidth="1"/>
    <col min="4618" max="4618" width="18" style="163" customWidth="1"/>
    <col min="4619" max="4619" width="0.7109375" style="163" customWidth="1"/>
    <col min="4620" max="4623" width="13.140625" style="163" customWidth="1"/>
    <col min="4624" max="4624" width="18" style="163" customWidth="1"/>
    <col min="4625" max="4625" width="0.7109375" style="163" customWidth="1"/>
    <col min="4626" max="4629" width="13.140625" style="163" customWidth="1"/>
    <col min="4630" max="4630" width="18" style="163" customWidth="1"/>
    <col min="4631" max="4631" width="13.42578125" style="163" customWidth="1"/>
    <col min="4632" max="4632" width="11.140625" style="163" customWidth="1"/>
    <col min="4633" max="4860" width="1.85546875" style="163"/>
    <col min="4861" max="4861" width="1.140625" style="163" customWidth="1"/>
    <col min="4862" max="4862" width="14.140625" style="163" bestFit="1" customWidth="1"/>
    <col min="4863" max="4863" width="20.28515625" style="163" customWidth="1"/>
    <col min="4864" max="4864" width="0.7109375" style="163" customWidth="1"/>
    <col min="4865" max="4868" width="13.140625" style="163" customWidth="1"/>
    <col min="4869" max="4869" width="0.7109375" style="163" customWidth="1"/>
    <col min="4870" max="4873" width="13.140625" style="163" customWidth="1"/>
    <col min="4874" max="4874" width="18" style="163" customWidth="1"/>
    <col min="4875" max="4875" width="0.7109375" style="163" customWidth="1"/>
    <col min="4876" max="4879" width="13.140625" style="163" customWidth="1"/>
    <col min="4880" max="4880" width="18" style="163" customWidth="1"/>
    <col min="4881" max="4881" width="0.7109375" style="163" customWidth="1"/>
    <col min="4882" max="4885" width="13.140625" style="163" customWidth="1"/>
    <col min="4886" max="4886" width="18" style="163" customWidth="1"/>
    <col min="4887" max="4887" width="13.42578125" style="163" customWidth="1"/>
    <col min="4888" max="4888" width="11.140625" style="163" customWidth="1"/>
    <col min="4889" max="5116" width="1.85546875" style="163"/>
    <col min="5117" max="5117" width="1.140625" style="163" customWidth="1"/>
    <col min="5118" max="5118" width="14.140625" style="163" bestFit="1" customWidth="1"/>
    <col min="5119" max="5119" width="20.28515625" style="163" customWidth="1"/>
    <col min="5120" max="5120" width="0.7109375" style="163" customWidth="1"/>
    <col min="5121" max="5124" width="13.140625" style="163" customWidth="1"/>
    <col min="5125" max="5125" width="0.7109375" style="163" customWidth="1"/>
    <col min="5126" max="5129" width="13.140625" style="163" customWidth="1"/>
    <col min="5130" max="5130" width="18" style="163" customWidth="1"/>
    <col min="5131" max="5131" width="0.7109375" style="163" customWidth="1"/>
    <col min="5132" max="5135" width="13.140625" style="163" customWidth="1"/>
    <col min="5136" max="5136" width="18" style="163" customWidth="1"/>
    <col min="5137" max="5137" width="0.7109375" style="163" customWidth="1"/>
    <col min="5138" max="5141" width="13.140625" style="163" customWidth="1"/>
    <col min="5142" max="5142" width="18" style="163" customWidth="1"/>
    <col min="5143" max="5143" width="13.42578125" style="163" customWidth="1"/>
    <col min="5144" max="5144" width="11.140625" style="163" customWidth="1"/>
    <col min="5145" max="5372" width="1.85546875" style="163"/>
    <col min="5373" max="5373" width="1.140625" style="163" customWidth="1"/>
    <col min="5374" max="5374" width="14.140625" style="163" bestFit="1" customWidth="1"/>
    <col min="5375" max="5375" width="20.28515625" style="163" customWidth="1"/>
    <col min="5376" max="5376" width="0.7109375" style="163" customWidth="1"/>
    <col min="5377" max="5380" width="13.140625" style="163" customWidth="1"/>
    <col min="5381" max="5381" width="0.7109375" style="163" customWidth="1"/>
    <col min="5382" max="5385" width="13.140625" style="163" customWidth="1"/>
    <col min="5386" max="5386" width="18" style="163" customWidth="1"/>
    <col min="5387" max="5387" width="0.7109375" style="163" customWidth="1"/>
    <col min="5388" max="5391" width="13.140625" style="163" customWidth="1"/>
    <col min="5392" max="5392" width="18" style="163" customWidth="1"/>
    <col min="5393" max="5393" width="0.7109375" style="163" customWidth="1"/>
    <col min="5394" max="5397" width="13.140625" style="163" customWidth="1"/>
    <col min="5398" max="5398" width="18" style="163" customWidth="1"/>
    <col min="5399" max="5399" width="13.42578125" style="163" customWidth="1"/>
    <col min="5400" max="5400" width="11.140625" style="163" customWidth="1"/>
    <col min="5401" max="5628" width="1.85546875" style="163"/>
    <col min="5629" max="5629" width="1.140625" style="163" customWidth="1"/>
    <col min="5630" max="5630" width="14.140625" style="163" bestFit="1" customWidth="1"/>
    <col min="5631" max="5631" width="20.28515625" style="163" customWidth="1"/>
    <col min="5632" max="5632" width="0.7109375" style="163" customWidth="1"/>
    <col min="5633" max="5636" width="13.140625" style="163" customWidth="1"/>
    <col min="5637" max="5637" width="0.7109375" style="163" customWidth="1"/>
    <col min="5638" max="5641" width="13.140625" style="163" customWidth="1"/>
    <col min="5642" max="5642" width="18" style="163" customWidth="1"/>
    <col min="5643" max="5643" width="0.7109375" style="163" customWidth="1"/>
    <col min="5644" max="5647" width="13.140625" style="163" customWidth="1"/>
    <col min="5648" max="5648" width="18" style="163" customWidth="1"/>
    <col min="5649" max="5649" width="0.7109375" style="163" customWidth="1"/>
    <col min="5650" max="5653" width="13.140625" style="163" customWidth="1"/>
    <col min="5654" max="5654" width="18" style="163" customWidth="1"/>
    <col min="5655" max="5655" width="13.42578125" style="163" customWidth="1"/>
    <col min="5656" max="5656" width="11.140625" style="163" customWidth="1"/>
    <col min="5657" max="5884" width="1.85546875" style="163"/>
    <col min="5885" max="5885" width="1.140625" style="163" customWidth="1"/>
    <col min="5886" max="5886" width="14.140625" style="163" bestFit="1" customWidth="1"/>
    <col min="5887" max="5887" width="20.28515625" style="163" customWidth="1"/>
    <col min="5888" max="5888" width="0.7109375" style="163" customWidth="1"/>
    <col min="5889" max="5892" width="13.140625" style="163" customWidth="1"/>
    <col min="5893" max="5893" width="0.7109375" style="163" customWidth="1"/>
    <col min="5894" max="5897" width="13.140625" style="163" customWidth="1"/>
    <col min="5898" max="5898" width="18" style="163" customWidth="1"/>
    <col min="5899" max="5899" width="0.7109375" style="163" customWidth="1"/>
    <col min="5900" max="5903" width="13.140625" style="163" customWidth="1"/>
    <col min="5904" max="5904" width="18" style="163" customWidth="1"/>
    <col min="5905" max="5905" width="0.7109375" style="163" customWidth="1"/>
    <col min="5906" max="5909" width="13.140625" style="163" customWidth="1"/>
    <col min="5910" max="5910" width="18" style="163" customWidth="1"/>
    <col min="5911" max="5911" width="13.42578125" style="163" customWidth="1"/>
    <col min="5912" max="5912" width="11.140625" style="163" customWidth="1"/>
    <col min="5913" max="6140" width="1.85546875" style="163"/>
    <col min="6141" max="6141" width="1.140625" style="163" customWidth="1"/>
    <col min="6142" max="6142" width="14.140625" style="163" bestFit="1" customWidth="1"/>
    <col min="6143" max="6143" width="20.28515625" style="163" customWidth="1"/>
    <col min="6144" max="6144" width="0.7109375" style="163" customWidth="1"/>
    <col min="6145" max="6148" width="13.140625" style="163" customWidth="1"/>
    <col min="6149" max="6149" width="0.7109375" style="163" customWidth="1"/>
    <col min="6150" max="6153" width="13.140625" style="163" customWidth="1"/>
    <col min="6154" max="6154" width="18" style="163" customWidth="1"/>
    <col min="6155" max="6155" width="0.7109375" style="163" customWidth="1"/>
    <col min="6156" max="6159" width="13.140625" style="163" customWidth="1"/>
    <col min="6160" max="6160" width="18" style="163" customWidth="1"/>
    <col min="6161" max="6161" width="0.7109375" style="163" customWidth="1"/>
    <col min="6162" max="6165" width="13.140625" style="163" customWidth="1"/>
    <col min="6166" max="6166" width="18" style="163" customWidth="1"/>
    <col min="6167" max="6167" width="13.42578125" style="163" customWidth="1"/>
    <col min="6168" max="6168" width="11.140625" style="163" customWidth="1"/>
    <col min="6169" max="6396" width="1.85546875" style="163"/>
    <col min="6397" max="6397" width="1.140625" style="163" customWidth="1"/>
    <col min="6398" max="6398" width="14.140625" style="163" bestFit="1" customWidth="1"/>
    <col min="6399" max="6399" width="20.28515625" style="163" customWidth="1"/>
    <col min="6400" max="6400" width="0.7109375" style="163" customWidth="1"/>
    <col min="6401" max="6404" width="13.140625" style="163" customWidth="1"/>
    <col min="6405" max="6405" width="0.7109375" style="163" customWidth="1"/>
    <col min="6406" max="6409" width="13.140625" style="163" customWidth="1"/>
    <col min="6410" max="6410" width="18" style="163" customWidth="1"/>
    <col min="6411" max="6411" width="0.7109375" style="163" customWidth="1"/>
    <col min="6412" max="6415" width="13.140625" style="163" customWidth="1"/>
    <col min="6416" max="6416" width="18" style="163" customWidth="1"/>
    <col min="6417" max="6417" width="0.7109375" style="163" customWidth="1"/>
    <col min="6418" max="6421" width="13.140625" style="163" customWidth="1"/>
    <col min="6422" max="6422" width="18" style="163" customWidth="1"/>
    <col min="6423" max="6423" width="13.42578125" style="163" customWidth="1"/>
    <col min="6424" max="6424" width="11.140625" style="163" customWidth="1"/>
    <col min="6425" max="6652" width="1.85546875" style="163"/>
    <col min="6653" max="6653" width="1.140625" style="163" customWidth="1"/>
    <col min="6654" max="6654" width="14.140625" style="163" bestFit="1" customWidth="1"/>
    <col min="6655" max="6655" width="20.28515625" style="163" customWidth="1"/>
    <col min="6656" max="6656" width="0.7109375" style="163" customWidth="1"/>
    <col min="6657" max="6660" width="13.140625" style="163" customWidth="1"/>
    <col min="6661" max="6661" width="0.7109375" style="163" customWidth="1"/>
    <col min="6662" max="6665" width="13.140625" style="163" customWidth="1"/>
    <col min="6666" max="6666" width="18" style="163" customWidth="1"/>
    <col min="6667" max="6667" width="0.7109375" style="163" customWidth="1"/>
    <col min="6668" max="6671" width="13.140625" style="163" customWidth="1"/>
    <col min="6672" max="6672" width="18" style="163" customWidth="1"/>
    <col min="6673" max="6673" width="0.7109375" style="163" customWidth="1"/>
    <col min="6674" max="6677" width="13.140625" style="163" customWidth="1"/>
    <col min="6678" max="6678" width="18" style="163" customWidth="1"/>
    <col min="6679" max="6679" width="13.42578125" style="163" customWidth="1"/>
    <col min="6680" max="6680" width="11.140625" style="163" customWidth="1"/>
    <col min="6681" max="6908" width="1.85546875" style="163"/>
    <col min="6909" max="6909" width="1.140625" style="163" customWidth="1"/>
    <col min="6910" max="6910" width="14.140625" style="163" bestFit="1" customWidth="1"/>
    <col min="6911" max="6911" width="20.28515625" style="163" customWidth="1"/>
    <col min="6912" max="6912" width="0.7109375" style="163" customWidth="1"/>
    <col min="6913" max="6916" width="13.140625" style="163" customWidth="1"/>
    <col min="6917" max="6917" width="0.7109375" style="163" customWidth="1"/>
    <col min="6918" max="6921" width="13.140625" style="163" customWidth="1"/>
    <col min="6922" max="6922" width="18" style="163" customWidth="1"/>
    <col min="6923" max="6923" width="0.7109375" style="163" customWidth="1"/>
    <col min="6924" max="6927" width="13.140625" style="163" customWidth="1"/>
    <col min="6928" max="6928" width="18" style="163" customWidth="1"/>
    <col min="6929" max="6929" width="0.7109375" style="163" customWidth="1"/>
    <col min="6930" max="6933" width="13.140625" style="163" customWidth="1"/>
    <col min="6934" max="6934" width="18" style="163" customWidth="1"/>
    <col min="6935" max="6935" width="13.42578125" style="163" customWidth="1"/>
    <col min="6936" max="6936" width="11.140625" style="163" customWidth="1"/>
    <col min="6937" max="7164" width="1.85546875" style="163"/>
    <col min="7165" max="7165" width="1.140625" style="163" customWidth="1"/>
    <col min="7166" max="7166" width="14.140625" style="163" bestFit="1" customWidth="1"/>
    <col min="7167" max="7167" width="20.28515625" style="163" customWidth="1"/>
    <col min="7168" max="7168" width="0.7109375" style="163" customWidth="1"/>
    <col min="7169" max="7172" width="13.140625" style="163" customWidth="1"/>
    <col min="7173" max="7173" width="0.7109375" style="163" customWidth="1"/>
    <col min="7174" max="7177" width="13.140625" style="163" customWidth="1"/>
    <col min="7178" max="7178" width="18" style="163" customWidth="1"/>
    <col min="7179" max="7179" width="0.7109375" style="163" customWidth="1"/>
    <col min="7180" max="7183" width="13.140625" style="163" customWidth="1"/>
    <col min="7184" max="7184" width="18" style="163" customWidth="1"/>
    <col min="7185" max="7185" width="0.7109375" style="163" customWidth="1"/>
    <col min="7186" max="7189" width="13.140625" style="163" customWidth="1"/>
    <col min="7190" max="7190" width="18" style="163" customWidth="1"/>
    <col min="7191" max="7191" width="13.42578125" style="163" customWidth="1"/>
    <col min="7192" max="7192" width="11.140625" style="163" customWidth="1"/>
    <col min="7193" max="7420" width="1.85546875" style="163"/>
    <col min="7421" max="7421" width="1.140625" style="163" customWidth="1"/>
    <col min="7422" max="7422" width="14.140625" style="163" bestFit="1" customWidth="1"/>
    <col min="7423" max="7423" width="20.28515625" style="163" customWidth="1"/>
    <col min="7424" max="7424" width="0.7109375" style="163" customWidth="1"/>
    <col min="7425" max="7428" width="13.140625" style="163" customWidth="1"/>
    <col min="7429" max="7429" width="0.7109375" style="163" customWidth="1"/>
    <col min="7430" max="7433" width="13.140625" style="163" customWidth="1"/>
    <col min="7434" max="7434" width="18" style="163" customWidth="1"/>
    <col min="7435" max="7435" width="0.7109375" style="163" customWidth="1"/>
    <col min="7436" max="7439" width="13.140625" style="163" customWidth="1"/>
    <col min="7440" max="7440" width="18" style="163" customWidth="1"/>
    <col min="7441" max="7441" width="0.7109375" style="163" customWidth="1"/>
    <col min="7442" max="7445" width="13.140625" style="163" customWidth="1"/>
    <col min="7446" max="7446" width="18" style="163" customWidth="1"/>
    <col min="7447" max="7447" width="13.42578125" style="163" customWidth="1"/>
    <col min="7448" max="7448" width="11.140625" style="163" customWidth="1"/>
    <col min="7449" max="7676" width="1.85546875" style="163"/>
    <col min="7677" max="7677" width="1.140625" style="163" customWidth="1"/>
    <col min="7678" max="7678" width="14.140625" style="163" bestFit="1" customWidth="1"/>
    <col min="7679" max="7679" width="20.28515625" style="163" customWidth="1"/>
    <col min="7680" max="7680" width="0.7109375" style="163" customWidth="1"/>
    <col min="7681" max="7684" width="13.140625" style="163" customWidth="1"/>
    <col min="7685" max="7685" width="0.7109375" style="163" customWidth="1"/>
    <col min="7686" max="7689" width="13.140625" style="163" customWidth="1"/>
    <col min="7690" max="7690" width="18" style="163" customWidth="1"/>
    <col min="7691" max="7691" width="0.7109375" style="163" customWidth="1"/>
    <col min="7692" max="7695" width="13.140625" style="163" customWidth="1"/>
    <col min="7696" max="7696" width="18" style="163" customWidth="1"/>
    <col min="7697" max="7697" width="0.7109375" style="163" customWidth="1"/>
    <col min="7698" max="7701" width="13.140625" style="163" customWidth="1"/>
    <col min="7702" max="7702" width="18" style="163" customWidth="1"/>
    <col min="7703" max="7703" width="13.42578125" style="163" customWidth="1"/>
    <col min="7704" max="7704" width="11.140625" style="163" customWidth="1"/>
    <col min="7705" max="7932" width="1.85546875" style="163"/>
    <col min="7933" max="7933" width="1.140625" style="163" customWidth="1"/>
    <col min="7934" max="7934" width="14.140625" style="163" bestFit="1" customWidth="1"/>
    <col min="7935" max="7935" width="20.28515625" style="163" customWidth="1"/>
    <col min="7936" max="7936" width="0.7109375" style="163" customWidth="1"/>
    <col min="7937" max="7940" width="13.140625" style="163" customWidth="1"/>
    <col min="7941" max="7941" width="0.7109375" style="163" customWidth="1"/>
    <col min="7942" max="7945" width="13.140625" style="163" customWidth="1"/>
    <col min="7946" max="7946" width="18" style="163" customWidth="1"/>
    <col min="7947" max="7947" width="0.7109375" style="163" customWidth="1"/>
    <col min="7948" max="7951" width="13.140625" style="163" customWidth="1"/>
    <col min="7952" max="7952" width="18" style="163" customWidth="1"/>
    <col min="7953" max="7953" width="0.7109375" style="163" customWidth="1"/>
    <col min="7954" max="7957" width="13.140625" style="163" customWidth="1"/>
    <col min="7958" max="7958" width="18" style="163" customWidth="1"/>
    <col min="7959" max="7959" width="13.42578125" style="163" customWidth="1"/>
    <col min="7960" max="7960" width="11.140625" style="163" customWidth="1"/>
    <col min="7961" max="8188" width="1.85546875" style="163"/>
    <col min="8189" max="8189" width="1.140625" style="163" customWidth="1"/>
    <col min="8190" max="8190" width="14.140625" style="163" bestFit="1" customWidth="1"/>
    <col min="8191" max="8191" width="20.28515625" style="163" customWidth="1"/>
    <col min="8192" max="8192" width="0.7109375" style="163" customWidth="1"/>
    <col min="8193" max="8196" width="13.140625" style="163" customWidth="1"/>
    <col min="8197" max="8197" width="0.7109375" style="163" customWidth="1"/>
    <col min="8198" max="8201" width="13.140625" style="163" customWidth="1"/>
    <col min="8202" max="8202" width="18" style="163" customWidth="1"/>
    <col min="8203" max="8203" width="0.7109375" style="163" customWidth="1"/>
    <col min="8204" max="8207" width="13.140625" style="163" customWidth="1"/>
    <col min="8208" max="8208" width="18" style="163" customWidth="1"/>
    <col min="8209" max="8209" width="0.7109375" style="163" customWidth="1"/>
    <col min="8210" max="8213" width="13.140625" style="163" customWidth="1"/>
    <col min="8214" max="8214" width="18" style="163" customWidth="1"/>
    <col min="8215" max="8215" width="13.42578125" style="163" customWidth="1"/>
    <col min="8216" max="8216" width="11.140625" style="163" customWidth="1"/>
    <col min="8217" max="8444" width="1.85546875" style="163"/>
    <col min="8445" max="8445" width="1.140625" style="163" customWidth="1"/>
    <col min="8446" max="8446" width="14.140625" style="163" bestFit="1" customWidth="1"/>
    <col min="8447" max="8447" width="20.28515625" style="163" customWidth="1"/>
    <col min="8448" max="8448" width="0.7109375" style="163" customWidth="1"/>
    <col min="8449" max="8452" width="13.140625" style="163" customWidth="1"/>
    <col min="8453" max="8453" width="0.7109375" style="163" customWidth="1"/>
    <col min="8454" max="8457" width="13.140625" style="163" customWidth="1"/>
    <col min="8458" max="8458" width="18" style="163" customWidth="1"/>
    <col min="8459" max="8459" width="0.7109375" style="163" customWidth="1"/>
    <col min="8460" max="8463" width="13.140625" style="163" customWidth="1"/>
    <col min="8464" max="8464" width="18" style="163" customWidth="1"/>
    <col min="8465" max="8465" width="0.7109375" style="163" customWidth="1"/>
    <col min="8466" max="8469" width="13.140625" style="163" customWidth="1"/>
    <col min="8470" max="8470" width="18" style="163" customWidth="1"/>
    <col min="8471" max="8471" width="13.42578125" style="163" customWidth="1"/>
    <col min="8472" max="8472" width="11.140625" style="163" customWidth="1"/>
    <col min="8473" max="8700" width="1.85546875" style="163"/>
    <col min="8701" max="8701" width="1.140625" style="163" customWidth="1"/>
    <col min="8702" max="8702" width="14.140625" style="163" bestFit="1" customWidth="1"/>
    <col min="8703" max="8703" width="20.28515625" style="163" customWidth="1"/>
    <col min="8704" max="8704" width="0.7109375" style="163" customWidth="1"/>
    <col min="8705" max="8708" width="13.140625" style="163" customWidth="1"/>
    <col min="8709" max="8709" width="0.7109375" style="163" customWidth="1"/>
    <col min="8710" max="8713" width="13.140625" style="163" customWidth="1"/>
    <col min="8714" max="8714" width="18" style="163" customWidth="1"/>
    <col min="8715" max="8715" width="0.7109375" style="163" customWidth="1"/>
    <col min="8716" max="8719" width="13.140625" style="163" customWidth="1"/>
    <col min="8720" max="8720" width="18" style="163" customWidth="1"/>
    <col min="8721" max="8721" width="0.7109375" style="163" customWidth="1"/>
    <col min="8722" max="8725" width="13.140625" style="163" customWidth="1"/>
    <col min="8726" max="8726" width="18" style="163" customWidth="1"/>
    <col min="8727" max="8727" width="13.42578125" style="163" customWidth="1"/>
    <col min="8728" max="8728" width="11.140625" style="163" customWidth="1"/>
    <col min="8729" max="8956" width="1.85546875" style="163"/>
    <col min="8957" max="8957" width="1.140625" style="163" customWidth="1"/>
    <col min="8958" max="8958" width="14.140625" style="163" bestFit="1" customWidth="1"/>
    <col min="8959" max="8959" width="20.28515625" style="163" customWidth="1"/>
    <col min="8960" max="8960" width="0.7109375" style="163" customWidth="1"/>
    <col min="8961" max="8964" width="13.140625" style="163" customWidth="1"/>
    <col min="8965" max="8965" width="0.7109375" style="163" customWidth="1"/>
    <col min="8966" max="8969" width="13.140625" style="163" customWidth="1"/>
    <col min="8970" max="8970" width="18" style="163" customWidth="1"/>
    <col min="8971" max="8971" width="0.7109375" style="163" customWidth="1"/>
    <col min="8972" max="8975" width="13.140625" style="163" customWidth="1"/>
    <col min="8976" max="8976" width="18" style="163" customWidth="1"/>
    <col min="8977" max="8977" width="0.7109375" style="163" customWidth="1"/>
    <col min="8978" max="8981" width="13.140625" style="163" customWidth="1"/>
    <col min="8982" max="8982" width="18" style="163" customWidth="1"/>
    <col min="8983" max="8983" width="13.42578125" style="163" customWidth="1"/>
    <col min="8984" max="8984" width="11.140625" style="163" customWidth="1"/>
    <col min="8985" max="9212" width="1.85546875" style="163"/>
    <col min="9213" max="9213" width="1.140625" style="163" customWidth="1"/>
    <col min="9214" max="9214" width="14.140625" style="163" bestFit="1" customWidth="1"/>
    <col min="9215" max="9215" width="20.28515625" style="163" customWidth="1"/>
    <col min="9216" max="9216" width="0.7109375" style="163" customWidth="1"/>
    <col min="9217" max="9220" width="13.140625" style="163" customWidth="1"/>
    <col min="9221" max="9221" width="0.7109375" style="163" customWidth="1"/>
    <col min="9222" max="9225" width="13.140625" style="163" customWidth="1"/>
    <col min="9226" max="9226" width="18" style="163" customWidth="1"/>
    <col min="9227" max="9227" width="0.7109375" style="163" customWidth="1"/>
    <col min="9228" max="9231" width="13.140625" style="163" customWidth="1"/>
    <col min="9232" max="9232" width="18" style="163" customWidth="1"/>
    <col min="9233" max="9233" width="0.7109375" style="163" customWidth="1"/>
    <col min="9234" max="9237" width="13.140625" style="163" customWidth="1"/>
    <col min="9238" max="9238" width="18" style="163" customWidth="1"/>
    <col min="9239" max="9239" width="13.42578125" style="163" customWidth="1"/>
    <col min="9240" max="9240" width="11.140625" style="163" customWidth="1"/>
    <col min="9241" max="9468" width="1.85546875" style="163"/>
    <col min="9469" max="9469" width="1.140625" style="163" customWidth="1"/>
    <col min="9470" max="9470" width="14.140625" style="163" bestFit="1" customWidth="1"/>
    <col min="9471" max="9471" width="20.28515625" style="163" customWidth="1"/>
    <col min="9472" max="9472" width="0.7109375" style="163" customWidth="1"/>
    <col min="9473" max="9476" width="13.140625" style="163" customWidth="1"/>
    <col min="9477" max="9477" width="0.7109375" style="163" customWidth="1"/>
    <col min="9478" max="9481" width="13.140625" style="163" customWidth="1"/>
    <col min="9482" max="9482" width="18" style="163" customWidth="1"/>
    <col min="9483" max="9483" width="0.7109375" style="163" customWidth="1"/>
    <col min="9484" max="9487" width="13.140625" style="163" customWidth="1"/>
    <col min="9488" max="9488" width="18" style="163" customWidth="1"/>
    <col min="9489" max="9489" width="0.7109375" style="163" customWidth="1"/>
    <col min="9490" max="9493" width="13.140625" style="163" customWidth="1"/>
    <col min="9494" max="9494" width="18" style="163" customWidth="1"/>
    <col min="9495" max="9495" width="13.42578125" style="163" customWidth="1"/>
    <col min="9496" max="9496" width="11.140625" style="163" customWidth="1"/>
    <col min="9497" max="9724" width="1.85546875" style="163"/>
    <col min="9725" max="9725" width="1.140625" style="163" customWidth="1"/>
    <col min="9726" max="9726" width="14.140625" style="163" bestFit="1" customWidth="1"/>
    <col min="9727" max="9727" width="20.28515625" style="163" customWidth="1"/>
    <col min="9728" max="9728" width="0.7109375" style="163" customWidth="1"/>
    <col min="9729" max="9732" width="13.140625" style="163" customWidth="1"/>
    <col min="9733" max="9733" width="0.7109375" style="163" customWidth="1"/>
    <col min="9734" max="9737" width="13.140625" style="163" customWidth="1"/>
    <col min="9738" max="9738" width="18" style="163" customWidth="1"/>
    <col min="9739" max="9739" width="0.7109375" style="163" customWidth="1"/>
    <col min="9740" max="9743" width="13.140625" style="163" customWidth="1"/>
    <col min="9744" max="9744" width="18" style="163" customWidth="1"/>
    <col min="9745" max="9745" width="0.7109375" style="163" customWidth="1"/>
    <col min="9746" max="9749" width="13.140625" style="163" customWidth="1"/>
    <col min="9750" max="9750" width="18" style="163" customWidth="1"/>
    <col min="9751" max="9751" width="13.42578125" style="163" customWidth="1"/>
    <col min="9752" max="9752" width="11.140625" style="163" customWidth="1"/>
    <col min="9753" max="9980" width="1.85546875" style="163"/>
    <col min="9981" max="9981" width="1.140625" style="163" customWidth="1"/>
    <col min="9982" max="9982" width="14.140625" style="163" bestFit="1" customWidth="1"/>
    <col min="9983" max="9983" width="20.28515625" style="163" customWidth="1"/>
    <col min="9984" max="9984" width="0.7109375" style="163" customWidth="1"/>
    <col min="9985" max="9988" width="13.140625" style="163" customWidth="1"/>
    <col min="9989" max="9989" width="0.7109375" style="163" customWidth="1"/>
    <col min="9990" max="9993" width="13.140625" style="163" customWidth="1"/>
    <col min="9994" max="9994" width="18" style="163" customWidth="1"/>
    <col min="9995" max="9995" width="0.7109375" style="163" customWidth="1"/>
    <col min="9996" max="9999" width="13.140625" style="163" customWidth="1"/>
    <col min="10000" max="10000" width="18" style="163" customWidth="1"/>
    <col min="10001" max="10001" width="0.7109375" style="163" customWidth="1"/>
    <col min="10002" max="10005" width="13.140625" style="163" customWidth="1"/>
    <col min="10006" max="10006" width="18" style="163" customWidth="1"/>
    <col min="10007" max="10007" width="13.42578125" style="163" customWidth="1"/>
    <col min="10008" max="10008" width="11.140625" style="163" customWidth="1"/>
    <col min="10009" max="10236" width="1.85546875" style="163"/>
    <col min="10237" max="10237" width="1.140625" style="163" customWidth="1"/>
    <col min="10238" max="10238" width="14.140625" style="163" bestFit="1" customWidth="1"/>
    <col min="10239" max="10239" width="20.28515625" style="163" customWidth="1"/>
    <col min="10240" max="10240" width="0.7109375" style="163" customWidth="1"/>
    <col min="10241" max="10244" width="13.140625" style="163" customWidth="1"/>
    <col min="10245" max="10245" width="0.7109375" style="163" customWidth="1"/>
    <col min="10246" max="10249" width="13.140625" style="163" customWidth="1"/>
    <col min="10250" max="10250" width="18" style="163" customWidth="1"/>
    <col min="10251" max="10251" width="0.7109375" style="163" customWidth="1"/>
    <col min="10252" max="10255" width="13.140625" style="163" customWidth="1"/>
    <col min="10256" max="10256" width="18" style="163" customWidth="1"/>
    <col min="10257" max="10257" width="0.7109375" style="163" customWidth="1"/>
    <col min="10258" max="10261" width="13.140625" style="163" customWidth="1"/>
    <col min="10262" max="10262" width="18" style="163" customWidth="1"/>
    <col min="10263" max="10263" width="13.42578125" style="163" customWidth="1"/>
    <col min="10264" max="10264" width="11.140625" style="163" customWidth="1"/>
    <col min="10265" max="10492" width="1.85546875" style="163"/>
    <col min="10493" max="10493" width="1.140625" style="163" customWidth="1"/>
    <col min="10494" max="10494" width="14.140625" style="163" bestFit="1" customWidth="1"/>
    <col min="10495" max="10495" width="20.28515625" style="163" customWidth="1"/>
    <col min="10496" max="10496" width="0.7109375" style="163" customWidth="1"/>
    <col min="10497" max="10500" width="13.140625" style="163" customWidth="1"/>
    <col min="10501" max="10501" width="0.7109375" style="163" customWidth="1"/>
    <col min="10502" max="10505" width="13.140625" style="163" customWidth="1"/>
    <col min="10506" max="10506" width="18" style="163" customWidth="1"/>
    <col min="10507" max="10507" width="0.7109375" style="163" customWidth="1"/>
    <col min="10508" max="10511" width="13.140625" style="163" customWidth="1"/>
    <col min="10512" max="10512" width="18" style="163" customWidth="1"/>
    <col min="10513" max="10513" width="0.7109375" style="163" customWidth="1"/>
    <col min="10514" max="10517" width="13.140625" style="163" customWidth="1"/>
    <col min="10518" max="10518" width="18" style="163" customWidth="1"/>
    <col min="10519" max="10519" width="13.42578125" style="163" customWidth="1"/>
    <col min="10520" max="10520" width="11.140625" style="163" customWidth="1"/>
    <col min="10521" max="10748" width="1.85546875" style="163"/>
    <col min="10749" max="10749" width="1.140625" style="163" customWidth="1"/>
    <col min="10750" max="10750" width="14.140625" style="163" bestFit="1" customWidth="1"/>
    <col min="10751" max="10751" width="20.28515625" style="163" customWidth="1"/>
    <col min="10752" max="10752" width="0.7109375" style="163" customWidth="1"/>
    <col min="10753" max="10756" width="13.140625" style="163" customWidth="1"/>
    <col min="10757" max="10757" width="0.7109375" style="163" customWidth="1"/>
    <col min="10758" max="10761" width="13.140625" style="163" customWidth="1"/>
    <col min="10762" max="10762" width="18" style="163" customWidth="1"/>
    <col min="10763" max="10763" width="0.7109375" style="163" customWidth="1"/>
    <col min="10764" max="10767" width="13.140625" style="163" customWidth="1"/>
    <col min="10768" max="10768" width="18" style="163" customWidth="1"/>
    <col min="10769" max="10769" width="0.7109375" style="163" customWidth="1"/>
    <col min="10770" max="10773" width="13.140625" style="163" customWidth="1"/>
    <col min="10774" max="10774" width="18" style="163" customWidth="1"/>
    <col min="10775" max="10775" width="13.42578125" style="163" customWidth="1"/>
    <col min="10776" max="10776" width="11.140625" style="163" customWidth="1"/>
    <col min="10777" max="11004" width="1.85546875" style="163"/>
    <col min="11005" max="11005" width="1.140625" style="163" customWidth="1"/>
    <col min="11006" max="11006" width="14.140625" style="163" bestFit="1" customWidth="1"/>
    <col min="11007" max="11007" width="20.28515625" style="163" customWidth="1"/>
    <col min="11008" max="11008" width="0.7109375" style="163" customWidth="1"/>
    <col min="11009" max="11012" width="13.140625" style="163" customWidth="1"/>
    <col min="11013" max="11013" width="0.7109375" style="163" customWidth="1"/>
    <col min="11014" max="11017" width="13.140625" style="163" customWidth="1"/>
    <col min="11018" max="11018" width="18" style="163" customWidth="1"/>
    <col min="11019" max="11019" width="0.7109375" style="163" customWidth="1"/>
    <col min="11020" max="11023" width="13.140625" style="163" customWidth="1"/>
    <col min="11024" max="11024" width="18" style="163" customWidth="1"/>
    <col min="11025" max="11025" width="0.7109375" style="163" customWidth="1"/>
    <col min="11026" max="11029" width="13.140625" style="163" customWidth="1"/>
    <col min="11030" max="11030" width="18" style="163" customWidth="1"/>
    <col min="11031" max="11031" width="13.42578125" style="163" customWidth="1"/>
    <col min="11032" max="11032" width="11.140625" style="163" customWidth="1"/>
    <col min="11033" max="11260" width="1.85546875" style="163"/>
    <col min="11261" max="11261" width="1.140625" style="163" customWidth="1"/>
    <col min="11262" max="11262" width="14.140625" style="163" bestFit="1" customWidth="1"/>
    <col min="11263" max="11263" width="20.28515625" style="163" customWidth="1"/>
    <col min="11264" max="11264" width="0.7109375" style="163" customWidth="1"/>
    <col min="11265" max="11268" width="13.140625" style="163" customWidth="1"/>
    <col min="11269" max="11269" width="0.7109375" style="163" customWidth="1"/>
    <col min="11270" max="11273" width="13.140625" style="163" customWidth="1"/>
    <col min="11274" max="11274" width="18" style="163" customWidth="1"/>
    <col min="11275" max="11275" width="0.7109375" style="163" customWidth="1"/>
    <col min="11276" max="11279" width="13.140625" style="163" customWidth="1"/>
    <col min="11280" max="11280" width="18" style="163" customWidth="1"/>
    <col min="11281" max="11281" width="0.7109375" style="163" customWidth="1"/>
    <col min="11282" max="11285" width="13.140625" style="163" customWidth="1"/>
    <col min="11286" max="11286" width="18" style="163" customWidth="1"/>
    <col min="11287" max="11287" width="13.42578125" style="163" customWidth="1"/>
    <col min="11288" max="11288" width="11.140625" style="163" customWidth="1"/>
    <col min="11289" max="11516" width="1.85546875" style="163"/>
    <col min="11517" max="11517" width="1.140625" style="163" customWidth="1"/>
    <col min="11518" max="11518" width="14.140625" style="163" bestFit="1" customWidth="1"/>
    <col min="11519" max="11519" width="20.28515625" style="163" customWidth="1"/>
    <col min="11520" max="11520" width="0.7109375" style="163" customWidth="1"/>
    <col min="11521" max="11524" width="13.140625" style="163" customWidth="1"/>
    <col min="11525" max="11525" width="0.7109375" style="163" customWidth="1"/>
    <col min="11526" max="11529" width="13.140625" style="163" customWidth="1"/>
    <col min="11530" max="11530" width="18" style="163" customWidth="1"/>
    <col min="11531" max="11531" width="0.7109375" style="163" customWidth="1"/>
    <col min="11532" max="11535" width="13.140625" style="163" customWidth="1"/>
    <col min="11536" max="11536" width="18" style="163" customWidth="1"/>
    <col min="11537" max="11537" width="0.7109375" style="163" customWidth="1"/>
    <col min="11538" max="11541" width="13.140625" style="163" customWidth="1"/>
    <col min="11542" max="11542" width="18" style="163" customWidth="1"/>
    <col min="11543" max="11543" width="13.42578125" style="163" customWidth="1"/>
    <col min="11544" max="11544" width="11.140625" style="163" customWidth="1"/>
    <col min="11545" max="11772" width="1.85546875" style="163"/>
    <col min="11773" max="11773" width="1.140625" style="163" customWidth="1"/>
    <col min="11774" max="11774" width="14.140625" style="163" bestFit="1" customWidth="1"/>
    <col min="11775" max="11775" width="20.28515625" style="163" customWidth="1"/>
    <col min="11776" max="11776" width="0.7109375" style="163" customWidth="1"/>
    <col min="11777" max="11780" width="13.140625" style="163" customWidth="1"/>
    <col min="11781" max="11781" width="0.7109375" style="163" customWidth="1"/>
    <col min="11782" max="11785" width="13.140625" style="163" customWidth="1"/>
    <col min="11786" max="11786" width="18" style="163" customWidth="1"/>
    <col min="11787" max="11787" width="0.7109375" style="163" customWidth="1"/>
    <col min="11788" max="11791" width="13.140625" style="163" customWidth="1"/>
    <col min="11792" max="11792" width="18" style="163" customWidth="1"/>
    <col min="11793" max="11793" width="0.7109375" style="163" customWidth="1"/>
    <col min="11794" max="11797" width="13.140625" style="163" customWidth="1"/>
    <col min="11798" max="11798" width="18" style="163" customWidth="1"/>
    <col min="11799" max="11799" width="13.42578125" style="163" customWidth="1"/>
    <col min="11800" max="11800" width="11.140625" style="163" customWidth="1"/>
    <col min="11801" max="12028" width="1.85546875" style="163"/>
    <col min="12029" max="12029" width="1.140625" style="163" customWidth="1"/>
    <col min="12030" max="12030" width="14.140625" style="163" bestFit="1" customWidth="1"/>
    <col min="12031" max="12031" width="20.28515625" style="163" customWidth="1"/>
    <col min="12032" max="12032" width="0.7109375" style="163" customWidth="1"/>
    <col min="12033" max="12036" width="13.140625" style="163" customWidth="1"/>
    <col min="12037" max="12037" width="0.7109375" style="163" customWidth="1"/>
    <col min="12038" max="12041" width="13.140625" style="163" customWidth="1"/>
    <col min="12042" max="12042" width="18" style="163" customWidth="1"/>
    <col min="12043" max="12043" width="0.7109375" style="163" customWidth="1"/>
    <col min="12044" max="12047" width="13.140625" style="163" customWidth="1"/>
    <col min="12048" max="12048" width="18" style="163" customWidth="1"/>
    <col min="12049" max="12049" width="0.7109375" style="163" customWidth="1"/>
    <col min="12050" max="12053" width="13.140625" style="163" customWidth="1"/>
    <col min="12054" max="12054" width="18" style="163" customWidth="1"/>
    <col min="12055" max="12055" width="13.42578125" style="163" customWidth="1"/>
    <col min="12056" max="12056" width="11.140625" style="163" customWidth="1"/>
    <col min="12057" max="12284" width="1.85546875" style="163"/>
    <col min="12285" max="12285" width="1.140625" style="163" customWidth="1"/>
    <col min="12286" max="12286" width="14.140625" style="163" bestFit="1" customWidth="1"/>
    <col min="12287" max="12287" width="20.28515625" style="163" customWidth="1"/>
    <col min="12288" max="12288" width="0.7109375" style="163" customWidth="1"/>
    <col min="12289" max="12292" width="13.140625" style="163" customWidth="1"/>
    <col min="12293" max="12293" width="0.7109375" style="163" customWidth="1"/>
    <col min="12294" max="12297" width="13.140625" style="163" customWidth="1"/>
    <col min="12298" max="12298" width="18" style="163" customWidth="1"/>
    <col min="12299" max="12299" width="0.7109375" style="163" customWidth="1"/>
    <col min="12300" max="12303" width="13.140625" style="163" customWidth="1"/>
    <col min="12304" max="12304" width="18" style="163" customWidth="1"/>
    <col min="12305" max="12305" width="0.7109375" style="163" customWidth="1"/>
    <col min="12306" max="12309" width="13.140625" style="163" customWidth="1"/>
    <col min="12310" max="12310" width="18" style="163" customWidth="1"/>
    <col min="12311" max="12311" width="13.42578125" style="163" customWidth="1"/>
    <col min="12312" max="12312" width="11.140625" style="163" customWidth="1"/>
    <col min="12313" max="12540" width="1.85546875" style="163"/>
    <col min="12541" max="12541" width="1.140625" style="163" customWidth="1"/>
    <col min="12542" max="12542" width="14.140625" style="163" bestFit="1" customWidth="1"/>
    <col min="12543" max="12543" width="20.28515625" style="163" customWidth="1"/>
    <col min="12544" max="12544" width="0.7109375" style="163" customWidth="1"/>
    <col min="12545" max="12548" width="13.140625" style="163" customWidth="1"/>
    <col min="12549" max="12549" width="0.7109375" style="163" customWidth="1"/>
    <col min="12550" max="12553" width="13.140625" style="163" customWidth="1"/>
    <col min="12554" max="12554" width="18" style="163" customWidth="1"/>
    <col min="12555" max="12555" width="0.7109375" style="163" customWidth="1"/>
    <col min="12556" max="12559" width="13.140625" style="163" customWidth="1"/>
    <col min="12560" max="12560" width="18" style="163" customWidth="1"/>
    <col min="12561" max="12561" width="0.7109375" style="163" customWidth="1"/>
    <col min="12562" max="12565" width="13.140625" style="163" customWidth="1"/>
    <col min="12566" max="12566" width="18" style="163" customWidth="1"/>
    <col min="12567" max="12567" width="13.42578125" style="163" customWidth="1"/>
    <col min="12568" max="12568" width="11.140625" style="163" customWidth="1"/>
    <col min="12569" max="12796" width="1.85546875" style="163"/>
    <col min="12797" max="12797" width="1.140625" style="163" customWidth="1"/>
    <col min="12798" max="12798" width="14.140625" style="163" bestFit="1" customWidth="1"/>
    <col min="12799" max="12799" width="20.28515625" style="163" customWidth="1"/>
    <col min="12800" max="12800" width="0.7109375" style="163" customWidth="1"/>
    <col min="12801" max="12804" width="13.140625" style="163" customWidth="1"/>
    <col min="12805" max="12805" width="0.7109375" style="163" customWidth="1"/>
    <col min="12806" max="12809" width="13.140625" style="163" customWidth="1"/>
    <col min="12810" max="12810" width="18" style="163" customWidth="1"/>
    <col min="12811" max="12811" width="0.7109375" style="163" customWidth="1"/>
    <col min="12812" max="12815" width="13.140625" style="163" customWidth="1"/>
    <col min="12816" max="12816" width="18" style="163" customWidth="1"/>
    <col min="12817" max="12817" width="0.7109375" style="163" customWidth="1"/>
    <col min="12818" max="12821" width="13.140625" style="163" customWidth="1"/>
    <col min="12822" max="12822" width="18" style="163" customWidth="1"/>
    <col min="12823" max="12823" width="13.42578125" style="163" customWidth="1"/>
    <col min="12824" max="12824" width="11.140625" style="163" customWidth="1"/>
    <col min="12825" max="13052" width="1.85546875" style="163"/>
    <col min="13053" max="13053" width="1.140625" style="163" customWidth="1"/>
    <col min="13054" max="13054" width="14.140625" style="163" bestFit="1" customWidth="1"/>
    <col min="13055" max="13055" width="20.28515625" style="163" customWidth="1"/>
    <col min="13056" max="13056" width="0.7109375" style="163" customWidth="1"/>
    <col min="13057" max="13060" width="13.140625" style="163" customWidth="1"/>
    <col min="13061" max="13061" width="0.7109375" style="163" customWidth="1"/>
    <col min="13062" max="13065" width="13.140625" style="163" customWidth="1"/>
    <col min="13066" max="13066" width="18" style="163" customWidth="1"/>
    <col min="13067" max="13067" width="0.7109375" style="163" customWidth="1"/>
    <col min="13068" max="13071" width="13.140625" style="163" customWidth="1"/>
    <col min="13072" max="13072" width="18" style="163" customWidth="1"/>
    <col min="13073" max="13073" width="0.7109375" style="163" customWidth="1"/>
    <col min="13074" max="13077" width="13.140625" style="163" customWidth="1"/>
    <col min="13078" max="13078" width="18" style="163" customWidth="1"/>
    <col min="13079" max="13079" width="13.42578125" style="163" customWidth="1"/>
    <col min="13080" max="13080" width="11.140625" style="163" customWidth="1"/>
    <col min="13081" max="13308" width="1.85546875" style="163"/>
    <col min="13309" max="13309" width="1.140625" style="163" customWidth="1"/>
    <col min="13310" max="13310" width="14.140625" style="163" bestFit="1" customWidth="1"/>
    <col min="13311" max="13311" width="20.28515625" style="163" customWidth="1"/>
    <col min="13312" max="13312" width="0.7109375" style="163" customWidth="1"/>
    <col min="13313" max="13316" width="13.140625" style="163" customWidth="1"/>
    <col min="13317" max="13317" width="0.7109375" style="163" customWidth="1"/>
    <col min="13318" max="13321" width="13.140625" style="163" customWidth="1"/>
    <col min="13322" max="13322" width="18" style="163" customWidth="1"/>
    <col min="13323" max="13323" width="0.7109375" style="163" customWidth="1"/>
    <col min="13324" max="13327" width="13.140625" style="163" customWidth="1"/>
    <col min="13328" max="13328" width="18" style="163" customWidth="1"/>
    <col min="13329" max="13329" width="0.7109375" style="163" customWidth="1"/>
    <col min="13330" max="13333" width="13.140625" style="163" customWidth="1"/>
    <col min="13334" max="13334" width="18" style="163" customWidth="1"/>
    <col min="13335" max="13335" width="13.42578125" style="163" customWidth="1"/>
    <col min="13336" max="13336" width="11.140625" style="163" customWidth="1"/>
    <col min="13337" max="13564" width="1.85546875" style="163"/>
    <col min="13565" max="13565" width="1.140625" style="163" customWidth="1"/>
    <col min="13566" max="13566" width="14.140625" style="163" bestFit="1" customWidth="1"/>
    <col min="13567" max="13567" width="20.28515625" style="163" customWidth="1"/>
    <col min="13568" max="13568" width="0.7109375" style="163" customWidth="1"/>
    <col min="13569" max="13572" width="13.140625" style="163" customWidth="1"/>
    <col min="13573" max="13573" width="0.7109375" style="163" customWidth="1"/>
    <col min="13574" max="13577" width="13.140625" style="163" customWidth="1"/>
    <col min="13578" max="13578" width="18" style="163" customWidth="1"/>
    <col min="13579" max="13579" width="0.7109375" style="163" customWidth="1"/>
    <col min="13580" max="13583" width="13.140625" style="163" customWidth="1"/>
    <col min="13584" max="13584" width="18" style="163" customWidth="1"/>
    <col min="13585" max="13585" width="0.7109375" style="163" customWidth="1"/>
    <col min="13586" max="13589" width="13.140625" style="163" customWidth="1"/>
    <col min="13590" max="13590" width="18" style="163" customWidth="1"/>
    <col min="13591" max="13591" width="13.42578125" style="163" customWidth="1"/>
    <col min="13592" max="13592" width="11.140625" style="163" customWidth="1"/>
    <col min="13593" max="13820" width="1.85546875" style="163"/>
    <col min="13821" max="13821" width="1.140625" style="163" customWidth="1"/>
    <col min="13822" max="13822" width="14.140625" style="163" bestFit="1" customWidth="1"/>
    <col min="13823" max="13823" width="20.28515625" style="163" customWidth="1"/>
    <col min="13824" max="13824" width="0.7109375" style="163" customWidth="1"/>
    <col min="13825" max="13828" width="13.140625" style="163" customWidth="1"/>
    <col min="13829" max="13829" width="0.7109375" style="163" customWidth="1"/>
    <col min="13830" max="13833" width="13.140625" style="163" customWidth="1"/>
    <col min="13834" max="13834" width="18" style="163" customWidth="1"/>
    <col min="13835" max="13835" width="0.7109375" style="163" customWidth="1"/>
    <col min="13836" max="13839" width="13.140625" style="163" customWidth="1"/>
    <col min="13840" max="13840" width="18" style="163" customWidth="1"/>
    <col min="13841" max="13841" width="0.7109375" style="163" customWidth="1"/>
    <col min="13842" max="13845" width="13.140625" style="163" customWidth="1"/>
    <col min="13846" max="13846" width="18" style="163" customWidth="1"/>
    <col min="13847" max="13847" width="13.42578125" style="163" customWidth="1"/>
    <col min="13848" max="13848" width="11.140625" style="163" customWidth="1"/>
    <col min="13849" max="14076" width="1.85546875" style="163"/>
    <col min="14077" max="14077" width="1.140625" style="163" customWidth="1"/>
    <col min="14078" max="14078" width="14.140625" style="163" bestFit="1" customWidth="1"/>
    <col min="14079" max="14079" width="20.28515625" style="163" customWidth="1"/>
    <col min="14080" max="14080" width="0.7109375" style="163" customWidth="1"/>
    <col min="14081" max="14084" width="13.140625" style="163" customWidth="1"/>
    <col min="14085" max="14085" width="0.7109375" style="163" customWidth="1"/>
    <col min="14086" max="14089" width="13.140625" style="163" customWidth="1"/>
    <col min="14090" max="14090" width="18" style="163" customWidth="1"/>
    <col min="14091" max="14091" width="0.7109375" style="163" customWidth="1"/>
    <col min="14092" max="14095" width="13.140625" style="163" customWidth="1"/>
    <col min="14096" max="14096" width="18" style="163" customWidth="1"/>
    <col min="14097" max="14097" width="0.7109375" style="163" customWidth="1"/>
    <col min="14098" max="14101" width="13.140625" style="163" customWidth="1"/>
    <col min="14102" max="14102" width="18" style="163" customWidth="1"/>
    <col min="14103" max="14103" width="13.42578125" style="163" customWidth="1"/>
    <col min="14104" max="14104" width="11.140625" style="163" customWidth="1"/>
    <col min="14105" max="14332" width="1.85546875" style="163"/>
    <col min="14333" max="14333" width="1.140625" style="163" customWidth="1"/>
    <col min="14334" max="14334" width="14.140625" style="163" bestFit="1" customWidth="1"/>
    <col min="14335" max="14335" width="20.28515625" style="163" customWidth="1"/>
    <col min="14336" max="14336" width="0.7109375" style="163" customWidth="1"/>
    <col min="14337" max="14340" width="13.140625" style="163" customWidth="1"/>
    <col min="14341" max="14341" width="0.7109375" style="163" customWidth="1"/>
    <col min="14342" max="14345" width="13.140625" style="163" customWidth="1"/>
    <col min="14346" max="14346" width="18" style="163" customWidth="1"/>
    <col min="14347" max="14347" width="0.7109375" style="163" customWidth="1"/>
    <col min="14348" max="14351" width="13.140625" style="163" customWidth="1"/>
    <col min="14352" max="14352" width="18" style="163" customWidth="1"/>
    <col min="14353" max="14353" width="0.7109375" style="163" customWidth="1"/>
    <col min="14354" max="14357" width="13.140625" style="163" customWidth="1"/>
    <col min="14358" max="14358" width="18" style="163" customWidth="1"/>
    <col min="14359" max="14359" width="13.42578125" style="163" customWidth="1"/>
    <col min="14360" max="14360" width="11.140625" style="163" customWidth="1"/>
    <col min="14361" max="14588" width="1.85546875" style="163"/>
    <col min="14589" max="14589" width="1.140625" style="163" customWidth="1"/>
    <col min="14590" max="14590" width="14.140625" style="163" bestFit="1" customWidth="1"/>
    <col min="14591" max="14591" width="20.28515625" style="163" customWidth="1"/>
    <col min="14592" max="14592" width="0.7109375" style="163" customWidth="1"/>
    <col min="14593" max="14596" width="13.140625" style="163" customWidth="1"/>
    <col min="14597" max="14597" width="0.7109375" style="163" customWidth="1"/>
    <col min="14598" max="14601" width="13.140625" style="163" customWidth="1"/>
    <col min="14602" max="14602" width="18" style="163" customWidth="1"/>
    <col min="14603" max="14603" width="0.7109375" style="163" customWidth="1"/>
    <col min="14604" max="14607" width="13.140625" style="163" customWidth="1"/>
    <col min="14608" max="14608" width="18" style="163" customWidth="1"/>
    <col min="14609" max="14609" width="0.7109375" style="163" customWidth="1"/>
    <col min="14610" max="14613" width="13.140625" style="163" customWidth="1"/>
    <col min="14614" max="14614" width="18" style="163" customWidth="1"/>
    <col min="14615" max="14615" width="13.42578125" style="163" customWidth="1"/>
    <col min="14616" max="14616" width="11.140625" style="163" customWidth="1"/>
    <col min="14617" max="14844" width="1.85546875" style="163"/>
    <col min="14845" max="14845" width="1.140625" style="163" customWidth="1"/>
    <col min="14846" max="14846" width="14.140625" style="163" bestFit="1" customWidth="1"/>
    <col min="14847" max="14847" width="20.28515625" style="163" customWidth="1"/>
    <col min="14848" max="14848" width="0.7109375" style="163" customWidth="1"/>
    <col min="14849" max="14852" width="13.140625" style="163" customWidth="1"/>
    <col min="14853" max="14853" width="0.7109375" style="163" customWidth="1"/>
    <col min="14854" max="14857" width="13.140625" style="163" customWidth="1"/>
    <col min="14858" max="14858" width="18" style="163" customWidth="1"/>
    <col min="14859" max="14859" width="0.7109375" style="163" customWidth="1"/>
    <col min="14860" max="14863" width="13.140625" style="163" customWidth="1"/>
    <col min="14864" max="14864" width="18" style="163" customWidth="1"/>
    <col min="14865" max="14865" width="0.7109375" style="163" customWidth="1"/>
    <col min="14866" max="14869" width="13.140625" style="163" customWidth="1"/>
    <col min="14870" max="14870" width="18" style="163" customWidth="1"/>
    <col min="14871" max="14871" width="13.42578125" style="163" customWidth="1"/>
    <col min="14872" max="14872" width="11.140625" style="163" customWidth="1"/>
    <col min="14873" max="15100" width="1.85546875" style="163"/>
    <col min="15101" max="15101" width="1.140625" style="163" customWidth="1"/>
    <col min="15102" max="15102" width="14.140625" style="163" bestFit="1" customWidth="1"/>
    <col min="15103" max="15103" width="20.28515625" style="163" customWidth="1"/>
    <col min="15104" max="15104" width="0.7109375" style="163" customWidth="1"/>
    <col min="15105" max="15108" width="13.140625" style="163" customWidth="1"/>
    <col min="15109" max="15109" width="0.7109375" style="163" customWidth="1"/>
    <col min="15110" max="15113" width="13.140625" style="163" customWidth="1"/>
    <col min="15114" max="15114" width="18" style="163" customWidth="1"/>
    <col min="15115" max="15115" width="0.7109375" style="163" customWidth="1"/>
    <col min="15116" max="15119" width="13.140625" style="163" customWidth="1"/>
    <col min="15120" max="15120" width="18" style="163" customWidth="1"/>
    <col min="15121" max="15121" width="0.7109375" style="163" customWidth="1"/>
    <col min="15122" max="15125" width="13.140625" style="163" customWidth="1"/>
    <col min="15126" max="15126" width="18" style="163" customWidth="1"/>
    <col min="15127" max="15127" width="13.42578125" style="163" customWidth="1"/>
    <col min="15128" max="15128" width="11.140625" style="163" customWidth="1"/>
    <col min="15129" max="15356" width="1.85546875" style="163"/>
    <col min="15357" max="15357" width="1.140625" style="163" customWidth="1"/>
    <col min="15358" max="15358" width="14.140625" style="163" bestFit="1" customWidth="1"/>
    <col min="15359" max="15359" width="20.28515625" style="163" customWidth="1"/>
    <col min="15360" max="15360" width="0.7109375" style="163" customWidth="1"/>
    <col min="15361" max="15364" width="13.140625" style="163" customWidth="1"/>
    <col min="15365" max="15365" width="0.7109375" style="163" customWidth="1"/>
    <col min="15366" max="15369" width="13.140625" style="163" customWidth="1"/>
    <col min="15370" max="15370" width="18" style="163" customWidth="1"/>
    <col min="15371" max="15371" width="0.7109375" style="163" customWidth="1"/>
    <col min="15372" max="15375" width="13.140625" style="163" customWidth="1"/>
    <col min="15376" max="15376" width="18" style="163" customWidth="1"/>
    <col min="15377" max="15377" width="0.7109375" style="163" customWidth="1"/>
    <col min="15378" max="15381" width="13.140625" style="163" customWidth="1"/>
    <col min="15382" max="15382" width="18" style="163" customWidth="1"/>
    <col min="15383" max="15383" width="13.42578125" style="163" customWidth="1"/>
    <col min="15384" max="15384" width="11.140625" style="163" customWidth="1"/>
    <col min="15385" max="15612" width="1.85546875" style="163"/>
    <col min="15613" max="15613" width="1.140625" style="163" customWidth="1"/>
    <col min="15614" max="15614" width="14.140625" style="163" bestFit="1" customWidth="1"/>
    <col min="15615" max="15615" width="20.28515625" style="163" customWidth="1"/>
    <col min="15616" max="15616" width="0.7109375" style="163" customWidth="1"/>
    <col min="15617" max="15620" width="13.140625" style="163" customWidth="1"/>
    <col min="15621" max="15621" width="0.7109375" style="163" customWidth="1"/>
    <col min="15622" max="15625" width="13.140625" style="163" customWidth="1"/>
    <col min="15626" max="15626" width="18" style="163" customWidth="1"/>
    <col min="15627" max="15627" width="0.7109375" style="163" customWidth="1"/>
    <col min="15628" max="15631" width="13.140625" style="163" customWidth="1"/>
    <col min="15632" max="15632" width="18" style="163" customWidth="1"/>
    <col min="15633" max="15633" width="0.7109375" style="163" customWidth="1"/>
    <col min="15634" max="15637" width="13.140625" style="163" customWidth="1"/>
    <col min="15638" max="15638" width="18" style="163" customWidth="1"/>
    <col min="15639" max="15639" width="13.42578125" style="163" customWidth="1"/>
    <col min="15640" max="15640" width="11.140625" style="163" customWidth="1"/>
    <col min="15641" max="15868" width="1.85546875" style="163"/>
    <col min="15869" max="15869" width="1.140625" style="163" customWidth="1"/>
    <col min="15870" max="15870" width="14.140625" style="163" bestFit="1" customWidth="1"/>
    <col min="15871" max="15871" width="20.28515625" style="163" customWidth="1"/>
    <col min="15872" max="15872" width="0.7109375" style="163" customWidth="1"/>
    <col min="15873" max="15876" width="13.140625" style="163" customWidth="1"/>
    <col min="15877" max="15877" width="0.7109375" style="163" customWidth="1"/>
    <col min="15878" max="15881" width="13.140625" style="163" customWidth="1"/>
    <col min="15882" max="15882" width="18" style="163" customWidth="1"/>
    <col min="15883" max="15883" width="0.7109375" style="163" customWidth="1"/>
    <col min="15884" max="15887" width="13.140625" style="163" customWidth="1"/>
    <col min="15888" max="15888" width="18" style="163" customWidth="1"/>
    <col min="15889" max="15889" width="0.7109375" style="163" customWidth="1"/>
    <col min="15890" max="15893" width="13.140625" style="163" customWidth="1"/>
    <col min="15894" max="15894" width="18" style="163" customWidth="1"/>
    <col min="15895" max="15895" width="13.42578125" style="163" customWidth="1"/>
    <col min="15896" max="15896" width="11.140625" style="163" customWidth="1"/>
    <col min="15897" max="16124" width="1.85546875" style="163"/>
    <col min="16125" max="16125" width="1.140625" style="163" customWidth="1"/>
    <col min="16126" max="16126" width="14.140625" style="163" bestFit="1" customWidth="1"/>
    <col min="16127" max="16127" width="20.28515625" style="163" customWidth="1"/>
    <col min="16128" max="16128" width="0.7109375" style="163" customWidth="1"/>
    <col min="16129" max="16132" width="13.140625" style="163" customWidth="1"/>
    <col min="16133" max="16133" width="0.7109375" style="163" customWidth="1"/>
    <col min="16134" max="16137" width="13.140625" style="163" customWidth="1"/>
    <col min="16138" max="16138" width="18" style="163" customWidth="1"/>
    <col min="16139" max="16139" width="0.7109375" style="163" customWidth="1"/>
    <col min="16140" max="16143" width="13.140625" style="163" customWidth="1"/>
    <col min="16144" max="16144" width="18" style="163" customWidth="1"/>
    <col min="16145" max="16145" width="0.7109375" style="163" customWidth="1"/>
    <col min="16146" max="16149" width="13.140625" style="163" customWidth="1"/>
    <col min="16150" max="16150" width="18" style="163" customWidth="1"/>
    <col min="16151" max="16151" width="13.42578125" style="163" customWidth="1"/>
    <col min="16152" max="16152" width="11.140625" style="163" customWidth="1"/>
    <col min="16153" max="16384" width="1.85546875" style="163"/>
  </cols>
  <sheetData>
    <row r="1" spans="1:24" ht="21.75" customHeight="1" x14ac:dyDescent="0.35">
      <c r="C1" s="154"/>
      <c r="E1" s="1096">
        <v>2016</v>
      </c>
      <c r="F1" s="1096"/>
      <c r="G1" s="1096"/>
      <c r="I1" s="1096">
        <v>2017</v>
      </c>
      <c r="J1" s="1096"/>
      <c r="K1" s="1096"/>
      <c r="L1" s="1096"/>
      <c r="N1" s="1096">
        <v>2018</v>
      </c>
      <c r="O1" s="1096"/>
      <c r="P1" s="1096"/>
      <c r="Q1" s="1096"/>
      <c r="S1" s="1096">
        <v>2019</v>
      </c>
      <c r="T1" s="1096"/>
      <c r="U1" s="1096"/>
      <c r="V1" s="1096"/>
      <c r="W1" s="441"/>
    </row>
    <row r="2" spans="1:24" ht="57" customHeight="1" x14ac:dyDescent="0.2">
      <c r="A2" s="324" t="s">
        <v>383</v>
      </c>
      <c r="B2" s="425" t="s">
        <v>272</v>
      </c>
      <c r="C2" s="162" t="s">
        <v>1</v>
      </c>
      <c r="E2" s="162" t="s">
        <v>2437</v>
      </c>
      <c r="F2" s="162" t="s">
        <v>392</v>
      </c>
      <c r="G2" s="162" t="s">
        <v>341</v>
      </c>
      <c r="I2" s="162" t="s">
        <v>2922</v>
      </c>
      <c r="J2" s="162" t="s">
        <v>392</v>
      </c>
      <c r="K2" s="162" t="s">
        <v>3011</v>
      </c>
      <c r="L2" s="162" t="s">
        <v>341</v>
      </c>
      <c r="N2" s="162" t="s">
        <v>3062</v>
      </c>
      <c r="O2" s="162" t="s">
        <v>392</v>
      </c>
      <c r="P2" s="162" t="s">
        <v>3011</v>
      </c>
      <c r="Q2" s="162" t="s">
        <v>341</v>
      </c>
      <c r="S2" s="162" t="s">
        <v>3263</v>
      </c>
      <c r="T2" s="162" t="s">
        <v>392</v>
      </c>
      <c r="U2" s="162" t="s">
        <v>3011</v>
      </c>
      <c r="V2" s="162" t="s">
        <v>341</v>
      </c>
      <c r="W2" s="162" t="s">
        <v>340</v>
      </c>
      <c r="X2" s="162" t="s">
        <v>6</v>
      </c>
    </row>
    <row r="3" spans="1:24" s="207" customFormat="1" ht="18.75" customHeight="1" x14ac:dyDescent="0.2">
      <c r="A3" s="202"/>
      <c r="B3" s="203"/>
      <c r="C3" s="204" t="s">
        <v>7</v>
      </c>
      <c r="D3" s="344"/>
      <c r="E3" s="204">
        <f>E4+E78</f>
        <v>7999517</v>
      </c>
      <c r="F3" s="204">
        <f>F4+F78</f>
        <v>526456.80153719394</v>
      </c>
      <c r="G3" s="204">
        <f>G4+G78</f>
        <v>8525973.8015371934</v>
      </c>
      <c r="H3" s="344"/>
      <c r="I3" s="204">
        <f>I4+I78</f>
        <v>8915450</v>
      </c>
      <c r="J3" s="204">
        <f>J4+J78</f>
        <v>554137</v>
      </c>
      <c r="K3" s="204">
        <f>K4+K78</f>
        <v>407227</v>
      </c>
      <c r="L3" s="204">
        <f>L4+L78</f>
        <v>9876814</v>
      </c>
      <c r="M3" s="344"/>
      <c r="N3" s="204">
        <f>N4+N78</f>
        <v>8684376</v>
      </c>
      <c r="O3" s="204">
        <f>O4+O78</f>
        <v>574341.37074080342</v>
      </c>
      <c r="P3" s="204">
        <f>P4+P78</f>
        <v>438520</v>
      </c>
      <c r="Q3" s="204">
        <f>Q4+Q78</f>
        <v>9697237.370740803</v>
      </c>
      <c r="R3" s="344"/>
      <c r="S3" s="204">
        <f>S4+S78</f>
        <v>9207960</v>
      </c>
      <c r="T3" s="204">
        <f>T4+T78</f>
        <v>570825</v>
      </c>
      <c r="U3" s="204">
        <f>U4+U78</f>
        <v>529364</v>
      </c>
      <c r="V3" s="204">
        <f>V4+V78</f>
        <v>10308149</v>
      </c>
      <c r="W3" s="204"/>
      <c r="X3" s="204"/>
    </row>
    <row r="4" spans="1:24" s="207" customFormat="1" ht="18.75" customHeight="1" x14ac:dyDescent="0.2">
      <c r="A4" s="202"/>
      <c r="B4" s="1097" t="s">
        <v>649</v>
      </c>
      <c r="C4" s="1098"/>
      <c r="D4" s="344"/>
      <c r="E4" s="443">
        <f>SUM(E5:E77)</f>
        <v>6298278</v>
      </c>
      <c r="F4" s="443">
        <f>SUM(F5:F77)</f>
        <v>526456.80153719394</v>
      </c>
      <c r="G4" s="443">
        <f>SUM(G5:G77)</f>
        <v>6824734.8015371934</v>
      </c>
      <c r="H4" s="344"/>
      <c r="I4" s="443">
        <f>SUM(I5:I77)</f>
        <v>7114061</v>
      </c>
      <c r="J4" s="443">
        <f>SUM(J5:J77)</f>
        <v>554137</v>
      </c>
      <c r="K4" s="443">
        <f>SUM(K5:K77)</f>
        <v>211611</v>
      </c>
      <c r="L4" s="443">
        <f>SUM(L5:L77)</f>
        <v>7879809</v>
      </c>
      <c r="M4" s="344"/>
      <c r="N4" s="443">
        <f>SUM(N5:N77)</f>
        <v>6613926</v>
      </c>
      <c r="O4" s="443">
        <f>SUM(O5:O77)</f>
        <v>574341.37074080342</v>
      </c>
      <c r="P4" s="443">
        <f>SUM(P5:P77)</f>
        <v>245872</v>
      </c>
      <c r="Q4" s="443">
        <f>SUM(Q5:Q77)</f>
        <v>7434139.370740803</v>
      </c>
      <c r="R4" s="344"/>
      <c r="S4" s="443">
        <f>SUM(S5:S77)</f>
        <v>7264916</v>
      </c>
      <c r="T4" s="443">
        <f>SUM(T5:T77)</f>
        <v>570825</v>
      </c>
      <c r="U4" s="443">
        <f>SUM(U5:U77)</f>
        <v>242457</v>
      </c>
      <c r="V4" s="443">
        <f>SUM(V5:V77)</f>
        <v>8078198</v>
      </c>
      <c r="W4" s="443"/>
      <c r="X4" s="443"/>
    </row>
    <row r="5" spans="1:24" ht="25.5" x14ac:dyDescent="0.2">
      <c r="A5" s="444">
        <v>1</v>
      </c>
      <c r="B5" s="195">
        <v>580008068</v>
      </c>
      <c r="C5" s="209" t="s">
        <v>1162</v>
      </c>
      <c r="E5" s="434">
        <v>398164</v>
      </c>
      <c r="F5" s="849">
        <v>144765.2285443242</v>
      </c>
      <c r="G5" s="434">
        <f t="shared" ref="G5:G33" si="0">SUM(E5:F5)</f>
        <v>542929.22854432417</v>
      </c>
      <c r="I5" s="434">
        <f>400000+4692</f>
        <v>404692</v>
      </c>
      <c r="J5" s="849">
        <v>127830</v>
      </c>
      <c r="K5" s="849"/>
      <c r="L5" s="434">
        <f t="shared" ref="L5:L35" si="1">SUM(I5:K5)</f>
        <v>532522</v>
      </c>
      <c r="N5" s="434">
        <v>430000</v>
      </c>
      <c r="O5" s="849">
        <v>120000</v>
      </c>
      <c r="P5" s="849"/>
      <c r="Q5" s="434">
        <f>SUM(N5:P5)</f>
        <v>550000</v>
      </c>
      <c r="S5" s="434">
        <v>366750</v>
      </c>
      <c r="T5" s="849">
        <v>117607</v>
      </c>
      <c r="U5" s="849"/>
      <c r="V5" s="434">
        <f>SUM(S5:U5)</f>
        <v>484357</v>
      </c>
      <c r="W5" s="445" t="s">
        <v>53</v>
      </c>
      <c r="X5" s="333" t="s">
        <v>53</v>
      </c>
    </row>
    <row r="6" spans="1:24" ht="25.5" x14ac:dyDescent="0.2">
      <c r="A6" s="444">
        <v>2</v>
      </c>
      <c r="B6" s="195">
        <v>580078293</v>
      </c>
      <c r="C6" s="209" t="s">
        <v>1163</v>
      </c>
      <c r="E6" s="434">
        <v>369542</v>
      </c>
      <c r="F6" s="849"/>
      <c r="G6" s="434">
        <f t="shared" si="0"/>
        <v>369542</v>
      </c>
      <c r="I6" s="434">
        <v>367556</v>
      </c>
      <c r="J6" s="849"/>
      <c r="K6" s="849"/>
      <c r="L6" s="434">
        <f t="shared" si="1"/>
        <v>367556</v>
      </c>
      <c r="N6" s="434">
        <v>397063</v>
      </c>
      <c r="O6" s="849"/>
      <c r="P6" s="849"/>
      <c r="Q6" s="434">
        <f t="shared" ref="Q6:Q71" si="2">SUM(N6:P6)</f>
        <v>397063</v>
      </c>
      <c r="S6" s="434">
        <v>373759</v>
      </c>
      <c r="T6" s="849"/>
      <c r="U6" s="849"/>
      <c r="V6" s="434">
        <f t="shared" ref="V6:V76" si="3">SUM(S6:U6)</f>
        <v>373759</v>
      </c>
      <c r="W6" s="445" t="s">
        <v>73</v>
      </c>
      <c r="X6" s="333" t="s">
        <v>136</v>
      </c>
    </row>
    <row r="7" spans="1:24" ht="21" customHeight="1" x14ac:dyDescent="0.2">
      <c r="A7" s="444">
        <v>3</v>
      </c>
      <c r="B7" s="195">
        <v>510695620</v>
      </c>
      <c r="C7" s="209" t="s">
        <v>1164</v>
      </c>
      <c r="E7" s="434">
        <f>374037+31500</f>
        <v>405537</v>
      </c>
      <c r="F7" s="849">
        <v>134580.80210980191</v>
      </c>
      <c r="G7" s="434">
        <f t="shared" si="0"/>
        <v>540117.80210980191</v>
      </c>
      <c r="I7" s="434">
        <v>363810</v>
      </c>
      <c r="J7" s="849">
        <v>120084</v>
      </c>
      <c r="K7" s="849"/>
      <c r="L7" s="434">
        <f t="shared" si="1"/>
        <v>483894</v>
      </c>
      <c r="N7" s="434">
        <v>437421</v>
      </c>
      <c r="O7" s="849">
        <v>109826.56336512433</v>
      </c>
      <c r="P7" s="849"/>
      <c r="Q7" s="434">
        <f t="shared" si="2"/>
        <v>547247.56336512428</v>
      </c>
      <c r="S7" s="434">
        <f>312028+60000</f>
        <v>372028</v>
      </c>
      <c r="T7" s="849">
        <v>119636</v>
      </c>
      <c r="U7" s="849"/>
      <c r="V7" s="434">
        <f t="shared" si="3"/>
        <v>491664</v>
      </c>
      <c r="W7" s="445" t="s">
        <v>53</v>
      </c>
      <c r="X7" s="333" t="s">
        <v>53</v>
      </c>
    </row>
    <row r="8" spans="1:24" ht="19.5" customHeight="1" x14ac:dyDescent="0.2">
      <c r="A8" s="444">
        <v>4</v>
      </c>
      <c r="B8" s="195">
        <v>580076842</v>
      </c>
      <c r="C8" s="209" t="s">
        <v>1165</v>
      </c>
      <c r="E8" s="434">
        <v>212303</v>
      </c>
      <c r="F8" s="849"/>
      <c r="G8" s="434">
        <f t="shared" si="0"/>
        <v>212303</v>
      </c>
      <c r="I8" s="434">
        <v>235950</v>
      </c>
      <c r="J8" s="849"/>
      <c r="K8" s="849"/>
      <c r="L8" s="434">
        <f t="shared" si="1"/>
        <v>235950</v>
      </c>
      <c r="N8" s="434">
        <v>272923</v>
      </c>
      <c r="O8" s="849"/>
      <c r="P8" s="849"/>
      <c r="Q8" s="434">
        <f t="shared" si="2"/>
        <v>272923</v>
      </c>
      <c r="S8" s="434">
        <v>222287</v>
      </c>
      <c r="T8" s="849"/>
      <c r="U8" s="849"/>
      <c r="V8" s="434">
        <f t="shared" si="3"/>
        <v>222287</v>
      </c>
      <c r="W8" s="445" t="s">
        <v>73</v>
      </c>
      <c r="X8" s="333" t="s">
        <v>136</v>
      </c>
    </row>
    <row r="9" spans="1:24" s="359" customFormat="1" ht="38.25" x14ac:dyDescent="0.2">
      <c r="A9" s="446">
        <v>5</v>
      </c>
      <c r="B9" s="231">
        <v>580035848</v>
      </c>
      <c r="C9" s="209" t="s">
        <v>1166</v>
      </c>
      <c r="D9" s="344"/>
      <c r="E9" s="837">
        <v>172861</v>
      </c>
      <c r="F9" s="849"/>
      <c r="G9" s="434">
        <f t="shared" si="0"/>
        <v>172861</v>
      </c>
      <c r="H9" s="344"/>
      <c r="I9" s="837">
        <v>160294</v>
      </c>
      <c r="J9" s="849"/>
      <c r="K9" s="849"/>
      <c r="L9" s="434">
        <f t="shared" si="1"/>
        <v>160294</v>
      </c>
      <c r="M9" s="344"/>
      <c r="N9" s="434">
        <v>157767</v>
      </c>
      <c r="O9" s="849"/>
      <c r="P9" s="849"/>
      <c r="Q9" s="434">
        <f t="shared" si="2"/>
        <v>157767</v>
      </c>
      <c r="R9" s="344"/>
      <c r="S9" s="434"/>
      <c r="T9" s="849"/>
      <c r="U9" s="849"/>
      <c r="V9" s="434">
        <f t="shared" si="3"/>
        <v>0</v>
      </c>
      <c r="W9" s="447" t="s">
        <v>73</v>
      </c>
      <c r="X9" s="333" t="s">
        <v>136</v>
      </c>
    </row>
    <row r="10" spans="1:24" ht="25.5" x14ac:dyDescent="0.2">
      <c r="A10" s="444">
        <v>10</v>
      </c>
      <c r="B10" s="195">
        <v>580266104</v>
      </c>
      <c r="C10" s="209" t="s">
        <v>1167</v>
      </c>
      <c r="E10" s="434">
        <f>157853+30378</f>
        <v>188231</v>
      </c>
      <c r="F10" s="849"/>
      <c r="G10" s="434">
        <f t="shared" si="0"/>
        <v>188231</v>
      </c>
      <c r="I10" s="434">
        <f>165922+18029</f>
        <v>183951</v>
      </c>
      <c r="J10" s="849"/>
      <c r="K10" s="849"/>
      <c r="L10" s="434">
        <f t="shared" si="1"/>
        <v>183951</v>
      </c>
      <c r="N10" s="434">
        <v>161843</v>
      </c>
      <c r="O10" s="849"/>
      <c r="P10" s="849"/>
      <c r="Q10" s="434">
        <f t="shared" si="2"/>
        <v>161843</v>
      </c>
      <c r="S10" s="434">
        <v>176222</v>
      </c>
      <c r="T10" s="849"/>
      <c r="U10" s="849"/>
      <c r="V10" s="434">
        <f t="shared" si="3"/>
        <v>176222</v>
      </c>
      <c r="W10" s="445" t="s">
        <v>73</v>
      </c>
      <c r="X10" s="333" t="s">
        <v>136</v>
      </c>
    </row>
    <row r="11" spans="1:24" ht="21" customHeight="1" x14ac:dyDescent="0.2">
      <c r="A11" s="444">
        <v>13</v>
      </c>
      <c r="B11" s="195">
        <v>580144996</v>
      </c>
      <c r="C11" s="209" t="s">
        <v>1168</v>
      </c>
      <c r="E11" s="434">
        <v>213973</v>
      </c>
      <c r="F11" s="849"/>
      <c r="G11" s="434">
        <f t="shared" si="0"/>
        <v>213973</v>
      </c>
      <c r="I11" s="434">
        <v>192638</v>
      </c>
      <c r="J11" s="849"/>
      <c r="K11" s="849"/>
      <c r="L11" s="434">
        <f t="shared" si="1"/>
        <v>192638</v>
      </c>
      <c r="N11" s="434">
        <v>194790</v>
      </c>
      <c r="O11" s="849"/>
      <c r="P11" s="849"/>
      <c r="Q11" s="434">
        <f t="shared" si="2"/>
        <v>194790</v>
      </c>
      <c r="S11" s="434">
        <v>164565</v>
      </c>
      <c r="T11" s="849"/>
      <c r="U11" s="849"/>
      <c r="V11" s="434">
        <f t="shared" si="3"/>
        <v>164565</v>
      </c>
      <c r="W11" s="445" t="s">
        <v>73</v>
      </c>
      <c r="X11" s="333" t="s">
        <v>136</v>
      </c>
    </row>
    <row r="12" spans="1:24" ht="18.75" customHeight="1" x14ac:dyDescent="0.2">
      <c r="A12" s="444">
        <v>15</v>
      </c>
      <c r="B12" s="231">
        <v>580313112</v>
      </c>
      <c r="C12" s="209" t="s">
        <v>1169</v>
      </c>
      <c r="E12" s="434">
        <v>251529</v>
      </c>
      <c r="F12" s="849"/>
      <c r="G12" s="434">
        <f t="shared" si="0"/>
        <v>251529</v>
      </c>
      <c r="I12" s="434">
        <f>260000+8256</f>
        <v>268256</v>
      </c>
      <c r="J12" s="849"/>
      <c r="K12" s="849"/>
      <c r="L12" s="434">
        <f t="shared" si="1"/>
        <v>268256</v>
      </c>
      <c r="N12" s="434">
        <v>260000</v>
      </c>
      <c r="O12" s="849"/>
      <c r="P12" s="849"/>
      <c r="Q12" s="434">
        <f t="shared" si="2"/>
        <v>260000</v>
      </c>
      <c r="S12" s="434">
        <v>244446</v>
      </c>
      <c r="T12" s="849"/>
      <c r="U12" s="849"/>
      <c r="V12" s="434">
        <f t="shared" si="3"/>
        <v>244446</v>
      </c>
      <c r="W12" s="445" t="s">
        <v>73</v>
      </c>
      <c r="X12" s="333" t="s">
        <v>136</v>
      </c>
    </row>
    <row r="13" spans="1:24" ht="25.5" x14ac:dyDescent="0.2">
      <c r="A13" s="444">
        <v>17</v>
      </c>
      <c r="B13" s="195">
        <v>511068223</v>
      </c>
      <c r="C13" s="209" t="s">
        <v>1170</v>
      </c>
      <c r="E13" s="434">
        <v>247306</v>
      </c>
      <c r="F13" s="849"/>
      <c r="G13" s="434">
        <f t="shared" si="0"/>
        <v>247306</v>
      </c>
      <c r="I13" s="434">
        <v>280591</v>
      </c>
      <c r="J13" s="849"/>
      <c r="K13" s="849"/>
      <c r="L13" s="434">
        <f t="shared" si="1"/>
        <v>280591</v>
      </c>
      <c r="N13" s="434">
        <v>333278</v>
      </c>
      <c r="O13" s="849"/>
      <c r="P13" s="849"/>
      <c r="Q13" s="434">
        <f t="shared" si="2"/>
        <v>333278</v>
      </c>
      <c r="S13" s="434">
        <f>299576+26250</f>
        <v>325826</v>
      </c>
      <c r="T13" s="849"/>
      <c r="U13" s="849"/>
      <c r="V13" s="434">
        <f t="shared" si="3"/>
        <v>325826</v>
      </c>
      <c r="W13" s="445" t="s">
        <v>1171</v>
      </c>
      <c r="X13" s="333" t="s">
        <v>9</v>
      </c>
    </row>
    <row r="14" spans="1:24" ht="38.25" x14ac:dyDescent="0.2">
      <c r="A14" s="444">
        <v>21</v>
      </c>
      <c r="B14" s="195">
        <v>580003978</v>
      </c>
      <c r="C14" s="209" t="s">
        <v>1172</v>
      </c>
      <c r="E14" s="434">
        <v>158700</v>
      </c>
      <c r="F14" s="849"/>
      <c r="G14" s="434">
        <f t="shared" si="0"/>
        <v>158700</v>
      </c>
      <c r="I14" s="434">
        <v>47610</v>
      </c>
      <c r="J14" s="849"/>
      <c r="K14" s="849"/>
      <c r="L14" s="434">
        <f t="shared" si="1"/>
        <v>47610</v>
      </c>
      <c r="N14" s="434"/>
      <c r="O14" s="849"/>
      <c r="P14" s="849"/>
      <c r="Q14" s="434">
        <f t="shared" si="2"/>
        <v>0</v>
      </c>
      <c r="S14" s="434"/>
      <c r="T14" s="849"/>
      <c r="U14" s="849"/>
      <c r="V14" s="434">
        <f t="shared" si="3"/>
        <v>0</v>
      </c>
      <c r="W14" s="445" t="s">
        <v>1171</v>
      </c>
      <c r="X14" s="448" t="s">
        <v>9</v>
      </c>
    </row>
    <row r="15" spans="1:24" ht="31.5" customHeight="1" x14ac:dyDescent="0.2">
      <c r="A15" s="444">
        <v>22</v>
      </c>
      <c r="B15" s="195">
        <v>580150761</v>
      </c>
      <c r="C15" s="209" t="s">
        <v>1173</v>
      </c>
      <c r="E15" s="434">
        <v>208977</v>
      </c>
      <c r="F15" s="849">
        <v>71982.363074258319</v>
      </c>
      <c r="G15" s="434">
        <f t="shared" si="0"/>
        <v>280959.36307425832</v>
      </c>
      <c r="I15" s="434">
        <v>211509</v>
      </c>
      <c r="J15" s="849">
        <v>67092</v>
      </c>
      <c r="K15" s="849"/>
      <c r="L15" s="434">
        <f t="shared" si="1"/>
        <v>278601</v>
      </c>
      <c r="N15" s="837">
        <v>241585</v>
      </c>
      <c r="O15" s="849">
        <v>63850.104699689611</v>
      </c>
      <c r="P15" s="849"/>
      <c r="Q15" s="434">
        <f t="shared" si="2"/>
        <v>305435.1046996896</v>
      </c>
      <c r="S15" s="434">
        <f>212300+30000</f>
        <v>242300</v>
      </c>
      <c r="T15" s="849">
        <v>62485</v>
      </c>
      <c r="U15" s="849"/>
      <c r="V15" s="434">
        <f t="shared" si="3"/>
        <v>304785</v>
      </c>
      <c r="W15" s="445" t="s">
        <v>53</v>
      </c>
      <c r="X15" s="333" t="s">
        <v>53</v>
      </c>
    </row>
    <row r="16" spans="1:24" ht="25.5" x14ac:dyDescent="0.2">
      <c r="A16" s="444">
        <v>23</v>
      </c>
      <c r="B16" s="195">
        <v>580029429</v>
      </c>
      <c r="C16" s="209" t="s">
        <v>1174</v>
      </c>
      <c r="E16" s="434">
        <v>145360</v>
      </c>
      <c r="F16" s="849"/>
      <c r="G16" s="434">
        <f t="shared" si="0"/>
        <v>145360</v>
      </c>
      <c r="I16" s="434">
        <f>100000+100767</f>
        <v>200767</v>
      </c>
      <c r="J16" s="849"/>
      <c r="K16" s="849"/>
      <c r="L16" s="434">
        <f t="shared" si="1"/>
        <v>200767</v>
      </c>
      <c r="N16" s="434">
        <v>100000</v>
      </c>
      <c r="O16" s="849"/>
      <c r="P16" s="849"/>
      <c r="Q16" s="434">
        <f t="shared" si="2"/>
        <v>100000</v>
      </c>
      <c r="S16" s="434">
        <v>154984</v>
      </c>
      <c r="T16" s="849"/>
      <c r="U16" s="849"/>
      <c r="V16" s="434">
        <f t="shared" si="3"/>
        <v>154984</v>
      </c>
      <c r="W16" s="445" t="s">
        <v>706</v>
      </c>
      <c r="X16" s="333" t="s">
        <v>12</v>
      </c>
    </row>
    <row r="17" spans="1:24" ht="25.5" x14ac:dyDescent="0.2">
      <c r="A17" s="444">
        <v>30</v>
      </c>
      <c r="B17" s="195">
        <v>580159291</v>
      </c>
      <c r="C17" s="209" t="s">
        <v>1175</v>
      </c>
      <c r="E17" s="434">
        <v>158043</v>
      </c>
      <c r="F17" s="849"/>
      <c r="G17" s="434">
        <f t="shared" si="0"/>
        <v>158043</v>
      </c>
      <c r="I17" s="434">
        <v>209016</v>
      </c>
      <c r="J17" s="849"/>
      <c r="K17" s="849">
        <v>56210</v>
      </c>
      <c r="L17" s="434">
        <f t="shared" si="1"/>
        <v>265226</v>
      </c>
      <c r="N17" s="434">
        <v>225000</v>
      </c>
      <c r="O17" s="849"/>
      <c r="P17" s="921">
        <f>55365+35161</f>
        <v>90526</v>
      </c>
      <c r="Q17" s="434">
        <f t="shared" si="2"/>
        <v>315526</v>
      </c>
      <c r="S17" s="434">
        <v>225000</v>
      </c>
      <c r="T17" s="849"/>
      <c r="U17" s="921">
        <f>60000+35161</f>
        <v>95161</v>
      </c>
      <c r="V17" s="434">
        <f t="shared" si="3"/>
        <v>320161</v>
      </c>
      <c r="W17" s="445" t="s">
        <v>131</v>
      </c>
      <c r="X17" s="333" t="s">
        <v>9</v>
      </c>
    </row>
    <row r="18" spans="1:24" ht="25.5" x14ac:dyDescent="0.2">
      <c r="A18" s="444">
        <v>31</v>
      </c>
      <c r="B18" s="195">
        <v>580103026</v>
      </c>
      <c r="C18" s="209" t="s">
        <v>1176</v>
      </c>
      <c r="E18" s="434">
        <v>10500</v>
      </c>
      <c r="F18" s="849"/>
      <c r="G18" s="434">
        <f t="shared" si="0"/>
        <v>10500</v>
      </c>
      <c r="I18" s="434"/>
      <c r="J18" s="849"/>
      <c r="K18" s="849"/>
      <c r="L18" s="434">
        <f t="shared" si="1"/>
        <v>0</v>
      </c>
      <c r="N18" s="434"/>
      <c r="O18" s="849"/>
      <c r="P18" s="849"/>
      <c r="Q18" s="434">
        <f t="shared" si="2"/>
        <v>0</v>
      </c>
      <c r="S18" s="434"/>
      <c r="T18" s="849"/>
      <c r="U18" s="849"/>
      <c r="V18" s="434">
        <f t="shared" si="3"/>
        <v>0</v>
      </c>
      <c r="W18" s="445" t="s">
        <v>73</v>
      </c>
      <c r="X18" s="333" t="s">
        <v>136</v>
      </c>
    </row>
    <row r="19" spans="1:24" ht="51" x14ac:dyDescent="0.2">
      <c r="A19" s="444">
        <v>35</v>
      </c>
      <c r="B19" s="195">
        <v>510490451</v>
      </c>
      <c r="C19" s="209" t="s">
        <v>1177</v>
      </c>
      <c r="E19" s="434"/>
      <c r="F19" s="849"/>
      <c r="G19" s="434">
        <f t="shared" si="0"/>
        <v>0</v>
      </c>
      <c r="I19" s="434">
        <v>45982</v>
      </c>
      <c r="J19" s="849"/>
      <c r="K19" s="849"/>
      <c r="L19" s="434">
        <f t="shared" si="1"/>
        <v>45982</v>
      </c>
      <c r="N19" s="434">
        <v>97992</v>
      </c>
      <c r="O19" s="849"/>
      <c r="P19" s="849"/>
      <c r="Q19" s="434">
        <f t="shared" si="2"/>
        <v>97992</v>
      </c>
      <c r="S19" s="434">
        <f>130842+26250</f>
        <v>157092</v>
      </c>
      <c r="T19" s="849"/>
      <c r="U19" s="849"/>
      <c r="V19" s="434">
        <f t="shared" si="3"/>
        <v>157092</v>
      </c>
      <c r="W19" s="445" t="s">
        <v>325</v>
      </c>
      <c r="X19" s="333" t="s">
        <v>9</v>
      </c>
    </row>
    <row r="20" spans="1:24" ht="43.5" customHeight="1" x14ac:dyDescent="0.2">
      <c r="A20" s="444">
        <v>47</v>
      </c>
      <c r="B20" s="410">
        <v>580352490</v>
      </c>
      <c r="C20" s="209" t="s">
        <v>1178</v>
      </c>
      <c r="E20" s="434">
        <v>67500</v>
      </c>
      <c r="F20" s="849">
        <v>20347.259355477443</v>
      </c>
      <c r="G20" s="434">
        <f t="shared" si="0"/>
        <v>87847.259355477436</v>
      </c>
      <c r="I20" s="434">
        <v>42068</v>
      </c>
      <c r="J20" s="849">
        <v>21671</v>
      </c>
      <c r="K20" s="849"/>
      <c r="L20" s="434">
        <f t="shared" si="1"/>
        <v>63739</v>
      </c>
      <c r="N20" s="434">
        <v>44625</v>
      </c>
      <c r="O20" s="849">
        <v>12699.441652632006</v>
      </c>
      <c r="P20" s="849"/>
      <c r="Q20" s="434">
        <f t="shared" si="2"/>
        <v>57324.441652632006</v>
      </c>
      <c r="S20" s="434">
        <v>18000</v>
      </c>
      <c r="T20" s="849">
        <v>12205</v>
      </c>
      <c r="U20" s="849"/>
      <c r="V20" s="434">
        <f t="shared" si="3"/>
        <v>30205</v>
      </c>
      <c r="W20" s="445" t="s">
        <v>53</v>
      </c>
      <c r="X20" s="449" t="s">
        <v>53</v>
      </c>
    </row>
    <row r="21" spans="1:24" s="451" customFormat="1" ht="19.5" customHeight="1" x14ac:dyDescent="0.2">
      <c r="A21" s="450"/>
      <c r="B21" s="195">
        <v>580169480</v>
      </c>
      <c r="C21" s="209" t="s">
        <v>1179</v>
      </c>
      <c r="D21" s="344"/>
      <c r="E21" s="434"/>
      <c r="F21" s="849"/>
      <c r="G21" s="434">
        <f t="shared" si="0"/>
        <v>0</v>
      </c>
      <c r="H21" s="344"/>
      <c r="I21" s="434"/>
      <c r="J21" s="849"/>
      <c r="K21" s="849"/>
      <c r="L21" s="434">
        <f t="shared" si="1"/>
        <v>0</v>
      </c>
      <c r="M21" s="344"/>
      <c r="N21" s="434"/>
      <c r="O21" s="849"/>
      <c r="P21" s="849"/>
      <c r="Q21" s="434">
        <f t="shared" si="2"/>
        <v>0</v>
      </c>
      <c r="R21" s="344"/>
      <c r="S21" s="434">
        <v>66477</v>
      </c>
      <c r="T21" s="849"/>
      <c r="U21" s="849"/>
      <c r="V21" s="434">
        <f t="shared" si="3"/>
        <v>66477</v>
      </c>
      <c r="W21" s="445" t="s">
        <v>1180</v>
      </c>
      <c r="X21" s="333" t="s">
        <v>53</v>
      </c>
    </row>
    <row r="22" spans="1:24" s="451" customFormat="1" ht="25.5" x14ac:dyDescent="0.2">
      <c r="A22" s="450"/>
      <c r="B22" s="195">
        <v>580144624</v>
      </c>
      <c r="C22" s="209" t="s">
        <v>1181</v>
      </c>
      <c r="D22" s="344"/>
      <c r="E22" s="837">
        <v>131507</v>
      </c>
      <c r="F22" s="849"/>
      <c r="G22" s="434">
        <f t="shared" si="0"/>
        <v>131507</v>
      </c>
      <c r="H22" s="344"/>
      <c r="I22" s="434"/>
      <c r="J22" s="849"/>
      <c r="K22" s="849"/>
      <c r="L22" s="434">
        <f t="shared" si="1"/>
        <v>0</v>
      </c>
      <c r="M22" s="344"/>
      <c r="N22" s="434"/>
      <c r="O22" s="849"/>
      <c r="P22" s="849"/>
      <c r="Q22" s="434">
        <f t="shared" si="2"/>
        <v>0</v>
      </c>
      <c r="R22" s="344"/>
      <c r="S22" s="434"/>
      <c r="T22" s="849"/>
      <c r="U22" s="849"/>
      <c r="V22" s="434">
        <f t="shared" si="3"/>
        <v>0</v>
      </c>
      <c r="W22" s="445" t="s">
        <v>670</v>
      </c>
      <c r="X22" s="333" t="s">
        <v>12</v>
      </c>
    </row>
    <row r="23" spans="1:24" s="451" customFormat="1" ht="25.5" x14ac:dyDescent="0.2">
      <c r="A23" s="450"/>
      <c r="B23" s="195">
        <v>580210920</v>
      </c>
      <c r="C23" s="209" t="s">
        <v>1182</v>
      </c>
      <c r="D23" s="344"/>
      <c r="E23" s="434">
        <v>241241</v>
      </c>
      <c r="F23" s="849"/>
      <c r="G23" s="434">
        <f t="shared" si="0"/>
        <v>241241</v>
      </c>
      <c r="H23" s="344"/>
      <c r="I23" s="434">
        <v>243069</v>
      </c>
      <c r="J23" s="849"/>
      <c r="K23" s="849">
        <v>85800</v>
      </c>
      <c r="L23" s="434">
        <f t="shared" si="1"/>
        <v>328869</v>
      </c>
      <c r="M23" s="344"/>
      <c r="N23" s="434">
        <v>274269</v>
      </c>
      <c r="O23" s="849"/>
      <c r="P23" s="849">
        <f>84510+5999</f>
        <v>90509</v>
      </c>
      <c r="Q23" s="434">
        <f t="shared" si="2"/>
        <v>364778</v>
      </c>
      <c r="R23" s="344"/>
      <c r="S23" s="434">
        <f>258436+12000</f>
        <v>270436</v>
      </c>
      <c r="T23" s="849"/>
      <c r="U23" s="849">
        <f>110000+5999</f>
        <v>115999</v>
      </c>
      <c r="V23" s="434">
        <f t="shared" si="3"/>
        <v>386435</v>
      </c>
      <c r="W23" s="452" t="s">
        <v>1183</v>
      </c>
      <c r="X23" s="333" t="s">
        <v>9</v>
      </c>
    </row>
    <row r="24" spans="1:24" s="451" customFormat="1" ht="27" customHeight="1" x14ac:dyDescent="0.2">
      <c r="A24" s="450"/>
      <c r="B24" s="195">
        <v>510542822</v>
      </c>
      <c r="C24" s="209" t="s">
        <v>3280</v>
      </c>
      <c r="D24" s="344"/>
      <c r="E24" s="434">
        <v>130000</v>
      </c>
      <c r="F24" s="849"/>
      <c r="G24" s="434">
        <f t="shared" si="0"/>
        <v>130000</v>
      </c>
      <c r="H24" s="344"/>
      <c r="I24" s="434">
        <f>150000+70000</f>
        <v>220000</v>
      </c>
      <c r="J24" s="849"/>
      <c r="K24" s="849"/>
      <c r="L24" s="434">
        <f t="shared" si="1"/>
        <v>220000</v>
      </c>
      <c r="M24" s="344"/>
      <c r="N24" s="434">
        <v>10500</v>
      </c>
      <c r="O24" s="849"/>
      <c r="P24" s="849"/>
      <c r="Q24" s="434">
        <f t="shared" si="2"/>
        <v>10500</v>
      </c>
      <c r="R24" s="344"/>
      <c r="S24" s="434">
        <v>136905</v>
      </c>
      <c r="T24" s="849"/>
      <c r="U24" s="849"/>
      <c r="V24" s="434">
        <f t="shared" si="3"/>
        <v>136905</v>
      </c>
      <c r="W24" s="445" t="s">
        <v>704</v>
      </c>
      <c r="X24" s="333" t="s">
        <v>12</v>
      </c>
    </row>
    <row r="25" spans="1:24" s="451" customFormat="1" ht="25.5" x14ac:dyDescent="0.2">
      <c r="A25" s="450"/>
      <c r="B25" s="195">
        <v>580290096</v>
      </c>
      <c r="C25" s="209" t="s">
        <v>3274</v>
      </c>
      <c r="D25" s="344"/>
      <c r="E25" s="434">
        <v>101534</v>
      </c>
      <c r="F25" s="849"/>
      <c r="G25" s="434">
        <f t="shared" si="0"/>
        <v>101534</v>
      </c>
      <c r="H25" s="344"/>
      <c r="I25" s="434">
        <f>190000+7864</f>
        <v>197864</v>
      </c>
      <c r="J25" s="849"/>
      <c r="K25" s="849"/>
      <c r="L25" s="434">
        <f t="shared" si="1"/>
        <v>197864</v>
      </c>
      <c r="M25" s="344"/>
      <c r="N25" s="434">
        <v>190000</v>
      </c>
      <c r="O25" s="849"/>
      <c r="P25" s="849"/>
      <c r="Q25" s="434">
        <f t="shared" si="2"/>
        <v>190000</v>
      </c>
      <c r="R25" s="344"/>
      <c r="S25" s="434">
        <f>167691+22500</f>
        <v>190191</v>
      </c>
      <c r="T25" s="849"/>
      <c r="U25" s="849"/>
      <c r="V25" s="434">
        <f t="shared" si="3"/>
        <v>190191</v>
      </c>
      <c r="W25" s="445" t="s">
        <v>443</v>
      </c>
      <c r="X25" s="333" t="s">
        <v>136</v>
      </c>
    </row>
    <row r="26" spans="1:24" s="451" customFormat="1" ht="25.5" x14ac:dyDescent="0.2">
      <c r="A26" s="450"/>
      <c r="B26" s="195">
        <v>580416485</v>
      </c>
      <c r="C26" s="209" t="s">
        <v>1184</v>
      </c>
      <c r="D26" s="344"/>
      <c r="E26" s="837">
        <v>43478</v>
      </c>
      <c r="F26" s="849"/>
      <c r="G26" s="434">
        <f t="shared" si="0"/>
        <v>43478</v>
      </c>
      <c r="H26" s="344"/>
      <c r="I26" s="434">
        <v>163560</v>
      </c>
      <c r="J26" s="849">
        <v>13959</v>
      </c>
      <c r="K26" s="849"/>
      <c r="L26" s="434">
        <f t="shared" si="1"/>
        <v>177519</v>
      </c>
      <c r="M26" s="344"/>
      <c r="N26" s="434">
        <v>51250</v>
      </c>
      <c r="O26" s="849">
        <v>25000</v>
      </c>
      <c r="P26" s="849"/>
      <c r="Q26" s="434">
        <f t="shared" si="2"/>
        <v>76250</v>
      </c>
      <c r="R26" s="344"/>
      <c r="S26" s="434">
        <f>112591+22500</f>
        <v>135091</v>
      </c>
      <c r="T26" s="849">
        <v>11282</v>
      </c>
      <c r="U26" s="849"/>
      <c r="V26" s="434">
        <f t="shared" si="3"/>
        <v>146373</v>
      </c>
      <c r="W26" s="445" t="s">
        <v>53</v>
      </c>
      <c r="X26" s="333" t="s">
        <v>53</v>
      </c>
    </row>
    <row r="27" spans="1:24" s="451" customFormat="1" ht="38.25" x14ac:dyDescent="0.2">
      <c r="A27" s="450"/>
      <c r="B27" s="195">
        <v>580234995</v>
      </c>
      <c r="C27" s="209" t="s">
        <v>3285</v>
      </c>
      <c r="D27" s="344"/>
      <c r="E27" s="434">
        <v>18750</v>
      </c>
      <c r="F27" s="849"/>
      <c r="G27" s="434">
        <f t="shared" si="0"/>
        <v>18750</v>
      </c>
      <c r="H27" s="344"/>
      <c r="I27" s="434"/>
      <c r="J27" s="849"/>
      <c r="K27" s="849"/>
      <c r="L27" s="434">
        <f t="shared" si="1"/>
        <v>0</v>
      </c>
      <c r="M27" s="344"/>
      <c r="N27" s="434"/>
      <c r="O27" s="849"/>
      <c r="P27" s="849"/>
      <c r="Q27" s="434">
        <f t="shared" si="2"/>
        <v>0</v>
      </c>
      <c r="R27" s="344"/>
      <c r="S27" s="434">
        <v>12000</v>
      </c>
      <c r="T27" s="849"/>
      <c r="U27" s="849"/>
      <c r="V27" s="434">
        <f t="shared" si="3"/>
        <v>12000</v>
      </c>
      <c r="W27" s="445" t="s">
        <v>73</v>
      </c>
      <c r="X27" s="333" t="s">
        <v>136</v>
      </c>
    </row>
    <row r="28" spans="1:24" s="451" customFormat="1" ht="25.5" x14ac:dyDescent="0.2">
      <c r="A28" s="450"/>
      <c r="B28" s="195">
        <v>580322451</v>
      </c>
      <c r="C28" s="209" t="s">
        <v>1186</v>
      </c>
      <c r="D28" s="344"/>
      <c r="E28" s="434">
        <v>100000</v>
      </c>
      <c r="F28" s="849"/>
      <c r="G28" s="434">
        <f t="shared" si="0"/>
        <v>100000</v>
      </c>
      <c r="H28" s="344"/>
      <c r="I28" s="434">
        <f>100000+33447</f>
        <v>133447</v>
      </c>
      <c r="J28" s="849"/>
      <c r="K28" s="849"/>
      <c r="L28" s="434">
        <f t="shared" si="1"/>
        <v>133447</v>
      </c>
      <c r="M28" s="344"/>
      <c r="N28" s="434">
        <v>120000</v>
      </c>
      <c r="O28" s="849"/>
      <c r="P28" s="849"/>
      <c r="Q28" s="434">
        <f t="shared" si="2"/>
        <v>120000</v>
      </c>
      <c r="R28" s="344"/>
      <c r="S28" s="434">
        <v>100000</v>
      </c>
      <c r="T28" s="849"/>
      <c r="U28" s="849"/>
      <c r="V28" s="434">
        <f t="shared" si="3"/>
        <v>100000</v>
      </c>
      <c r="W28" s="445" t="s">
        <v>680</v>
      </c>
      <c r="X28" s="333" t="s">
        <v>32</v>
      </c>
    </row>
    <row r="29" spans="1:24" s="451" customFormat="1" ht="38.25" x14ac:dyDescent="0.2">
      <c r="A29" s="450"/>
      <c r="B29" s="195">
        <v>580433456</v>
      </c>
      <c r="C29" s="51" t="s">
        <v>1187</v>
      </c>
      <c r="D29" s="344"/>
      <c r="E29" s="434">
        <v>10500</v>
      </c>
      <c r="F29" s="849"/>
      <c r="G29" s="434">
        <f t="shared" si="0"/>
        <v>10500</v>
      </c>
      <c r="H29" s="344"/>
      <c r="I29" s="434"/>
      <c r="J29" s="849"/>
      <c r="K29" s="849"/>
      <c r="L29" s="434">
        <f t="shared" si="1"/>
        <v>0</v>
      </c>
      <c r="M29" s="344"/>
      <c r="N29" s="434"/>
      <c r="O29" s="849"/>
      <c r="P29" s="849"/>
      <c r="Q29" s="434">
        <f t="shared" si="2"/>
        <v>0</v>
      </c>
      <c r="R29" s="344"/>
      <c r="S29" s="434"/>
      <c r="T29" s="849"/>
      <c r="U29" s="849"/>
      <c r="V29" s="434">
        <f t="shared" si="3"/>
        <v>0</v>
      </c>
      <c r="W29" s="445" t="s">
        <v>1188</v>
      </c>
      <c r="X29" s="333" t="s">
        <v>12</v>
      </c>
    </row>
    <row r="30" spans="1:24" s="451" customFormat="1" ht="25.5" customHeight="1" x14ac:dyDescent="0.2">
      <c r="A30" s="450"/>
      <c r="B30" s="108">
        <v>580461267</v>
      </c>
      <c r="C30" s="55" t="s">
        <v>1189</v>
      </c>
      <c r="D30" s="344"/>
      <c r="E30" s="434">
        <v>74938</v>
      </c>
      <c r="F30" s="849"/>
      <c r="G30" s="434">
        <f t="shared" si="0"/>
        <v>74938</v>
      </c>
      <c r="H30" s="344"/>
      <c r="I30" s="434">
        <v>71748</v>
      </c>
      <c r="J30" s="849"/>
      <c r="K30" s="849"/>
      <c r="L30" s="434">
        <f t="shared" si="1"/>
        <v>71748</v>
      </c>
      <c r="M30" s="344"/>
      <c r="N30" s="434">
        <v>81723</v>
      </c>
      <c r="O30" s="849"/>
      <c r="P30" s="849"/>
      <c r="Q30" s="434">
        <f t="shared" si="2"/>
        <v>81723</v>
      </c>
      <c r="R30" s="344"/>
      <c r="S30" s="434">
        <v>75758</v>
      </c>
      <c r="T30" s="849"/>
      <c r="U30" s="849"/>
      <c r="V30" s="434">
        <f t="shared" si="3"/>
        <v>75758</v>
      </c>
      <c r="W30" s="452" t="s">
        <v>908</v>
      </c>
      <c r="X30" s="333" t="s">
        <v>32</v>
      </c>
    </row>
    <row r="31" spans="1:24" s="451" customFormat="1" ht="28.5" customHeight="1" x14ac:dyDescent="0.2">
      <c r="A31" s="450"/>
      <c r="B31" s="108">
        <v>580433258</v>
      </c>
      <c r="C31" s="55" t="s">
        <v>1190</v>
      </c>
      <c r="D31" s="344"/>
      <c r="E31" s="434">
        <v>33750</v>
      </c>
      <c r="F31" s="849"/>
      <c r="G31" s="434">
        <f t="shared" si="0"/>
        <v>33750</v>
      </c>
      <c r="H31" s="344"/>
      <c r="I31" s="434"/>
      <c r="J31" s="849"/>
      <c r="K31" s="849"/>
      <c r="L31" s="434">
        <f t="shared" si="1"/>
        <v>0</v>
      </c>
      <c r="M31" s="344"/>
      <c r="N31" s="434"/>
      <c r="O31" s="849"/>
      <c r="P31" s="849"/>
      <c r="Q31" s="434">
        <f t="shared" si="2"/>
        <v>0</v>
      </c>
      <c r="R31" s="344"/>
      <c r="S31" s="434"/>
      <c r="T31" s="849"/>
      <c r="U31" s="849"/>
      <c r="V31" s="434">
        <f t="shared" si="3"/>
        <v>0</v>
      </c>
      <c r="W31" s="452" t="s">
        <v>292</v>
      </c>
      <c r="X31" s="333" t="s">
        <v>12</v>
      </c>
    </row>
    <row r="32" spans="1:24" s="451" customFormat="1" ht="36" customHeight="1" x14ac:dyDescent="0.2">
      <c r="A32" s="450"/>
      <c r="B32" s="108">
        <v>512287350</v>
      </c>
      <c r="C32" s="55" t="s">
        <v>1191</v>
      </c>
      <c r="D32" s="344"/>
      <c r="E32" s="434">
        <f>339412+26250</f>
        <v>365662</v>
      </c>
      <c r="F32" s="849"/>
      <c r="G32" s="434">
        <f t="shared" si="0"/>
        <v>365662</v>
      </c>
      <c r="H32" s="344"/>
      <c r="I32" s="434">
        <f>337907+48227</f>
        <v>386134</v>
      </c>
      <c r="J32" s="849"/>
      <c r="K32" s="849"/>
      <c r="L32" s="434">
        <f t="shared" si="1"/>
        <v>386134</v>
      </c>
      <c r="M32" s="344"/>
      <c r="N32" s="434">
        <v>382381</v>
      </c>
      <c r="O32" s="849"/>
      <c r="P32" s="849"/>
      <c r="Q32" s="434">
        <f t="shared" si="2"/>
        <v>382381</v>
      </c>
      <c r="R32" s="344"/>
      <c r="S32" s="434">
        <f>265518+139956</f>
        <v>405474</v>
      </c>
      <c r="T32" s="849"/>
      <c r="U32" s="849"/>
      <c r="V32" s="434">
        <f t="shared" si="3"/>
        <v>405474</v>
      </c>
      <c r="W32" s="455" t="s">
        <v>426</v>
      </c>
      <c r="X32" s="333" t="s">
        <v>136</v>
      </c>
    </row>
    <row r="33" spans="1:24" s="451" customFormat="1" ht="25.5" customHeight="1" x14ac:dyDescent="0.2">
      <c r="A33" s="450"/>
      <c r="B33" s="108">
        <v>580006575</v>
      </c>
      <c r="C33" s="55" t="s">
        <v>1192</v>
      </c>
      <c r="D33" s="344"/>
      <c r="E33" s="434">
        <v>195654</v>
      </c>
      <c r="F33" s="849">
        <v>63324.906527692605</v>
      </c>
      <c r="G33" s="434">
        <f t="shared" si="0"/>
        <v>258978.9065276926</v>
      </c>
      <c r="H33" s="344"/>
      <c r="I33" s="434">
        <v>246294</v>
      </c>
      <c r="J33" s="849">
        <v>62815</v>
      </c>
      <c r="K33" s="849"/>
      <c r="L33" s="434">
        <f t="shared" si="1"/>
        <v>309109</v>
      </c>
      <c r="M33" s="344"/>
      <c r="N33" s="434">
        <f>310554+31500</f>
        <v>342054</v>
      </c>
      <c r="O33" s="849">
        <v>74350.962308485003</v>
      </c>
      <c r="P33" s="849"/>
      <c r="Q33" s="434">
        <f t="shared" si="2"/>
        <v>416404.962308485</v>
      </c>
      <c r="R33" s="344"/>
      <c r="S33" s="434">
        <v>260717</v>
      </c>
      <c r="T33" s="849">
        <v>93553</v>
      </c>
      <c r="U33" s="849"/>
      <c r="V33" s="434">
        <f t="shared" si="3"/>
        <v>354270</v>
      </c>
      <c r="W33" s="455" t="s">
        <v>53</v>
      </c>
      <c r="X33" s="333" t="s">
        <v>53</v>
      </c>
    </row>
    <row r="34" spans="1:24" s="451" customFormat="1" ht="25.5" customHeight="1" x14ac:dyDescent="0.2">
      <c r="A34" s="450"/>
      <c r="B34" s="108">
        <v>580082824</v>
      </c>
      <c r="C34" s="55" t="s">
        <v>1193</v>
      </c>
      <c r="D34" s="344"/>
      <c r="E34" s="434">
        <v>42000</v>
      </c>
      <c r="F34" s="849"/>
      <c r="G34" s="434">
        <f t="shared" ref="G34:G77" si="4">SUM(E34:F34)</f>
        <v>42000</v>
      </c>
      <c r="H34" s="344"/>
      <c r="I34" s="434"/>
      <c r="J34" s="849"/>
      <c r="K34" s="849"/>
      <c r="L34" s="434">
        <f t="shared" si="1"/>
        <v>0</v>
      </c>
      <c r="M34" s="344"/>
      <c r="N34" s="434"/>
      <c r="O34" s="849"/>
      <c r="P34" s="849"/>
      <c r="Q34" s="434">
        <f t="shared" si="2"/>
        <v>0</v>
      </c>
      <c r="R34" s="344"/>
      <c r="S34" s="434"/>
      <c r="T34" s="849"/>
      <c r="U34" s="849"/>
      <c r="V34" s="434">
        <f t="shared" si="3"/>
        <v>0</v>
      </c>
      <c r="W34" s="455" t="s">
        <v>33</v>
      </c>
      <c r="X34" s="333" t="s">
        <v>9</v>
      </c>
    </row>
    <row r="35" spans="1:24" s="451" customFormat="1" ht="25.5" customHeight="1" x14ac:dyDescent="0.2">
      <c r="A35" s="450"/>
      <c r="B35" s="108">
        <v>580466282</v>
      </c>
      <c r="C35" s="55" t="s">
        <v>1194</v>
      </c>
      <c r="D35" s="344"/>
      <c r="E35" s="434">
        <v>153583</v>
      </c>
      <c r="F35" s="849"/>
      <c r="G35" s="434">
        <f t="shared" si="4"/>
        <v>153583</v>
      </c>
      <c r="H35" s="344"/>
      <c r="I35" s="434">
        <v>153683</v>
      </c>
      <c r="J35" s="849"/>
      <c r="K35" s="849"/>
      <c r="L35" s="434">
        <f t="shared" si="1"/>
        <v>153683</v>
      </c>
      <c r="M35" s="344"/>
      <c r="N35" s="434">
        <f>171626+9000</f>
        <v>180626</v>
      </c>
      <c r="O35" s="849"/>
      <c r="P35" s="849"/>
      <c r="Q35" s="434">
        <f t="shared" si="2"/>
        <v>180626</v>
      </c>
      <c r="R35" s="344"/>
      <c r="S35" s="434">
        <v>135865</v>
      </c>
      <c r="T35" s="849"/>
      <c r="U35" s="849"/>
      <c r="V35" s="434">
        <f t="shared" si="3"/>
        <v>135865</v>
      </c>
      <c r="W35" s="455" t="s">
        <v>73</v>
      </c>
      <c r="X35" s="333" t="s">
        <v>136</v>
      </c>
    </row>
    <row r="36" spans="1:24" s="451" customFormat="1" ht="25.5" customHeight="1" x14ac:dyDescent="0.2">
      <c r="A36" s="450"/>
      <c r="B36" s="108">
        <v>580486934</v>
      </c>
      <c r="C36" s="55" t="s">
        <v>1195</v>
      </c>
      <c r="D36" s="344"/>
      <c r="E36" s="434">
        <v>110898</v>
      </c>
      <c r="F36" s="849"/>
      <c r="G36" s="434">
        <f t="shared" si="4"/>
        <v>110898</v>
      </c>
      <c r="H36" s="344"/>
      <c r="I36" s="434">
        <v>138314</v>
      </c>
      <c r="J36" s="849"/>
      <c r="K36" s="921">
        <v>39442</v>
      </c>
      <c r="L36" s="434">
        <f t="shared" ref="L36:L65" si="5">SUM(I36:K36)</f>
        <v>177756</v>
      </c>
      <c r="M36" s="344"/>
      <c r="N36" s="434"/>
      <c r="O36" s="849"/>
      <c r="P36" s="849"/>
      <c r="Q36" s="434">
        <f t="shared" si="2"/>
        <v>0</v>
      </c>
      <c r="R36" s="344"/>
      <c r="S36" s="434"/>
      <c r="T36" s="849"/>
      <c r="U36" s="849"/>
      <c r="V36" s="434">
        <f t="shared" si="3"/>
        <v>0</v>
      </c>
      <c r="W36" s="455" t="s">
        <v>1196</v>
      </c>
      <c r="X36" s="333" t="s">
        <v>9</v>
      </c>
    </row>
    <row r="37" spans="1:24" s="451" customFormat="1" ht="25.5" customHeight="1" x14ac:dyDescent="0.2">
      <c r="A37" s="450"/>
      <c r="B37" s="108">
        <v>580362747</v>
      </c>
      <c r="C37" s="55" t="s">
        <v>1197</v>
      </c>
      <c r="D37" s="344"/>
      <c r="E37" s="434">
        <v>31500</v>
      </c>
      <c r="F37" s="849"/>
      <c r="G37" s="434">
        <f t="shared" si="4"/>
        <v>31500</v>
      </c>
      <c r="H37" s="344"/>
      <c r="I37" s="434">
        <v>55740</v>
      </c>
      <c r="J37" s="849"/>
      <c r="K37" s="849"/>
      <c r="L37" s="434">
        <f t="shared" si="5"/>
        <v>55740</v>
      </c>
      <c r="M37" s="344"/>
      <c r="N37" s="434">
        <v>10550</v>
      </c>
      <c r="O37" s="849"/>
      <c r="P37" s="849"/>
      <c r="Q37" s="434">
        <f t="shared" si="2"/>
        <v>10550</v>
      </c>
      <c r="R37" s="344"/>
      <c r="S37" s="434">
        <v>16875</v>
      </c>
      <c r="T37" s="849"/>
      <c r="U37" s="849"/>
      <c r="V37" s="434">
        <f t="shared" si="3"/>
        <v>16875</v>
      </c>
      <c r="W37" s="455" t="s">
        <v>73</v>
      </c>
      <c r="X37" s="333" t="s">
        <v>136</v>
      </c>
    </row>
    <row r="38" spans="1:24" s="451" customFormat="1" ht="25.5" customHeight="1" x14ac:dyDescent="0.2">
      <c r="A38" s="450"/>
      <c r="B38" s="456">
        <v>580468221</v>
      </c>
      <c r="C38" s="458" t="s">
        <v>1198</v>
      </c>
      <c r="D38" s="344"/>
      <c r="E38" s="434">
        <v>76712</v>
      </c>
      <c r="F38" s="849"/>
      <c r="G38" s="434">
        <f t="shared" si="4"/>
        <v>76712</v>
      </c>
      <c r="H38" s="344"/>
      <c r="I38" s="434">
        <f>80000+28464</f>
        <v>108464</v>
      </c>
      <c r="J38" s="849">
        <v>24628</v>
      </c>
      <c r="K38" s="849"/>
      <c r="L38" s="434">
        <f t="shared" si="5"/>
        <v>133092</v>
      </c>
      <c r="M38" s="344"/>
      <c r="N38" s="434">
        <v>117046</v>
      </c>
      <c r="O38" s="849">
        <v>32742.993235026097</v>
      </c>
      <c r="P38" s="849"/>
      <c r="Q38" s="434">
        <f t="shared" si="2"/>
        <v>149788.99323502611</v>
      </c>
      <c r="R38" s="344"/>
      <c r="S38" s="434">
        <f>120814+15000</f>
        <v>135814</v>
      </c>
      <c r="T38" s="849">
        <v>32013</v>
      </c>
      <c r="U38" s="849"/>
      <c r="V38" s="434">
        <f t="shared" si="3"/>
        <v>167827</v>
      </c>
      <c r="W38" s="455" t="s">
        <v>53</v>
      </c>
      <c r="X38" s="333" t="s">
        <v>53</v>
      </c>
    </row>
    <row r="39" spans="1:24" s="451" customFormat="1" ht="25.5" customHeight="1" x14ac:dyDescent="0.2">
      <c r="A39" s="450"/>
      <c r="B39" s="456">
        <v>580012284</v>
      </c>
      <c r="C39" s="88" t="s">
        <v>2358</v>
      </c>
      <c r="D39" s="344"/>
      <c r="E39" s="434">
        <v>50000</v>
      </c>
      <c r="F39" s="849"/>
      <c r="G39" s="434">
        <f t="shared" si="4"/>
        <v>50000</v>
      </c>
      <c r="H39" s="344"/>
      <c r="I39" s="434"/>
      <c r="J39" s="849"/>
      <c r="K39" s="849"/>
      <c r="L39" s="434">
        <f t="shared" si="5"/>
        <v>0</v>
      </c>
      <c r="M39" s="344"/>
      <c r="N39" s="434"/>
      <c r="O39" s="849"/>
      <c r="P39" s="849"/>
      <c r="Q39" s="434">
        <f t="shared" si="2"/>
        <v>0</v>
      </c>
      <c r="R39" s="344"/>
      <c r="S39" s="837">
        <v>40684</v>
      </c>
      <c r="T39" s="849"/>
      <c r="U39" s="849"/>
      <c r="V39" s="434">
        <f t="shared" si="3"/>
        <v>40684</v>
      </c>
      <c r="W39" s="455" t="s">
        <v>1171</v>
      </c>
      <c r="X39" s="333" t="s">
        <v>9</v>
      </c>
    </row>
    <row r="40" spans="1:24" s="451" customFormat="1" ht="25.5" customHeight="1" x14ac:dyDescent="0.2">
      <c r="A40" s="450"/>
      <c r="B40" s="456">
        <v>580039329</v>
      </c>
      <c r="C40" s="88" t="s">
        <v>2359</v>
      </c>
      <c r="D40" s="344"/>
      <c r="E40" s="434">
        <v>18750</v>
      </c>
      <c r="F40" s="849"/>
      <c r="G40" s="434">
        <f t="shared" si="4"/>
        <v>18750</v>
      </c>
      <c r="H40" s="344"/>
      <c r="I40" s="434">
        <v>36058</v>
      </c>
      <c r="J40" s="849"/>
      <c r="K40" s="849"/>
      <c r="L40" s="434">
        <f t="shared" si="5"/>
        <v>36058</v>
      </c>
      <c r="M40" s="344"/>
      <c r="N40" s="434">
        <v>18750</v>
      </c>
      <c r="O40" s="849"/>
      <c r="P40" s="849"/>
      <c r="Q40" s="434">
        <f t="shared" si="2"/>
        <v>18750</v>
      </c>
      <c r="R40" s="344"/>
      <c r="S40" s="434"/>
      <c r="T40" s="849"/>
      <c r="U40" s="849"/>
      <c r="V40" s="434">
        <f t="shared" si="3"/>
        <v>0</v>
      </c>
      <c r="W40" s="455" t="s">
        <v>53</v>
      </c>
      <c r="X40" s="333" t="s">
        <v>53</v>
      </c>
    </row>
    <row r="41" spans="1:24" s="451" customFormat="1" ht="25.5" customHeight="1" x14ac:dyDescent="0.2">
      <c r="A41" s="450"/>
      <c r="B41" s="456">
        <v>580617660</v>
      </c>
      <c r="C41" s="88" t="s">
        <v>3272</v>
      </c>
      <c r="D41" s="344"/>
      <c r="E41" s="434">
        <v>31500</v>
      </c>
      <c r="F41" s="849">
        <v>13080.270843247916</v>
      </c>
      <c r="G41" s="434">
        <f t="shared" si="4"/>
        <v>44580.270843247912</v>
      </c>
      <c r="H41" s="344"/>
      <c r="I41" s="434">
        <v>35056</v>
      </c>
      <c r="J41" s="849">
        <v>10113</v>
      </c>
      <c r="K41" s="849"/>
      <c r="L41" s="434">
        <f t="shared" si="5"/>
        <v>45169</v>
      </c>
      <c r="M41" s="344"/>
      <c r="N41" s="434">
        <v>18750</v>
      </c>
      <c r="O41" s="849">
        <v>10582.66679125862</v>
      </c>
      <c r="P41" s="849"/>
      <c r="Q41" s="434">
        <f t="shared" si="2"/>
        <v>29332.66679125862</v>
      </c>
      <c r="R41" s="344"/>
      <c r="S41" s="434"/>
      <c r="T41" s="849"/>
      <c r="U41" s="849"/>
      <c r="V41" s="434">
        <f t="shared" si="3"/>
        <v>0</v>
      </c>
      <c r="W41" s="455" t="s">
        <v>53</v>
      </c>
      <c r="X41" s="333" t="s">
        <v>53</v>
      </c>
    </row>
    <row r="42" spans="1:24" s="451" customFormat="1" ht="25.5" customHeight="1" x14ac:dyDescent="0.2">
      <c r="A42" s="450"/>
      <c r="B42" s="456">
        <v>580450898</v>
      </c>
      <c r="C42" s="88" t="s">
        <v>2360</v>
      </c>
      <c r="D42" s="344"/>
      <c r="E42" s="434">
        <v>120000</v>
      </c>
      <c r="F42" s="849">
        <v>34703.86108992136</v>
      </c>
      <c r="G42" s="434">
        <f t="shared" si="4"/>
        <v>154703.86108992135</v>
      </c>
      <c r="H42" s="344"/>
      <c r="I42" s="434">
        <v>160000</v>
      </c>
      <c r="J42" s="849">
        <v>38526</v>
      </c>
      <c r="K42" s="849"/>
      <c r="L42" s="434">
        <f t="shared" si="5"/>
        <v>198526</v>
      </c>
      <c r="M42" s="344"/>
      <c r="N42" s="434">
        <v>180000</v>
      </c>
      <c r="O42" s="849">
        <v>40000</v>
      </c>
      <c r="P42" s="849"/>
      <c r="Q42" s="434">
        <f t="shared" si="2"/>
        <v>220000</v>
      </c>
      <c r="R42" s="344"/>
      <c r="S42" s="434">
        <f>172762+90000</f>
        <v>262762</v>
      </c>
      <c r="T42" s="849">
        <v>49231</v>
      </c>
      <c r="U42" s="849"/>
      <c r="V42" s="434">
        <f t="shared" si="3"/>
        <v>311993</v>
      </c>
      <c r="W42" s="455" t="s">
        <v>53</v>
      </c>
      <c r="X42" s="333" t="s">
        <v>53</v>
      </c>
    </row>
    <row r="43" spans="1:24" s="451" customFormat="1" ht="25.5" customHeight="1" x14ac:dyDescent="0.2">
      <c r="A43" s="450"/>
      <c r="B43" s="456">
        <v>580511343</v>
      </c>
      <c r="C43" s="88" t="s">
        <v>2361</v>
      </c>
      <c r="D43" s="344"/>
      <c r="E43" s="837">
        <v>83014</v>
      </c>
      <c r="F43" s="849"/>
      <c r="G43" s="434">
        <f t="shared" si="4"/>
        <v>83014</v>
      </c>
      <c r="H43" s="344"/>
      <c r="I43" s="434">
        <f>80000+441</f>
        <v>80441</v>
      </c>
      <c r="J43" s="849"/>
      <c r="K43" s="849"/>
      <c r="L43" s="434">
        <f t="shared" si="5"/>
        <v>80441</v>
      </c>
      <c r="M43" s="344"/>
      <c r="N43" s="434">
        <v>90406</v>
      </c>
      <c r="O43" s="849"/>
      <c r="P43" s="849"/>
      <c r="Q43" s="434">
        <f t="shared" si="2"/>
        <v>90406</v>
      </c>
      <c r="R43" s="344"/>
      <c r="S43" s="434">
        <v>85915</v>
      </c>
      <c r="T43" s="849"/>
      <c r="U43" s="849"/>
      <c r="V43" s="434">
        <f t="shared" si="3"/>
        <v>85915</v>
      </c>
      <c r="W43" s="455" t="s">
        <v>53</v>
      </c>
      <c r="X43" s="333" t="s">
        <v>53</v>
      </c>
    </row>
    <row r="44" spans="1:24" s="451" customFormat="1" ht="25.5" customHeight="1" x14ac:dyDescent="0.2">
      <c r="A44" s="450"/>
      <c r="B44" s="456">
        <v>580522837</v>
      </c>
      <c r="C44" s="88" t="s">
        <v>2362</v>
      </c>
      <c r="D44" s="344"/>
      <c r="E44" s="434">
        <v>26250</v>
      </c>
      <c r="F44" s="849">
        <v>11132.998637646773</v>
      </c>
      <c r="G44" s="434">
        <f t="shared" si="4"/>
        <v>37382.998637646771</v>
      </c>
      <c r="H44" s="344"/>
      <c r="I44" s="434"/>
      <c r="J44" s="849"/>
      <c r="K44" s="849"/>
      <c r="L44" s="434">
        <f t="shared" si="5"/>
        <v>0</v>
      </c>
      <c r="M44" s="344"/>
      <c r="N44" s="434"/>
      <c r="O44" s="849"/>
      <c r="P44" s="849"/>
      <c r="Q44" s="434">
        <f t="shared" si="2"/>
        <v>0</v>
      </c>
      <c r="R44" s="344"/>
      <c r="S44" s="434">
        <v>39945</v>
      </c>
      <c r="T44" s="849"/>
      <c r="U44" s="849"/>
      <c r="V44" s="434">
        <f t="shared" si="3"/>
        <v>39945</v>
      </c>
      <c r="W44" s="455" t="s">
        <v>53</v>
      </c>
      <c r="X44" s="333" t="s">
        <v>53</v>
      </c>
    </row>
    <row r="45" spans="1:24" s="451" customFormat="1" ht="25.5" customHeight="1" x14ac:dyDescent="0.2">
      <c r="A45" s="450"/>
      <c r="B45" s="456">
        <v>580533941</v>
      </c>
      <c r="C45" s="88" t="s">
        <v>2363</v>
      </c>
      <c r="D45" s="344"/>
      <c r="E45" s="434">
        <v>47250</v>
      </c>
      <c r="F45" s="849"/>
      <c r="G45" s="434">
        <f t="shared" si="4"/>
        <v>47250</v>
      </c>
      <c r="H45" s="344"/>
      <c r="I45" s="434">
        <v>30048</v>
      </c>
      <c r="J45" s="849"/>
      <c r="K45" s="849"/>
      <c r="L45" s="434">
        <f t="shared" si="5"/>
        <v>30048</v>
      </c>
      <c r="M45" s="344"/>
      <c r="N45" s="434"/>
      <c r="O45" s="849"/>
      <c r="P45" s="849"/>
      <c r="Q45" s="434">
        <f t="shared" si="2"/>
        <v>0</v>
      </c>
      <c r="R45" s="344"/>
      <c r="S45" s="434"/>
      <c r="T45" s="849"/>
      <c r="U45" s="849"/>
      <c r="V45" s="434">
        <f t="shared" si="3"/>
        <v>0</v>
      </c>
      <c r="W45" s="445" t="s">
        <v>73</v>
      </c>
      <c r="X45" s="333" t="s">
        <v>136</v>
      </c>
    </row>
    <row r="46" spans="1:24" s="451" customFormat="1" ht="25.5" customHeight="1" x14ac:dyDescent="0.2">
      <c r="A46" s="450"/>
      <c r="B46" s="456">
        <v>580482941</v>
      </c>
      <c r="C46" s="88" t="s">
        <v>2366</v>
      </c>
      <c r="D46" s="344"/>
      <c r="E46" s="434">
        <v>74000</v>
      </c>
      <c r="F46" s="849"/>
      <c r="G46" s="434">
        <f t="shared" si="4"/>
        <v>74000</v>
      </c>
      <c r="H46" s="344"/>
      <c r="I46" s="434">
        <v>100560</v>
      </c>
      <c r="J46" s="849"/>
      <c r="K46" s="849"/>
      <c r="L46" s="434">
        <f t="shared" si="5"/>
        <v>100560</v>
      </c>
      <c r="M46" s="344"/>
      <c r="N46" s="434">
        <v>74000</v>
      </c>
      <c r="O46" s="849"/>
      <c r="P46" s="921">
        <v>35132</v>
      </c>
      <c r="Q46" s="434">
        <f t="shared" si="2"/>
        <v>109132</v>
      </c>
      <c r="R46" s="344"/>
      <c r="S46" s="434">
        <v>122177</v>
      </c>
      <c r="T46" s="849"/>
      <c r="U46" s="849">
        <v>31297</v>
      </c>
      <c r="V46" s="434">
        <f t="shared" si="3"/>
        <v>153474</v>
      </c>
      <c r="W46" s="858" t="s">
        <v>456</v>
      </c>
      <c r="X46" s="333" t="s">
        <v>32</v>
      </c>
    </row>
    <row r="47" spans="1:24" s="451" customFormat="1" ht="25.5" customHeight="1" x14ac:dyDescent="0.2">
      <c r="A47" s="450"/>
      <c r="B47" s="456">
        <v>510623648</v>
      </c>
      <c r="C47" s="88" t="s">
        <v>2493</v>
      </c>
      <c r="D47" s="344"/>
      <c r="E47" s="434">
        <v>11250</v>
      </c>
      <c r="F47" s="849"/>
      <c r="G47" s="434">
        <f t="shared" si="4"/>
        <v>11250</v>
      </c>
      <c r="H47" s="344"/>
      <c r="I47" s="434"/>
      <c r="J47" s="849"/>
      <c r="K47" s="849"/>
      <c r="L47" s="434">
        <f t="shared" si="5"/>
        <v>0</v>
      </c>
      <c r="M47" s="344"/>
      <c r="N47" s="434"/>
      <c r="O47" s="849"/>
      <c r="P47" s="849"/>
      <c r="Q47" s="434">
        <f t="shared" si="2"/>
        <v>0</v>
      </c>
      <c r="R47" s="344"/>
      <c r="S47" s="434"/>
      <c r="T47" s="849"/>
      <c r="U47" s="849"/>
      <c r="V47" s="434">
        <f t="shared" si="3"/>
        <v>0</v>
      </c>
      <c r="W47" s="858" t="s">
        <v>679</v>
      </c>
      <c r="X47" s="333" t="s">
        <v>32</v>
      </c>
    </row>
    <row r="48" spans="1:24" s="451" customFormat="1" ht="25.5" customHeight="1" x14ac:dyDescent="0.2">
      <c r="A48" s="450"/>
      <c r="B48" s="456">
        <v>510662190</v>
      </c>
      <c r="C48" s="88" t="s">
        <v>2494</v>
      </c>
      <c r="D48" s="344"/>
      <c r="E48" s="434">
        <v>54000</v>
      </c>
      <c r="F48" s="849"/>
      <c r="G48" s="434">
        <f t="shared" si="4"/>
        <v>54000</v>
      </c>
      <c r="H48" s="344"/>
      <c r="I48" s="434"/>
      <c r="J48" s="849"/>
      <c r="K48" s="849"/>
      <c r="L48" s="434">
        <f t="shared" si="5"/>
        <v>0</v>
      </c>
      <c r="M48" s="344"/>
      <c r="N48" s="434"/>
      <c r="O48" s="849"/>
      <c r="P48" s="849"/>
      <c r="Q48" s="434">
        <f t="shared" si="2"/>
        <v>0</v>
      </c>
      <c r="R48" s="344"/>
      <c r="S48" s="434"/>
      <c r="T48" s="849"/>
      <c r="U48" s="849"/>
      <c r="V48" s="434">
        <f t="shared" si="3"/>
        <v>0</v>
      </c>
      <c r="W48" s="858" t="s">
        <v>1497</v>
      </c>
      <c r="X48" s="333" t="s">
        <v>9</v>
      </c>
    </row>
    <row r="49" spans="1:24" s="451" customFormat="1" ht="25.5" customHeight="1" x14ac:dyDescent="0.2">
      <c r="A49" s="450"/>
      <c r="B49" s="456">
        <v>580344109</v>
      </c>
      <c r="C49" s="88" t="s">
        <v>2495</v>
      </c>
      <c r="D49" s="344"/>
      <c r="E49" s="434">
        <v>45715</v>
      </c>
      <c r="F49" s="849"/>
      <c r="G49" s="434">
        <f t="shared" si="4"/>
        <v>45715</v>
      </c>
      <c r="H49" s="344"/>
      <c r="I49" s="434">
        <v>95295</v>
      </c>
      <c r="J49" s="849"/>
      <c r="K49" s="849"/>
      <c r="L49" s="434">
        <f t="shared" si="5"/>
        <v>95295</v>
      </c>
      <c r="M49" s="344"/>
      <c r="N49" s="434"/>
      <c r="O49" s="849"/>
      <c r="P49" s="849"/>
      <c r="Q49" s="434">
        <f t="shared" si="2"/>
        <v>0</v>
      </c>
      <c r="R49" s="344"/>
      <c r="S49" s="434"/>
      <c r="T49" s="849"/>
      <c r="U49" s="849"/>
      <c r="V49" s="434">
        <f t="shared" si="3"/>
        <v>0</v>
      </c>
      <c r="W49" s="858" t="s">
        <v>426</v>
      </c>
      <c r="X49" s="333" t="s">
        <v>136</v>
      </c>
    </row>
    <row r="50" spans="1:24" s="451" customFormat="1" ht="25.5" customHeight="1" x14ac:dyDescent="0.2">
      <c r="A50" s="450"/>
      <c r="B50" s="456">
        <v>580223899</v>
      </c>
      <c r="C50" s="88" t="s">
        <v>2496</v>
      </c>
      <c r="D50" s="344"/>
      <c r="E50" s="434">
        <v>42515</v>
      </c>
      <c r="F50" s="849"/>
      <c r="G50" s="434">
        <f t="shared" si="4"/>
        <v>42515</v>
      </c>
      <c r="H50" s="344"/>
      <c r="I50" s="434">
        <v>97898</v>
      </c>
      <c r="J50" s="849"/>
      <c r="K50" s="849"/>
      <c r="L50" s="434">
        <f t="shared" si="5"/>
        <v>97898</v>
      </c>
      <c r="M50" s="344"/>
      <c r="N50" s="434">
        <v>140136</v>
      </c>
      <c r="O50" s="849"/>
      <c r="P50" s="849"/>
      <c r="Q50" s="434">
        <f t="shared" si="2"/>
        <v>140136</v>
      </c>
      <c r="R50" s="344"/>
      <c r="S50" s="434">
        <v>137289</v>
      </c>
      <c r="T50" s="849"/>
      <c r="U50" s="849"/>
      <c r="V50" s="434">
        <f t="shared" si="3"/>
        <v>137289</v>
      </c>
      <c r="W50" s="455" t="s">
        <v>53</v>
      </c>
      <c r="X50" s="333" t="s">
        <v>53</v>
      </c>
    </row>
    <row r="51" spans="1:24" s="451" customFormat="1" ht="25.5" customHeight="1" x14ac:dyDescent="0.2">
      <c r="A51" s="450"/>
      <c r="B51" s="456">
        <v>513720755</v>
      </c>
      <c r="C51" s="88" t="s">
        <v>2497</v>
      </c>
      <c r="D51" s="344"/>
      <c r="E51" s="434">
        <v>30864</v>
      </c>
      <c r="F51" s="849"/>
      <c r="G51" s="434">
        <f t="shared" si="4"/>
        <v>30864</v>
      </c>
      <c r="H51" s="344"/>
      <c r="I51" s="434">
        <v>59850</v>
      </c>
      <c r="J51" s="849"/>
      <c r="K51" s="849"/>
      <c r="L51" s="434">
        <f t="shared" si="5"/>
        <v>59850</v>
      </c>
      <c r="M51" s="344"/>
      <c r="N51" s="434">
        <v>83665</v>
      </c>
      <c r="O51" s="849"/>
      <c r="P51" s="849"/>
      <c r="Q51" s="434">
        <f t="shared" si="2"/>
        <v>83665</v>
      </c>
      <c r="R51" s="344"/>
      <c r="S51" s="434">
        <v>87584</v>
      </c>
      <c r="T51" s="849"/>
      <c r="U51" s="849"/>
      <c r="V51" s="434">
        <f t="shared" si="3"/>
        <v>87584</v>
      </c>
      <c r="W51" s="445" t="s">
        <v>73</v>
      </c>
      <c r="X51" s="333" t="s">
        <v>136</v>
      </c>
    </row>
    <row r="52" spans="1:24" s="451" customFormat="1" ht="25.5" customHeight="1" x14ac:dyDescent="0.2">
      <c r="A52" s="450"/>
      <c r="B52" s="456">
        <v>580499309</v>
      </c>
      <c r="C52" s="88" t="s">
        <v>2498</v>
      </c>
      <c r="D52" s="344"/>
      <c r="E52" s="434">
        <v>54000</v>
      </c>
      <c r="F52" s="849"/>
      <c r="G52" s="434">
        <f t="shared" si="4"/>
        <v>54000</v>
      </c>
      <c r="H52" s="344"/>
      <c r="I52" s="434"/>
      <c r="J52" s="849"/>
      <c r="K52" s="849"/>
      <c r="L52" s="434">
        <f t="shared" si="5"/>
        <v>0</v>
      </c>
      <c r="M52" s="344"/>
      <c r="N52" s="434"/>
      <c r="O52" s="849"/>
      <c r="P52" s="849"/>
      <c r="Q52" s="434">
        <f t="shared" si="2"/>
        <v>0</v>
      </c>
      <c r="R52" s="344"/>
      <c r="S52" s="434"/>
      <c r="T52" s="849"/>
      <c r="U52" s="849"/>
      <c r="V52" s="434">
        <f t="shared" si="3"/>
        <v>0</v>
      </c>
      <c r="W52" s="445" t="s">
        <v>73</v>
      </c>
      <c r="X52" s="333" t="s">
        <v>136</v>
      </c>
    </row>
    <row r="53" spans="1:24" s="451" customFormat="1" ht="25.5" customHeight="1" x14ac:dyDescent="0.2">
      <c r="A53" s="450"/>
      <c r="B53" s="456">
        <v>580546927</v>
      </c>
      <c r="C53" s="88" t="s">
        <v>2499</v>
      </c>
      <c r="D53" s="344"/>
      <c r="E53" s="434">
        <v>60000</v>
      </c>
      <c r="F53" s="849"/>
      <c r="G53" s="434">
        <f t="shared" si="4"/>
        <v>60000</v>
      </c>
      <c r="H53" s="344"/>
      <c r="I53" s="434">
        <v>40190</v>
      </c>
      <c r="J53" s="849">
        <v>19263</v>
      </c>
      <c r="K53" s="849"/>
      <c r="L53" s="434">
        <f t="shared" si="5"/>
        <v>59453</v>
      </c>
      <c r="M53" s="344"/>
      <c r="N53" s="434">
        <v>33633</v>
      </c>
      <c r="O53" s="849">
        <v>12132.513074528864</v>
      </c>
      <c r="P53" s="849"/>
      <c r="Q53" s="434">
        <f t="shared" si="2"/>
        <v>45765.513074528862</v>
      </c>
      <c r="R53" s="344"/>
      <c r="S53" s="434">
        <v>42000</v>
      </c>
      <c r="T53" s="849">
        <v>9199</v>
      </c>
      <c r="U53" s="849"/>
      <c r="V53" s="434">
        <f t="shared" si="3"/>
        <v>51199</v>
      </c>
      <c r="W53" s="455" t="s">
        <v>53</v>
      </c>
      <c r="X53" s="333" t="s">
        <v>53</v>
      </c>
    </row>
    <row r="54" spans="1:24" s="451" customFormat="1" ht="25.5" customHeight="1" x14ac:dyDescent="0.2">
      <c r="A54" s="450"/>
      <c r="B54" s="456">
        <v>580511848</v>
      </c>
      <c r="C54" s="88" t="s">
        <v>2500</v>
      </c>
      <c r="D54" s="344"/>
      <c r="E54" s="837">
        <v>51438</v>
      </c>
      <c r="F54" s="849"/>
      <c r="G54" s="434">
        <f t="shared" si="4"/>
        <v>51438</v>
      </c>
      <c r="H54" s="344"/>
      <c r="I54" s="434"/>
      <c r="J54" s="849"/>
      <c r="K54" s="849"/>
      <c r="L54" s="434">
        <f t="shared" si="5"/>
        <v>0</v>
      </c>
      <c r="M54" s="344"/>
      <c r="N54" s="434">
        <v>9000</v>
      </c>
      <c r="O54" s="849"/>
      <c r="P54" s="849"/>
      <c r="Q54" s="434">
        <f t="shared" si="2"/>
        <v>9000</v>
      </c>
      <c r="R54" s="344"/>
      <c r="S54" s="434">
        <f>65645+11250</f>
        <v>76895</v>
      </c>
      <c r="T54" s="849">
        <v>2462</v>
      </c>
      <c r="U54" s="849"/>
      <c r="V54" s="434">
        <f t="shared" si="3"/>
        <v>79357</v>
      </c>
      <c r="W54" s="455" t="s">
        <v>53</v>
      </c>
      <c r="X54" s="333" t="s">
        <v>53</v>
      </c>
    </row>
    <row r="55" spans="1:24" s="451" customFormat="1" ht="25.5" customHeight="1" x14ac:dyDescent="0.2">
      <c r="A55" s="450"/>
      <c r="B55" s="456">
        <v>580558641</v>
      </c>
      <c r="C55" s="88" t="s">
        <v>2501</v>
      </c>
      <c r="D55" s="344"/>
      <c r="E55" s="434">
        <f>112500+84797</f>
        <v>197297</v>
      </c>
      <c r="F55" s="849"/>
      <c r="G55" s="434">
        <f t="shared" si="4"/>
        <v>197297</v>
      </c>
      <c r="H55" s="344"/>
      <c r="I55" s="434">
        <f>96154+128924</f>
        <v>225078</v>
      </c>
      <c r="J55" s="849"/>
      <c r="K55" s="849">
        <v>30159</v>
      </c>
      <c r="L55" s="434">
        <f t="shared" si="5"/>
        <v>255237</v>
      </c>
      <c r="M55" s="344"/>
      <c r="N55" s="434">
        <v>100000</v>
      </c>
      <c r="O55" s="849"/>
      <c r="P55" s="849">
        <v>29705</v>
      </c>
      <c r="Q55" s="434">
        <f t="shared" si="2"/>
        <v>129705</v>
      </c>
      <c r="R55" s="344"/>
      <c r="S55" s="434"/>
      <c r="T55" s="849"/>
      <c r="U55" s="849"/>
      <c r="V55" s="434">
        <f t="shared" si="3"/>
        <v>0</v>
      </c>
      <c r="W55" s="455" t="s">
        <v>43</v>
      </c>
      <c r="X55" s="333" t="s">
        <v>9</v>
      </c>
    </row>
    <row r="56" spans="1:24" s="451" customFormat="1" ht="25.5" customHeight="1" x14ac:dyDescent="0.2">
      <c r="A56" s="450"/>
      <c r="B56" s="456">
        <v>580569002</v>
      </c>
      <c r="C56" s="88" t="s">
        <v>2502</v>
      </c>
      <c r="D56" s="344"/>
      <c r="E56" s="434">
        <v>17700</v>
      </c>
      <c r="F56" s="849"/>
      <c r="G56" s="434">
        <f t="shared" si="4"/>
        <v>17700</v>
      </c>
      <c r="H56" s="344"/>
      <c r="I56" s="434">
        <v>48277</v>
      </c>
      <c r="J56" s="849"/>
      <c r="K56" s="849"/>
      <c r="L56" s="434">
        <f t="shared" si="5"/>
        <v>48277</v>
      </c>
      <c r="M56" s="344"/>
      <c r="N56" s="434">
        <v>15000</v>
      </c>
      <c r="O56" s="849"/>
      <c r="P56" s="849"/>
      <c r="Q56" s="434">
        <f t="shared" si="2"/>
        <v>15000</v>
      </c>
      <c r="R56" s="344"/>
      <c r="S56" s="434"/>
      <c r="T56" s="849"/>
      <c r="U56" s="849"/>
      <c r="V56" s="434">
        <f t="shared" si="3"/>
        <v>0</v>
      </c>
      <c r="W56" s="445" t="s">
        <v>73</v>
      </c>
      <c r="X56" s="333" t="s">
        <v>136</v>
      </c>
    </row>
    <row r="57" spans="1:24" s="451" customFormat="1" ht="25.5" customHeight="1" x14ac:dyDescent="0.2">
      <c r="A57" s="450"/>
      <c r="B57" s="456">
        <v>580569739</v>
      </c>
      <c r="C57" s="88" t="s">
        <v>2503</v>
      </c>
      <c r="D57" s="344"/>
      <c r="E57" s="434">
        <v>62507</v>
      </c>
      <c r="F57" s="849"/>
      <c r="G57" s="434">
        <f t="shared" si="4"/>
        <v>62507</v>
      </c>
      <c r="H57" s="344"/>
      <c r="I57" s="434"/>
      <c r="J57" s="849"/>
      <c r="K57" s="849"/>
      <c r="L57" s="434">
        <f t="shared" si="5"/>
        <v>0</v>
      </c>
      <c r="M57" s="344"/>
      <c r="N57" s="434"/>
      <c r="O57" s="849"/>
      <c r="P57" s="849"/>
      <c r="Q57" s="434">
        <f t="shared" si="2"/>
        <v>0</v>
      </c>
      <c r="R57" s="344"/>
      <c r="S57" s="434"/>
      <c r="T57" s="849"/>
      <c r="U57" s="849"/>
      <c r="V57" s="434">
        <f t="shared" si="3"/>
        <v>0</v>
      </c>
      <c r="W57" s="858" t="s">
        <v>400</v>
      </c>
      <c r="X57" s="333" t="s">
        <v>32</v>
      </c>
    </row>
    <row r="58" spans="1:24" s="451" customFormat="1" ht="25.5" customHeight="1" x14ac:dyDescent="0.2">
      <c r="A58" s="450"/>
      <c r="B58" s="456">
        <v>580557379</v>
      </c>
      <c r="C58" s="88" t="s">
        <v>2504</v>
      </c>
      <c r="D58" s="344"/>
      <c r="E58" s="837">
        <v>9681</v>
      </c>
      <c r="F58" s="849"/>
      <c r="G58" s="434">
        <f t="shared" si="4"/>
        <v>9681</v>
      </c>
      <c r="H58" s="344"/>
      <c r="I58" s="434">
        <v>41917</v>
      </c>
      <c r="J58" s="849">
        <v>3108</v>
      </c>
      <c r="K58" s="849"/>
      <c r="L58" s="434">
        <f t="shared" si="5"/>
        <v>45025</v>
      </c>
      <c r="M58" s="344"/>
      <c r="N58" s="434"/>
      <c r="O58" s="849"/>
      <c r="P58" s="849"/>
      <c r="Q58" s="434">
        <f t="shared" si="2"/>
        <v>0</v>
      </c>
      <c r="R58" s="344"/>
      <c r="S58" s="434">
        <v>6713</v>
      </c>
      <c r="T58" s="849"/>
      <c r="U58" s="849"/>
      <c r="V58" s="434">
        <f t="shared" si="3"/>
        <v>6713</v>
      </c>
      <c r="W58" s="455" t="s">
        <v>53</v>
      </c>
      <c r="X58" s="333" t="s">
        <v>53</v>
      </c>
    </row>
    <row r="59" spans="1:24" s="451" customFormat="1" ht="25.5" customHeight="1" x14ac:dyDescent="0.2">
      <c r="A59" s="450"/>
      <c r="B59" s="456">
        <v>512102575</v>
      </c>
      <c r="C59" s="88" t="s">
        <v>2972</v>
      </c>
      <c r="D59" s="344"/>
      <c r="E59" s="434"/>
      <c r="F59" s="849"/>
      <c r="G59" s="434"/>
      <c r="H59" s="344"/>
      <c r="I59" s="434">
        <v>70225</v>
      </c>
      <c r="J59" s="849"/>
      <c r="K59" s="849"/>
      <c r="L59" s="434">
        <f t="shared" si="5"/>
        <v>70225</v>
      </c>
      <c r="M59" s="344"/>
      <c r="N59" s="434"/>
      <c r="O59" s="849"/>
      <c r="P59" s="849"/>
      <c r="Q59" s="434">
        <f t="shared" si="2"/>
        <v>0</v>
      </c>
      <c r="R59" s="344"/>
      <c r="S59" s="434"/>
      <c r="T59" s="849"/>
      <c r="U59" s="849"/>
      <c r="V59" s="434">
        <f t="shared" si="3"/>
        <v>0</v>
      </c>
      <c r="W59" s="455" t="s">
        <v>1484</v>
      </c>
      <c r="X59" s="333" t="s">
        <v>1306</v>
      </c>
    </row>
    <row r="60" spans="1:24" s="451" customFormat="1" ht="25.5" customHeight="1" x14ac:dyDescent="0.2">
      <c r="A60" s="450"/>
      <c r="B60" s="456">
        <v>580299618</v>
      </c>
      <c r="C60" s="88" t="s">
        <v>2973</v>
      </c>
      <c r="D60" s="344"/>
      <c r="E60" s="434"/>
      <c r="F60" s="849"/>
      <c r="G60" s="434"/>
      <c r="H60" s="344"/>
      <c r="I60" s="837" t="s">
        <v>3061</v>
      </c>
      <c r="J60" s="849"/>
      <c r="K60" s="849"/>
      <c r="L60" s="837">
        <f t="shared" si="5"/>
        <v>0</v>
      </c>
      <c r="M60" s="344"/>
      <c r="N60" s="434"/>
      <c r="O60" s="849"/>
      <c r="P60" s="434"/>
      <c r="Q60" s="434">
        <f t="shared" si="2"/>
        <v>0</v>
      </c>
      <c r="R60" s="344"/>
      <c r="S60" s="434"/>
      <c r="T60" s="849"/>
      <c r="U60" s="434"/>
      <c r="V60" s="434">
        <f t="shared" si="3"/>
        <v>0</v>
      </c>
      <c r="W60" s="445" t="s">
        <v>73</v>
      </c>
      <c r="X60" s="333" t="s">
        <v>136</v>
      </c>
    </row>
    <row r="61" spans="1:24" s="451" customFormat="1" ht="25.5" customHeight="1" x14ac:dyDescent="0.2">
      <c r="A61" s="450"/>
      <c r="B61" s="456">
        <v>580390565</v>
      </c>
      <c r="C61" s="88" t="s">
        <v>1296</v>
      </c>
      <c r="D61" s="344"/>
      <c r="E61" s="434"/>
      <c r="F61" s="849"/>
      <c r="G61" s="434"/>
      <c r="H61" s="344"/>
      <c r="I61" s="434">
        <v>36058</v>
      </c>
      <c r="J61" s="849"/>
      <c r="K61" s="849"/>
      <c r="L61" s="434">
        <f t="shared" si="5"/>
        <v>36058</v>
      </c>
      <c r="M61" s="344"/>
      <c r="N61" s="434">
        <v>12000</v>
      </c>
      <c r="O61" s="849"/>
      <c r="P61" s="849"/>
      <c r="Q61" s="434">
        <f t="shared" si="2"/>
        <v>12000</v>
      </c>
      <c r="R61" s="344"/>
      <c r="S61" s="434"/>
      <c r="T61" s="849"/>
      <c r="U61" s="849"/>
      <c r="V61" s="434">
        <f t="shared" si="3"/>
        <v>0</v>
      </c>
      <c r="W61" s="858" t="s">
        <v>670</v>
      </c>
      <c r="X61" s="333" t="s">
        <v>12</v>
      </c>
    </row>
    <row r="62" spans="1:24" s="451" customFormat="1" ht="25.5" customHeight="1" x14ac:dyDescent="0.2">
      <c r="A62" s="450"/>
      <c r="B62" s="456">
        <v>580365849</v>
      </c>
      <c r="C62" s="88" t="s">
        <v>2974</v>
      </c>
      <c r="D62" s="344"/>
      <c r="E62" s="434"/>
      <c r="F62" s="849"/>
      <c r="G62" s="434"/>
      <c r="H62" s="344"/>
      <c r="I62" s="434">
        <v>101937</v>
      </c>
      <c r="J62" s="849"/>
      <c r="K62" s="849"/>
      <c r="L62" s="434">
        <f t="shared" si="5"/>
        <v>101937</v>
      </c>
      <c r="M62" s="344"/>
      <c r="N62" s="434">
        <v>174092</v>
      </c>
      <c r="O62" s="849"/>
      <c r="P62" s="849"/>
      <c r="Q62" s="434">
        <f t="shared" si="2"/>
        <v>174092</v>
      </c>
      <c r="R62" s="344"/>
      <c r="S62" s="434">
        <v>187443</v>
      </c>
      <c r="T62" s="849"/>
      <c r="U62" s="849"/>
      <c r="V62" s="434">
        <f t="shared" si="3"/>
        <v>187443</v>
      </c>
      <c r="W62" s="858" t="s">
        <v>416</v>
      </c>
      <c r="X62" s="333" t="s">
        <v>136</v>
      </c>
    </row>
    <row r="63" spans="1:24" s="451" customFormat="1" ht="25.5" customHeight="1" x14ac:dyDescent="0.2">
      <c r="A63" s="450"/>
      <c r="B63" s="456">
        <v>580471118</v>
      </c>
      <c r="C63" s="88" t="s">
        <v>2534</v>
      </c>
      <c r="D63" s="344"/>
      <c r="E63" s="434"/>
      <c r="F63" s="849"/>
      <c r="G63" s="434"/>
      <c r="H63" s="344"/>
      <c r="I63" s="434">
        <v>79327</v>
      </c>
      <c r="J63" s="849"/>
      <c r="K63" s="849"/>
      <c r="L63" s="434">
        <f t="shared" si="5"/>
        <v>79327</v>
      </c>
      <c r="M63" s="344"/>
      <c r="N63" s="434">
        <v>52500</v>
      </c>
      <c r="O63" s="849"/>
      <c r="P63" s="849"/>
      <c r="Q63" s="434">
        <f t="shared" si="2"/>
        <v>52500</v>
      </c>
      <c r="R63" s="344"/>
      <c r="S63" s="434">
        <v>22500</v>
      </c>
      <c r="T63" s="849"/>
      <c r="U63" s="849"/>
      <c r="V63" s="434">
        <f t="shared" si="3"/>
        <v>22500</v>
      </c>
      <c r="W63" s="858" t="s">
        <v>1206</v>
      </c>
      <c r="X63" s="333" t="s">
        <v>9</v>
      </c>
    </row>
    <row r="64" spans="1:24" s="451" customFormat="1" ht="25.5" customHeight="1" x14ac:dyDescent="0.2">
      <c r="A64" s="450"/>
      <c r="B64" s="456">
        <v>580571206</v>
      </c>
      <c r="C64" s="88" t="s">
        <v>2976</v>
      </c>
      <c r="D64" s="344"/>
      <c r="E64" s="434"/>
      <c r="F64" s="849"/>
      <c r="G64" s="434"/>
      <c r="H64" s="344"/>
      <c r="I64" s="434">
        <v>10592</v>
      </c>
      <c r="J64" s="849"/>
      <c r="K64" s="849"/>
      <c r="L64" s="434">
        <f t="shared" si="5"/>
        <v>10592</v>
      </c>
      <c r="M64" s="344"/>
      <c r="N64" s="434"/>
      <c r="O64" s="849"/>
      <c r="P64" s="849"/>
      <c r="Q64" s="434">
        <f t="shared" si="2"/>
        <v>0</v>
      </c>
      <c r="R64" s="344"/>
      <c r="S64" s="434">
        <v>6000</v>
      </c>
      <c r="T64" s="849"/>
      <c r="U64" s="849"/>
      <c r="V64" s="434">
        <f t="shared" si="3"/>
        <v>6000</v>
      </c>
      <c r="W64" s="445" t="s">
        <v>73</v>
      </c>
      <c r="X64" s="333" t="s">
        <v>136</v>
      </c>
    </row>
    <row r="65" spans="1:24" s="451" customFormat="1" ht="25.5" customHeight="1" x14ac:dyDescent="0.2">
      <c r="A65" s="450"/>
      <c r="B65" s="456">
        <v>580529113</v>
      </c>
      <c r="C65" s="88" t="s">
        <v>2975</v>
      </c>
      <c r="D65" s="344"/>
      <c r="E65" s="434"/>
      <c r="F65" s="849"/>
      <c r="G65" s="434"/>
      <c r="H65" s="344"/>
      <c r="I65" s="434">
        <v>69937</v>
      </c>
      <c r="J65" s="849"/>
      <c r="K65" s="849"/>
      <c r="L65" s="434">
        <f t="shared" si="5"/>
        <v>69937</v>
      </c>
      <c r="M65" s="344"/>
      <c r="N65" s="434">
        <v>12000</v>
      </c>
      <c r="O65" s="849"/>
      <c r="P65" s="849"/>
      <c r="Q65" s="434">
        <f t="shared" si="2"/>
        <v>12000</v>
      </c>
      <c r="R65" s="344"/>
      <c r="S65" s="434"/>
      <c r="T65" s="849"/>
      <c r="U65" s="849"/>
      <c r="V65" s="434">
        <f t="shared" si="3"/>
        <v>0</v>
      </c>
      <c r="W65" s="445" t="s">
        <v>73</v>
      </c>
      <c r="X65" s="333" t="s">
        <v>136</v>
      </c>
    </row>
    <row r="66" spans="1:24" s="451" customFormat="1" ht="25.5" customHeight="1" x14ac:dyDescent="0.2">
      <c r="A66" s="450"/>
      <c r="B66" s="456">
        <v>580593861</v>
      </c>
      <c r="C66" s="88" t="s">
        <v>2977</v>
      </c>
      <c r="D66" s="344"/>
      <c r="E66" s="434"/>
      <c r="F66" s="849"/>
      <c r="G66" s="434"/>
      <c r="H66" s="344"/>
      <c r="I66" s="434">
        <v>119974</v>
      </c>
      <c r="J66" s="849"/>
      <c r="K66" s="849"/>
      <c r="L66" s="434">
        <f t="shared" ref="L66:L67" si="6">SUM(I66:K66)</f>
        <v>119974</v>
      </c>
      <c r="M66" s="344"/>
      <c r="N66" s="434"/>
      <c r="O66" s="849"/>
      <c r="P66" s="849"/>
      <c r="Q66" s="434">
        <f t="shared" si="2"/>
        <v>0</v>
      </c>
      <c r="R66" s="344"/>
      <c r="S66" s="434">
        <v>210000</v>
      </c>
      <c r="T66" s="849"/>
      <c r="U66" s="849"/>
      <c r="V66" s="434">
        <f t="shared" si="3"/>
        <v>210000</v>
      </c>
      <c r="W66" s="858" t="s">
        <v>2978</v>
      </c>
      <c r="X66" s="333" t="s">
        <v>12</v>
      </c>
    </row>
    <row r="67" spans="1:24" s="451" customFormat="1" ht="25.5" customHeight="1" x14ac:dyDescent="0.2">
      <c r="A67" s="450"/>
      <c r="B67" s="456" t="s">
        <v>3129</v>
      </c>
      <c r="C67" s="88" t="s">
        <v>3130</v>
      </c>
      <c r="D67" s="344"/>
      <c r="E67" s="434"/>
      <c r="F67" s="849"/>
      <c r="G67" s="434"/>
      <c r="H67" s="344"/>
      <c r="I67" s="434"/>
      <c r="J67" s="849"/>
      <c r="K67" s="849"/>
      <c r="L67" s="434">
        <f t="shared" si="6"/>
        <v>0</v>
      </c>
      <c r="M67" s="344"/>
      <c r="N67" s="434">
        <v>27000</v>
      </c>
      <c r="O67" s="849"/>
      <c r="P67" s="849"/>
      <c r="Q67" s="434">
        <f t="shared" si="2"/>
        <v>27000</v>
      </c>
      <c r="R67" s="344"/>
      <c r="S67" s="434">
        <f>78362+24750</f>
        <v>103112</v>
      </c>
      <c r="T67" s="849"/>
      <c r="U67" s="849"/>
      <c r="V67" s="434">
        <f t="shared" si="3"/>
        <v>103112</v>
      </c>
      <c r="W67" s="858" t="s">
        <v>2354</v>
      </c>
      <c r="X67" s="333" t="s">
        <v>32</v>
      </c>
    </row>
    <row r="68" spans="1:24" s="451" customFormat="1" ht="25.5" customHeight="1" x14ac:dyDescent="0.2">
      <c r="A68" s="450"/>
      <c r="B68" s="456" t="s">
        <v>3131</v>
      </c>
      <c r="C68" s="88" t="s">
        <v>288</v>
      </c>
      <c r="D68" s="344"/>
      <c r="E68" s="434"/>
      <c r="F68" s="849"/>
      <c r="G68" s="434"/>
      <c r="H68" s="344"/>
      <c r="I68" s="434"/>
      <c r="J68" s="849"/>
      <c r="K68" s="849"/>
      <c r="L68" s="434"/>
      <c r="M68" s="344"/>
      <c r="N68" s="434">
        <v>67500</v>
      </c>
      <c r="O68" s="849"/>
      <c r="P68" s="849"/>
      <c r="Q68" s="434">
        <f t="shared" si="2"/>
        <v>67500</v>
      </c>
      <c r="R68" s="344"/>
      <c r="S68" s="434">
        <v>12000</v>
      </c>
      <c r="T68" s="849"/>
      <c r="U68" s="849"/>
      <c r="V68" s="434">
        <f t="shared" si="3"/>
        <v>12000</v>
      </c>
      <c r="W68" s="445" t="s">
        <v>73</v>
      </c>
      <c r="X68" s="333" t="s">
        <v>136</v>
      </c>
    </row>
    <row r="69" spans="1:24" s="451" customFormat="1" ht="25.5" customHeight="1" x14ac:dyDescent="0.2">
      <c r="A69" s="450"/>
      <c r="B69" s="456" t="s">
        <v>2349</v>
      </c>
      <c r="C69" s="88" t="s">
        <v>3132</v>
      </c>
      <c r="D69" s="344"/>
      <c r="E69" s="434"/>
      <c r="F69" s="849"/>
      <c r="G69" s="434"/>
      <c r="H69" s="344"/>
      <c r="I69" s="434"/>
      <c r="J69" s="849"/>
      <c r="K69" s="849"/>
      <c r="L69" s="434"/>
      <c r="M69" s="344"/>
      <c r="N69" s="434">
        <v>97770</v>
      </c>
      <c r="O69" s="849"/>
      <c r="P69" s="849"/>
      <c r="Q69" s="434">
        <f t="shared" si="2"/>
        <v>97770</v>
      </c>
      <c r="R69" s="344"/>
      <c r="S69" s="434">
        <f>116311+35000</f>
        <v>151311</v>
      </c>
      <c r="T69" s="849"/>
      <c r="U69" s="849"/>
      <c r="V69" s="434">
        <f t="shared" si="3"/>
        <v>151311</v>
      </c>
      <c r="W69" s="858" t="s">
        <v>416</v>
      </c>
      <c r="X69" s="333" t="s">
        <v>136</v>
      </c>
    </row>
    <row r="70" spans="1:24" s="451" customFormat="1" ht="25.5" customHeight="1" x14ac:dyDescent="0.2">
      <c r="A70" s="450"/>
      <c r="B70" s="456" t="s">
        <v>3133</v>
      </c>
      <c r="C70" s="88" t="s">
        <v>3134</v>
      </c>
      <c r="D70" s="344"/>
      <c r="E70" s="434"/>
      <c r="F70" s="849"/>
      <c r="G70" s="434"/>
      <c r="H70" s="344"/>
      <c r="I70" s="434"/>
      <c r="J70" s="849"/>
      <c r="K70" s="849"/>
      <c r="L70" s="434"/>
      <c r="M70" s="344"/>
      <c r="N70" s="434">
        <v>27452</v>
      </c>
      <c r="O70" s="849"/>
      <c r="P70" s="849"/>
      <c r="Q70" s="434">
        <f t="shared" si="2"/>
        <v>27452</v>
      </c>
      <c r="R70" s="344"/>
      <c r="S70" s="434">
        <v>30877</v>
      </c>
      <c r="T70" s="849"/>
      <c r="U70" s="849"/>
      <c r="V70" s="434">
        <f t="shared" si="3"/>
        <v>30877</v>
      </c>
      <c r="W70" s="858" t="s">
        <v>3135</v>
      </c>
      <c r="X70" s="333" t="s">
        <v>136</v>
      </c>
    </row>
    <row r="71" spans="1:24" s="451" customFormat="1" ht="25.5" customHeight="1" x14ac:dyDescent="0.2">
      <c r="A71" s="450"/>
      <c r="B71" s="456" t="s">
        <v>3136</v>
      </c>
      <c r="C71" s="88" t="s">
        <v>3137</v>
      </c>
      <c r="D71" s="344"/>
      <c r="E71" s="434"/>
      <c r="F71" s="849"/>
      <c r="G71" s="434"/>
      <c r="H71" s="344"/>
      <c r="I71" s="434"/>
      <c r="J71" s="849"/>
      <c r="K71" s="849"/>
      <c r="L71" s="434"/>
      <c r="M71" s="344"/>
      <c r="N71" s="434">
        <v>42000</v>
      </c>
      <c r="O71" s="849"/>
      <c r="P71" s="849"/>
      <c r="Q71" s="434">
        <f t="shared" si="2"/>
        <v>42000</v>
      </c>
      <c r="R71" s="344"/>
      <c r="S71" s="434">
        <v>90000</v>
      </c>
      <c r="T71" s="849"/>
      <c r="U71" s="849"/>
      <c r="V71" s="434">
        <f t="shared" si="3"/>
        <v>90000</v>
      </c>
      <c r="W71" s="858" t="s">
        <v>408</v>
      </c>
      <c r="X71" s="333" t="s">
        <v>136</v>
      </c>
    </row>
    <row r="72" spans="1:24" s="451" customFormat="1" ht="25.5" customHeight="1" x14ac:dyDescent="0.2">
      <c r="A72" s="450"/>
      <c r="B72" s="456">
        <v>580605723</v>
      </c>
      <c r="C72" s="88" t="s">
        <v>3273</v>
      </c>
      <c r="D72" s="344"/>
      <c r="E72" s="434"/>
      <c r="F72" s="849"/>
      <c r="G72" s="434"/>
      <c r="H72" s="344"/>
      <c r="I72" s="434"/>
      <c r="J72" s="849"/>
      <c r="K72" s="849"/>
      <c r="L72" s="434"/>
      <c r="M72" s="344"/>
      <c r="N72" s="434"/>
      <c r="O72" s="849"/>
      <c r="P72" s="849"/>
      <c r="Q72" s="434"/>
      <c r="R72" s="344"/>
      <c r="S72" s="434">
        <v>131250</v>
      </c>
      <c r="T72" s="849"/>
      <c r="U72" s="849"/>
      <c r="V72" s="434">
        <f t="shared" si="3"/>
        <v>131250</v>
      </c>
      <c r="W72" s="455" t="s">
        <v>53</v>
      </c>
      <c r="X72" s="333" t="s">
        <v>53</v>
      </c>
    </row>
    <row r="73" spans="1:24" s="451" customFormat="1" ht="25.5" customHeight="1" x14ac:dyDescent="0.2">
      <c r="A73" s="450"/>
      <c r="B73" s="456">
        <v>580044873</v>
      </c>
      <c r="C73" s="88" t="s">
        <v>714</v>
      </c>
      <c r="D73" s="344"/>
      <c r="E73" s="434"/>
      <c r="F73" s="849"/>
      <c r="G73" s="434"/>
      <c r="H73" s="344"/>
      <c r="I73" s="434"/>
      <c r="J73" s="849"/>
      <c r="K73" s="849"/>
      <c r="L73" s="434"/>
      <c r="M73" s="344"/>
      <c r="N73" s="434"/>
      <c r="O73" s="849"/>
      <c r="P73" s="849"/>
      <c r="Q73" s="434"/>
      <c r="R73" s="344"/>
      <c r="S73" s="434">
        <v>60000</v>
      </c>
      <c r="T73" s="849"/>
      <c r="U73" s="849"/>
      <c r="V73" s="434">
        <f t="shared" si="3"/>
        <v>60000</v>
      </c>
      <c r="W73" s="445" t="s">
        <v>73</v>
      </c>
      <c r="X73" s="333" t="s">
        <v>136</v>
      </c>
    </row>
    <row r="74" spans="1:24" s="451" customFormat="1" ht="25.5" customHeight="1" x14ac:dyDescent="0.2">
      <c r="A74" s="450"/>
      <c r="B74" s="456">
        <v>580572592</v>
      </c>
      <c r="C74" s="88" t="s">
        <v>3275</v>
      </c>
      <c r="D74" s="344"/>
      <c r="E74" s="434"/>
      <c r="F74" s="849"/>
      <c r="G74" s="434"/>
      <c r="H74" s="344"/>
      <c r="I74" s="434"/>
      <c r="J74" s="849"/>
      <c r="K74" s="849"/>
      <c r="L74" s="434"/>
      <c r="M74" s="344"/>
      <c r="N74" s="434"/>
      <c r="O74" s="849"/>
      <c r="P74" s="849"/>
      <c r="Q74" s="434"/>
      <c r="R74" s="344"/>
      <c r="S74" s="434">
        <v>75791</v>
      </c>
      <c r="T74" s="849"/>
      <c r="U74" s="849"/>
      <c r="V74" s="434">
        <f t="shared" si="3"/>
        <v>75791</v>
      </c>
      <c r="W74" s="445" t="s">
        <v>73</v>
      </c>
      <c r="X74" s="333" t="s">
        <v>136</v>
      </c>
    </row>
    <row r="75" spans="1:24" s="451" customFormat="1" ht="25.5" customHeight="1" x14ac:dyDescent="0.2">
      <c r="A75" s="450"/>
      <c r="B75" s="456">
        <v>580303469</v>
      </c>
      <c r="C75" s="88" t="s">
        <v>3283</v>
      </c>
      <c r="D75" s="344"/>
      <c r="E75" s="434"/>
      <c r="F75" s="849"/>
      <c r="G75" s="434"/>
      <c r="H75" s="344"/>
      <c r="I75" s="434"/>
      <c r="J75" s="849"/>
      <c r="K75" s="849"/>
      <c r="L75" s="434"/>
      <c r="M75" s="344"/>
      <c r="N75" s="434"/>
      <c r="O75" s="849"/>
      <c r="P75" s="849"/>
      <c r="Q75" s="434"/>
      <c r="R75" s="344"/>
      <c r="S75" s="434">
        <v>39375</v>
      </c>
      <c r="T75" s="849"/>
      <c r="U75" s="849"/>
      <c r="V75" s="434">
        <f t="shared" si="3"/>
        <v>39375</v>
      </c>
      <c r="W75" s="455" t="s">
        <v>53</v>
      </c>
      <c r="X75" s="333" t="s">
        <v>53</v>
      </c>
    </row>
    <row r="76" spans="1:24" s="451" customFormat="1" ht="25.5" customHeight="1" x14ac:dyDescent="0.2">
      <c r="A76" s="450"/>
      <c r="B76" s="456">
        <v>580605137</v>
      </c>
      <c r="C76" s="88" t="s">
        <v>3284</v>
      </c>
      <c r="D76" s="344"/>
      <c r="E76" s="434"/>
      <c r="F76" s="849"/>
      <c r="G76" s="434"/>
      <c r="H76" s="344"/>
      <c r="I76" s="434"/>
      <c r="J76" s="849"/>
      <c r="K76" s="849"/>
      <c r="L76" s="434"/>
      <c r="M76" s="344"/>
      <c r="N76" s="434"/>
      <c r="O76" s="849"/>
      <c r="P76" s="849"/>
      <c r="Q76" s="434"/>
      <c r="R76" s="344"/>
      <c r="S76" s="434">
        <v>39375</v>
      </c>
      <c r="T76" s="849"/>
      <c r="U76" s="849"/>
      <c r="V76" s="434">
        <f t="shared" si="3"/>
        <v>39375</v>
      </c>
      <c r="W76" s="455" t="s">
        <v>2433</v>
      </c>
      <c r="X76" s="333" t="s">
        <v>9</v>
      </c>
    </row>
    <row r="77" spans="1:24" s="451" customFormat="1" ht="25.5" customHeight="1" x14ac:dyDescent="0.2">
      <c r="A77" s="450"/>
      <c r="B77" s="456">
        <v>580504942</v>
      </c>
      <c r="C77" s="88" t="s">
        <v>1199</v>
      </c>
      <c r="D77" s="344"/>
      <c r="E77" s="434">
        <v>140314</v>
      </c>
      <c r="F77" s="849">
        <v>32539.11135482337</v>
      </c>
      <c r="G77" s="434">
        <f t="shared" si="4"/>
        <v>172853.11135482337</v>
      </c>
      <c r="H77" s="344"/>
      <c r="I77" s="434">
        <f>178033+64303</f>
        <v>242336</v>
      </c>
      <c r="J77" s="849">
        <v>45048</v>
      </c>
      <c r="K77" s="849"/>
      <c r="L77" s="434">
        <f t="shared" ref="L77:L98" si="7">SUM(I77:K77)</f>
        <v>287384</v>
      </c>
      <c r="M77" s="344"/>
      <c r="N77" s="434">
        <f>219086+4500</f>
        <v>223586</v>
      </c>
      <c r="O77" s="849">
        <v>73156.12561405891</v>
      </c>
      <c r="P77" s="849"/>
      <c r="Q77" s="434">
        <f t="shared" ref="Q77" si="8">SUM(N77:P77)</f>
        <v>296742.12561405892</v>
      </c>
      <c r="R77" s="344"/>
      <c r="S77" s="434">
        <f>211556+7500</f>
        <v>219056</v>
      </c>
      <c r="T77" s="849">
        <v>61152</v>
      </c>
      <c r="U77" s="849"/>
      <c r="V77" s="434">
        <f t="shared" ref="V77" si="9">SUM(S77:U77)</f>
        <v>280208</v>
      </c>
      <c r="W77" s="455" t="s">
        <v>53</v>
      </c>
      <c r="X77" s="333" t="s">
        <v>53</v>
      </c>
    </row>
    <row r="78" spans="1:24" s="338" customFormat="1" ht="18" x14ac:dyDescent="0.25">
      <c r="B78" s="459" t="s">
        <v>475</v>
      </c>
      <c r="C78" s="460"/>
      <c r="D78" s="344"/>
      <c r="E78" s="408">
        <f>SUM(E79:E98)</f>
        <v>1701239</v>
      </c>
      <c r="F78" s="408">
        <f>SUM(F79:F98)</f>
        <v>0</v>
      </c>
      <c r="G78" s="408">
        <f>SUM(G79:G98)</f>
        <v>1701239</v>
      </c>
      <c r="H78" s="344"/>
      <c r="I78" s="408">
        <f>SUM(I79:I98)</f>
        <v>1801389</v>
      </c>
      <c r="J78" s="408">
        <f>SUM(J79:J98)</f>
        <v>0</v>
      </c>
      <c r="K78" s="408">
        <f>SUM(K79:K98)</f>
        <v>195616</v>
      </c>
      <c r="L78" s="408">
        <f>SUM(L79:L98)</f>
        <v>1997005</v>
      </c>
      <c r="M78" s="344"/>
      <c r="N78" s="408">
        <f>SUM(N79:N98)</f>
        <v>2070450</v>
      </c>
      <c r="O78" s="408">
        <f>SUM(O79:O98)</f>
        <v>0</v>
      </c>
      <c r="P78" s="408">
        <f>SUM(P79:P98)</f>
        <v>192648</v>
      </c>
      <c r="Q78" s="408">
        <f>SUM(Q79:Q98)</f>
        <v>2263098</v>
      </c>
      <c r="R78" s="344"/>
      <c r="S78" s="408">
        <f>SUM(S79:S98)</f>
        <v>1943044</v>
      </c>
      <c r="T78" s="408">
        <f>SUM(T79:T98)</f>
        <v>0</v>
      </c>
      <c r="U78" s="408">
        <f>SUM(U79:U98)</f>
        <v>286907</v>
      </c>
      <c r="V78" s="408">
        <f>SUM(V79:V98)</f>
        <v>2229951</v>
      </c>
      <c r="W78" s="461"/>
      <c r="X78" s="462"/>
    </row>
    <row r="79" spans="1:24" s="451" customFormat="1" ht="23.25" customHeight="1" x14ac:dyDescent="0.2">
      <c r="A79" s="450"/>
      <c r="B79" s="464">
        <v>500250006</v>
      </c>
      <c r="C79" s="465" t="s">
        <v>1200</v>
      </c>
      <c r="D79" s="453"/>
      <c r="E79" s="434">
        <v>22500</v>
      </c>
      <c r="F79" s="354"/>
      <c r="G79" s="434">
        <f t="shared" ref="G79:G98" si="10">SUM(E79:F79)</f>
        <v>22500</v>
      </c>
      <c r="H79" s="453"/>
      <c r="I79" s="434"/>
      <c r="J79" s="354"/>
      <c r="K79" s="354"/>
      <c r="L79" s="434">
        <f t="shared" si="7"/>
        <v>0</v>
      </c>
      <c r="M79" s="453"/>
      <c r="N79" s="434"/>
      <c r="O79" s="354"/>
      <c r="P79" s="354"/>
      <c r="Q79" s="434">
        <f t="shared" ref="Q79:Q98" si="11">SUM(N79:P79)</f>
        <v>0</v>
      </c>
      <c r="R79" s="453"/>
      <c r="S79" s="434">
        <v>39375</v>
      </c>
      <c r="T79" s="354"/>
      <c r="U79" s="354"/>
      <c r="V79" s="434">
        <f t="shared" ref="V79:V98" si="12">SUM(S79:U79)</f>
        <v>39375</v>
      </c>
      <c r="W79" s="445" t="s">
        <v>73</v>
      </c>
      <c r="X79" s="333" t="s">
        <v>136</v>
      </c>
    </row>
    <row r="80" spans="1:24" ht="23.25" customHeight="1" x14ac:dyDescent="0.2">
      <c r="A80" s="444">
        <v>45</v>
      </c>
      <c r="B80" s="464">
        <v>500250006</v>
      </c>
      <c r="C80" s="209" t="s">
        <v>1201</v>
      </c>
      <c r="E80" s="434">
        <v>70000</v>
      </c>
      <c r="F80" s="354"/>
      <c r="G80" s="434">
        <f t="shared" si="10"/>
        <v>70000</v>
      </c>
      <c r="I80" s="434">
        <v>66147</v>
      </c>
      <c r="J80" s="354"/>
      <c r="K80" s="354"/>
      <c r="L80" s="434">
        <f t="shared" si="7"/>
        <v>66147</v>
      </c>
      <c r="N80" s="434">
        <v>96566</v>
      </c>
      <c r="O80" s="354"/>
      <c r="P80" s="354"/>
      <c r="Q80" s="434">
        <f t="shared" si="11"/>
        <v>96566</v>
      </c>
      <c r="S80" s="434">
        <v>56230</v>
      </c>
      <c r="T80" s="354"/>
      <c r="U80" s="354"/>
      <c r="V80" s="434">
        <f t="shared" si="12"/>
        <v>56230</v>
      </c>
      <c r="W80" s="445" t="s">
        <v>73</v>
      </c>
      <c r="X80" s="333" t="s">
        <v>136</v>
      </c>
    </row>
    <row r="81" spans="1:24" s="451" customFormat="1" ht="25.5" x14ac:dyDescent="0.2">
      <c r="A81" s="450"/>
      <c r="B81" s="195">
        <v>500262381</v>
      </c>
      <c r="C81" s="209" t="s">
        <v>1203</v>
      </c>
      <c r="D81" s="453"/>
      <c r="E81" s="434">
        <v>157128</v>
      </c>
      <c r="F81" s="454"/>
      <c r="G81" s="434">
        <f t="shared" si="10"/>
        <v>157128</v>
      </c>
      <c r="H81" s="453"/>
      <c r="I81" s="434">
        <v>159171</v>
      </c>
      <c r="J81" s="454"/>
      <c r="K81" s="849">
        <v>55884</v>
      </c>
      <c r="L81" s="434">
        <f t="shared" si="7"/>
        <v>215055</v>
      </c>
      <c r="M81" s="453"/>
      <c r="N81" s="434">
        <v>191490</v>
      </c>
      <c r="O81" s="454"/>
      <c r="P81" s="849">
        <v>55044</v>
      </c>
      <c r="Q81" s="434">
        <f t="shared" si="11"/>
        <v>246534</v>
      </c>
      <c r="R81" s="453"/>
      <c r="S81" s="434">
        <f>154504+6750</f>
        <v>161254</v>
      </c>
      <c r="T81" s="454"/>
      <c r="U81" s="921">
        <f>60000+15437</f>
        <v>75437</v>
      </c>
      <c r="V81" s="434">
        <f t="shared" si="12"/>
        <v>236691</v>
      </c>
      <c r="W81" s="445" t="s">
        <v>1204</v>
      </c>
      <c r="X81" s="333" t="s">
        <v>32</v>
      </c>
    </row>
    <row r="82" spans="1:24" ht="50.25" customHeight="1" x14ac:dyDescent="0.2">
      <c r="A82" s="450"/>
      <c r="B82" s="195">
        <v>500224043</v>
      </c>
      <c r="C82" s="109" t="s">
        <v>1205</v>
      </c>
      <c r="E82" s="837">
        <f>134441+85000+51033+122408</f>
        <v>392882</v>
      </c>
      <c r="F82" s="454"/>
      <c r="G82" s="434">
        <f t="shared" si="10"/>
        <v>392882</v>
      </c>
      <c r="I82" s="434">
        <f>150000+85000+120967+120000+43480+15000+20755</f>
        <v>555202</v>
      </c>
      <c r="J82" s="454"/>
      <c r="K82" s="849">
        <f>43536+47815+18150+30231</f>
        <v>139732</v>
      </c>
      <c r="L82" s="434">
        <f t="shared" si="7"/>
        <v>694934</v>
      </c>
      <c r="N82" s="434">
        <v>500000</v>
      </c>
      <c r="O82" s="454"/>
      <c r="P82" s="849">
        <v>137604</v>
      </c>
      <c r="Q82" s="434">
        <f t="shared" si="11"/>
        <v>637604</v>
      </c>
      <c r="S82" s="434">
        <f>160042+95192+131256+119060</f>
        <v>505550</v>
      </c>
      <c r="T82" s="454"/>
      <c r="U82" s="849">
        <f>63441*2+42294*2</f>
        <v>211470</v>
      </c>
      <c r="V82" s="434">
        <f t="shared" si="12"/>
        <v>717020</v>
      </c>
      <c r="W82" s="445" t="s">
        <v>2326</v>
      </c>
      <c r="X82" s="333" t="s">
        <v>9</v>
      </c>
    </row>
    <row r="83" spans="1:24" ht="28.5" customHeight="1" x14ac:dyDescent="0.2">
      <c r="A83" s="450"/>
      <c r="B83" s="235">
        <v>500283007</v>
      </c>
      <c r="C83" s="55" t="s">
        <v>1207</v>
      </c>
      <c r="E83" s="434">
        <f>27000+170125</f>
        <v>197125</v>
      </c>
      <c r="F83" s="354"/>
      <c r="G83" s="434">
        <f t="shared" si="10"/>
        <v>197125</v>
      </c>
      <c r="I83" s="837">
        <f>177872</f>
        <v>177872</v>
      </c>
      <c r="J83" s="354"/>
      <c r="K83" s="354"/>
      <c r="L83" s="434">
        <f t="shared" si="7"/>
        <v>177872</v>
      </c>
      <c r="N83" s="434">
        <v>203197</v>
      </c>
      <c r="O83" s="354"/>
      <c r="P83" s="354"/>
      <c r="Q83" s="434">
        <f t="shared" si="11"/>
        <v>203197</v>
      </c>
      <c r="S83" s="434">
        <v>180274</v>
      </c>
      <c r="T83" s="354"/>
      <c r="U83" s="354"/>
      <c r="V83" s="434">
        <f t="shared" si="12"/>
        <v>180274</v>
      </c>
      <c r="W83" s="445" t="s">
        <v>292</v>
      </c>
      <c r="X83" s="333" t="s">
        <v>12</v>
      </c>
    </row>
    <row r="84" spans="1:24" s="451" customFormat="1" ht="32.25" customHeight="1" x14ac:dyDescent="0.2">
      <c r="A84" s="450"/>
      <c r="B84" s="235">
        <v>500230008</v>
      </c>
      <c r="C84" s="209" t="s">
        <v>3282</v>
      </c>
      <c r="D84" s="453"/>
      <c r="E84" s="434">
        <f>36750+56006</f>
        <v>92756</v>
      </c>
      <c r="F84" s="354"/>
      <c r="G84" s="434">
        <f t="shared" si="10"/>
        <v>92756</v>
      </c>
      <c r="H84" s="453"/>
      <c r="I84" s="434">
        <f>91460+79928</f>
        <v>171388</v>
      </c>
      <c r="J84" s="354"/>
      <c r="K84" s="354"/>
      <c r="L84" s="434">
        <f t="shared" si="7"/>
        <v>171388</v>
      </c>
      <c r="M84" s="453"/>
      <c r="N84" s="434">
        <v>209937</v>
      </c>
      <c r="O84" s="354"/>
      <c r="P84" s="354"/>
      <c r="Q84" s="434">
        <f t="shared" si="11"/>
        <v>209937</v>
      </c>
      <c r="R84" s="453"/>
      <c r="S84" s="434">
        <f>78000+107575+139628</f>
        <v>325203</v>
      </c>
      <c r="T84" s="354"/>
      <c r="U84" s="354"/>
      <c r="V84" s="434">
        <f t="shared" si="12"/>
        <v>325203</v>
      </c>
      <c r="W84" s="445" t="s">
        <v>53</v>
      </c>
      <c r="X84" s="333" t="s">
        <v>53</v>
      </c>
    </row>
    <row r="85" spans="1:24" s="451" customFormat="1" ht="25.5" x14ac:dyDescent="0.2">
      <c r="A85" s="450"/>
      <c r="B85" s="466">
        <v>500275003</v>
      </c>
      <c r="C85" s="463" t="s">
        <v>2492</v>
      </c>
      <c r="D85" s="453"/>
      <c r="E85" s="434">
        <v>90000</v>
      </c>
      <c r="F85" s="467"/>
      <c r="G85" s="434">
        <f t="shared" si="10"/>
        <v>90000</v>
      </c>
      <c r="H85" s="453"/>
      <c r="I85" s="434">
        <v>54087</v>
      </c>
      <c r="J85" s="467"/>
      <c r="K85" s="467"/>
      <c r="L85" s="434">
        <f t="shared" si="7"/>
        <v>54087</v>
      </c>
      <c r="M85" s="453"/>
      <c r="N85" s="434"/>
      <c r="O85" s="467"/>
      <c r="P85" s="467"/>
      <c r="Q85" s="434">
        <f t="shared" si="11"/>
        <v>0</v>
      </c>
      <c r="R85" s="453"/>
      <c r="S85" s="434"/>
      <c r="T85" s="467"/>
      <c r="U85" s="467"/>
      <c r="V85" s="434">
        <f t="shared" si="12"/>
        <v>0</v>
      </c>
      <c r="W85" s="445" t="s">
        <v>25</v>
      </c>
      <c r="X85" s="333" t="s">
        <v>9</v>
      </c>
    </row>
    <row r="86" spans="1:24" s="451" customFormat="1" ht="18" customHeight="1" x14ac:dyDescent="0.2">
      <c r="A86" s="450"/>
      <c r="B86" s="466">
        <v>500284005</v>
      </c>
      <c r="C86" s="463" t="s">
        <v>1209</v>
      </c>
      <c r="D86" s="453"/>
      <c r="E86" s="434">
        <v>218595</v>
      </c>
      <c r="F86" s="467"/>
      <c r="G86" s="434">
        <f t="shared" si="10"/>
        <v>218595</v>
      </c>
      <c r="H86" s="453"/>
      <c r="I86" s="434">
        <v>207774</v>
      </c>
      <c r="J86" s="467"/>
      <c r="K86" s="467"/>
      <c r="L86" s="434">
        <f t="shared" si="7"/>
        <v>207774</v>
      </c>
      <c r="M86" s="453"/>
      <c r="N86" s="434">
        <v>226745</v>
      </c>
      <c r="O86" s="467"/>
      <c r="P86" s="467"/>
      <c r="Q86" s="434">
        <f t="shared" si="11"/>
        <v>226745</v>
      </c>
      <c r="R86" s="453"/>
      <c r="S86" s="434">
        <v>180825</v>
      </c>
      <c r="T86" s="467"/>
      <c r="U86" s="467"/>
      <c r="V86" s="434">
        <f t="shared" si="12"/>
        <v>180825</v>
      </c>
      <c r="W86" s="445" t="s">
        <v>327</v>
      </c>
      <c r="X86" s="468" t="s">
        <v>12</v>
      </c>
    </row>
    <row r="87" spans="1:24" s="451" customFormat="1" ht="25.5" x14ac:dyDescent="0.2">
      <c r="A87" s="450"/>
      <c r="B87" s="456">
        <v>500269006</v>
      </c>
      <c r="C87" s="463" t="s">
        <v>1210</v>
      </c>
      <c r="D87" s="453"/>
      <c r="E87" s="434">
        <v>60000</v>
      </c>
      <c r="F87" s="467"/>
      <c r="G87" s="434">
        <f t="shared" si="10"/>
        <v>60000</v>
      </c>
      <c r="H87" s="453"/>
      <c r="I87" s="434">
        <v>60000</v>
      </c>
      <c r="J87" s="467"/>
      <c r="K87" s="467"/>
      <c r="L87" s="434">
        <f t="shared" si="7"/>
        <v>60000</v>
      </c>
      <c r="M87" s="453"/>
      <c r="N87" s="434">
        <v>60000</v>
      </c>
      <c r="O87" s="467"/>
      <c r="P87" s="467"/>
      <c r="Q87" s="434">
        <f t="shared" si="11"/>
        <v>60000</v>
      </c>
      <c r="R87" s="453"/>
      <c r="S87" s="434">
        <v>60000</v>
      </c>
      <c r="T87" s="467"/>
      <c r="U87" s="467"/>
      <c r="V87" s="434">
        <f t="shared" si="12"/>
        <v>60000</v>
      </c>
      <c r="W87" s="445" t="s">
        <v>706</v>
      </c>
      <c r="X87" s="333" t="s">
        <v>12</v>
      </c>
    </row>
    <row r="88" spans="1:24" s="451" customFormat="1" ht="21" customHeight="1" x14ac:dyDescent="0.2">
      <c r="A88" s="450"/>
      <c r="B88" s="171">
        <v>500225602</v>
      </c>
      <c r="C88" s="134" t="s">
        <v>2355</v>
      </c>
      <c r="D88" s="453"/>
      <c r="E88" s="434">
        <v>36750</v>
      </c>
      <c r="F88" s="467"/>
      <c r="G88" s="434">
        <f t="shared" si="10"/>
        <v>36750</v>
      </c>
      <c r="H88" s="453"/>
      <c r="I88" s="434">
        <v>30199</v>
      </c>
      <c r="J88" s="467"/>
      <c r="K88" s="467"/>
      <c r="L88" s="434">
        <f t="shared" si="7"/>
        <v>30199</v>
      </c>
      <c r="M88" s="453"/>
      <c r="N88" s="434"/>
      <c r="O88" s="467"/>
      <c r="P88" s="467"/>
      <c r="Q88" s="434">
        <f t="shared" si="11"/>
        <v>0</v>
      </c>
      <c r="R88" s="453"/>
      <c r="S88" s="434"/>
      <c r="T88" s="467"/>
      <c r="U88" s="467"/>
      <c r="V88" s="434">
        <f t="shared" si="12"/>
        <v>0</v>
      </c>
      <c r="W88" s="445" t="s">
        <v>2354</v>
      </c>
      <c r="X88" s="468" t="s">
        <v>32</v>
      </c>
    </row>
    <row r="89" spans="1:24" s="451" customFormat="1" ht="21" customHeight="1" x14ac:dyDescent="0.2">
      <c r="A89" s="450"/>
      <c r="B89" s="171">
        <v>500262530</v>
      </c>
      <c r="C89" s="134" t="s">
        <v>2356</v>
      </c>
      <c r="D89" s="453"/>
      <c r="E89" s="434">
        <v>15000</v>
      </c>
      <c r="F89" s="434"/>
      <c r="G89" s="434">
        <f t="shared" si="10"/>
        <v>15000</v>
      </c>
      <c r="H89" s="453"/>
      <c r="I89" s="434">
        <v>9014</v>
      </c>
      <c r="J89" s="434"/>
      <c r="K89" s="434"/>
      <c r="L89" s="434">
        <f t="shared" si="7"/>
        <v>9014</v>
      </c>
      <c r="M89" s="453"/>
      <c r="N89" s="434"/>
      <c r="O89" s="434"/>
      <c r="P89" s="434"/>
      <c r="Q89" s="434">
        <f t="shared" si="11"/>
        <v>0</v>
      </c>
      <c r="R89" s="453"/>
      <c r="S89" s="434"/>
      <c r="T89" s="434"/>
      <c r="U89" s="434"/>
      <c r="V89" s="434">
        <f t="shared" si="12"/>
        <v>0</v>
      </c>
      <c r="W89" s="445" t="s">
        <v>2357</v>
      </c>
      <c r="X89" s="468" t="s">
        <v>32</v>
      </c>
    </row>
    <row r="90" spans="1:24" s="451" customFormat="1" ht="30.75" customHeight="1" x14ac:dyDescent="0.2">
      <c r="A90" s="450"/>
      <c r="B90" s="901">
        <v>500221015</v>
      </c>
      <c r="C90" s="134" t="s">
        <v>2490</v>
      </c>
      <c r="D90" s="453"/>
      <c r="E90" s="837">
        <v>31500</v>
      </c>
      <c r="F90" s="434"/>
      <c r="G90" s="434">
        <f t="shared" si="10"/>
        <v>31500</v>
      </c>
      <c r="H90" s="453"/>
      <c r="I90" s="434"/>
      <c r="J90" s="434"/>
      <c r="K90" s="434"/>
      <c r="L90" s="434">
        <f t="shared" si="7"/>
        <v>0</v>
      </c>
      <c r="M90" s="453"/>
      <c r="N90" s="837">
        <v>9000</v>
      </c>
      <c r="O90" s="434"/>
      <c r="P90" s="434"/>
      <c r="Q90" s="434">
        <f t="shared" si="11"/>
        <v>9000</v>
      </c>
      <c r="R90" s="453"/>
      <c r="S90" s="434"/>
      <c r="T90" s="434"/>
      <c r="U90" s="434"/>
      <c r="V90" s="434">
        <f t="shared" si="12"/>
        <v>0</v>
      </c>
      <c r="W90" s="445" t="s">
        <v>2491</v>
      </c>
      <c r="X90" s="468" t="s">
        <v>9</v>
      </c>
    </row>
    <row r="91" spans="1:24" s="451" customFormat="1" ht="30.75" customHeight="1" x14ac:dyDescent="0.2">
      <c r="A91" s="450"/>
      <c r="B91" s="901" t="s">
        <v>2578</v>
      </c>
      <c r="C91" s="860" t="s">
        <v>3127</v>
      </c>
      <c r="D91" s="453"/>
      <c r="E91" s="434"/>
      <c r="F91" s="434"/>
      <c r="G91" s="434"/>
      <c r="H91" s="453"/>
      <c r="I91" s="434"/>
      <c r="J91" s="434"/>
      <c r="K91" s="434"/>
      <c r="L91" s="434"/>
      <c r="M91" s="453"/>
      <c r="N91" s="434">
        <v>52500</v>
      </c>
      <c r="O91" s="434"/>
      <c r="P91" s="434"/>
      <c r="Q91" s="434">
        <f t="shared" si="11"/>
        <v>52500</v>
      </c>
      <c r="R91" s="453"/>
      <c r="S91" s="434"/>
      <c r="T91" s="434"/>
      <c r="U91" s="434"/>
      <c r="V91" s="434">
        <f t="shared" si="12"/>
        <v>0</v>
      </c>
      <c r="W91" s="445" t="s">
        <v>68</v>
      </c>
      <c r="X91" s="468" t="s">
        <v>9</v>
      </c>
    </row>
    <row r="92" spans="1:24" s="451" customFormat="1" ht="30.75" customHeight="1" x14ac:dyDescent="0.2">
      <c r="A92" s="450"/>
      <c r="B92" s="901" t="s">
        <v>2466</v>
      </c>
      <c r="C92" s="860" t="s">
        <v>3128</v>
      </c>
      <c r="D92" s="453"/>
      <c r="E92" s="434"/>
      <c r="F92" s="434"/>
      <c r="G92" s="434"/>
      <c r="H92" s="453"/>
      <c r="I92" s="434"/>
      <c r="J92" s="434"/>
      <c r="K92" s="434"/>
      <c r="L92" s="434"/>
      <c r="M92" s="453"/>
      <c r="N92" s="434">
        <v>90000</v>
      </c>
      <c r="O92" s="434"/>
      <c r="P92" s="434"/>
      <c r="Q92" s="434">
        <f t="shared" si="11"/>
        <v>90000</v>
      </c>
      <c r="R92" s="453"/>
      <c r="S92" s="434"/>
      <c r="T92" s="434"/>
      <c r="U92" s="434"/>
      <c r="V92" s="434">
        <f t="shared" si="12"/>
        <v>0</v>
      </c>
      <c r="W92" s="445" t="s">
        <v>736</v>
      </c>
      <c r="X92" s="468" t="s">
        <v>9</v>
      </c>
    </row>
    <row r="93" spans="1:24" s="451" customFormat="1" ht="30.75" customHeight="1" x14ac:dyDescent="0.2">
      <c r="A93" s="450"/>
      <c r="B93" s="901" t="s">
        <v>2843</v>
      </c>
      <c r="C93" s="860" t="s">
        <v>3276</v>
      </c>
      <c r="D93" s="453"/>
      <c r="E93" s="434"/>
      <c r="F93" s="434"/>
      <c r="G93" s="434"/>
      <c r="H93" s="453"/>
      <c r="I93" s="434"/>
      <c r="J93" s="434"/>
      <c r="K93" s="434"/>
      <c r="L93" s="434"/>
      <c r="M93" s="453"/>
      <c r="N93" s="434">
        <v>90000</v>
      </c>
      <c r="O93" s="434"/>
      <c r="P93" s="434"/>
      <c r="Q93" s="434">
        <f t="shared" si="11"/>
        <v>90000</v>
      </c>
      <c r="R93" s="453"/>
      <c r="S93" s="434">
        <v>90000</v>
      </c>
      <c r="T93" s="434"/>
      <c r="U93" s="434"/>
      <c r="V93" s="434">
        <f t="shared" si="12"/>
        <v>90000</v>
      </c>
      <c r="W93" s="445" t="s">
        <v>703</v>
      </c>
      <c r="X93" s="468" t="s">
        <v>9</v>
      </c>
    </row>
    <row r="94" spans="1:24" s="451" customFormat="1" ht="30.75" customHeight="1" x14ac:dyDescent="0.2">
      <c r="A94" s="450"/>
      <c r="B94" s="901" t="s">
        <v>2683</v>
      </c>
      <c r="C94" s="955" t="s">
        <v>2684</v>
      </c>
      <c r="D94" s="453"/>
      <c r="E94" s="434"/>
      <c r="F94" s="434"/>
      <c r="G94" s="434"/>
      <c r="H94" s="453"/>
      <c r="I94" s="434"/>
      <c r="J94" s="434"/>
      <c r="K94" s="434"/>
      <c r="L94" s="434"/>
      <c r="M94" s="453"/>
      <c r="N94" s="837">
        <v>4500</v>
      </c>
      <c r="O94" s="434"/>
      <c r="P94" s="434"/>
      <c r="Q94" s="434">
        <f t="shared" si="11"/>
        <v>4500</v>
      </c>
      <c r="R94" s="453"/>
      <c r="S94" s="434"/>
      <c r="T94" s="434"/>
      <c r="U94" s="434"/>
      <c r="V94" s="434">
        <f t="shared" si="12"/>
        <v>0</v>
      </c>
      <c r="W94" s="445" t="s">
        <v>1554</v>
      </c>
      <c r="X94" s="468" t="s">
        <v>9</v>
      </c>
    </row>
    <row r="95" spans="1:24" s="451" customFormat="1" ht="30.75" customHeight="1" x14ac:dyDescent="0.2">
      <c r="A95" s="450"/>
      <c r="B95" s="25">
        <v>500205430</v>
      </c>
      <c r="C95" s="955" t="s">
        <v>3277</v>
      </c>
      <c r="D95" s="453"/>
      <c r="E95" s="434"/>
      <c r="F95" s="434"/>
      <c r="G95" s="434"/>
      <c r="H95" s="453"/>
      <c r="I95" s="434"/>
      <c r="J95" s="434"/>
      <c r="K95" s="434"/>
      <c r="L95" s="434"/>
      <c r="M95" s="453"/>
      <c r="N95" s="434"/>
      <c r="O95" s="434"/>
      <c r="P95" s="434"/>
      <c r="Q95" s="434"/>
      <c r="R95" s="453"/>
      <c r="S95" s="434">
        <v>20250</v>
      </c>
      <c r="T95" s="434"/>
      <c r="U95" s="434"/>
      <c r="V95" s="434">
        <f t="shared" si="12"/>
        <v>20250</v>
      </c>
      <c r="W95" s="445" t="s">
        <v>2421</v>
      </c>
      <c r="X95" s="468" t="s">
        <v>9</v>
      </c>
    </row>
    <row r="96" spans="1:24" s="451" customFormat="1" ht="30.75" customHeight="1" x14ac:dyDescent="0.2">
      <c r="A96" s="450"/>
      <c r="B96" s="1011">
        <v>500213517</v>
      </c>
      <c r="C96" s="955" t="s">
        <v>3278</v>
      </c>
      <c r="D96" s="453"/>
      <c r="E96" s="434"/>
      <c r="F96" s="434"/>
      <c r="G96" s="434"/>
      <c r="H96" s="453"/>
      <c r="I96" s="434"/>
      <c r="J96" s="434"/>
      <c r="K96" s="434"/>
      <c r="L96" s="434"/>
      <c r="M96" s="453"/>
      <c r="N96" s="434"/>
      <c r="O96" s="434"/>
      <c r="P96" s="434"/>
      <c r="Q96" s="434"/>
      <c r="R96" s="453"/>
      <c r="S96" s="434">
        <v>40517</v>
      </c>
      <c r="T96" s="434"/>
      <c r="U96" s="434"/>
      <c r="V96" s="434">
        <f>SUM(S96:U96)</f>
        <v>40517</v>
      </c>
      <c r="W96" s="452" t="s">
        <v>3279</v>
      </c>
      <c r="X96" s="468" t="s">
        <v>12</v>
      </c>
    </row>
    <row r="97" spans="1:24" s="451" customFormat="1" ht="30.75" customHeight="1" x14ac:dyDescent="0.2">
      <c r="A97" s="450"/>
      <c r="B97" s="231">
        <v>500226006</v>
      </c>
      <c r="C97" s="955" t="s">
        <v>3281</v>
      </c>
      <c r="D97" s="453"/>
      <c r="E97" s="434"/>
      <c r="F97" s="434"/>
      <c r="G97" s="434"/>
      <c r="H97" s="453"/>
      <c r="I97" s="434"/>
      <c r="J97" s="434"/>
      <c r="K97" s="434"/>
      <c r="L97" s="434"/>
      <c r="M97" s="453"/>
      <c r="N97" s="434"/>
      <c r="O97" s="434"/>
      <c r="P97" s="434"/>
      <c r="Q97" s="434"/>
      <c r="R97" s="453"/>
      <c r="S97" s="434">
        <v>30000</v>
      </c>
      <c r="T97" s="434"/>
      <c r="U97" s="434"/>
      <c r="V97" s="434">
        <f>SUM(S97:U97)</f>
        <v>30000</v>
      </c>
      <c r="W97" s="452" t="s">
        <v>672</v>
      </c>
      <c r="X97" s="468" t="s">
        <v>32</v>
      </c>
    </row>
    <row r="98" spans="1:24" ht="38.25" x14ac:dyDescent="0.2">
      <c r="A98" s="444">
        <v>51</v>
      </c>
      <c r="B98" s="469">
        <v>500262001</v>
      </c>
      <c r="C98" s="463" t="s">
        <v>2240</v>
      </c>
      <c r="E98" s="434">
        <v>317003</v>
      </c>
      <c r="F98" s="434"/>
      <c r="G98" s="434">
        <f t="shared" si="10"/>
        <v>317003</v>
      </c>
      <c r="I98" s="434">
        <v>310535</v>
      </c>
      <c r="J98" s="434"/>
      <c r="K98" s="434"/>
      <c r="L98" s="434">
        <f t="shared" si="7"/>
        <v>310535</v>
      </c>
      <c r="N98" s="434">
        <v>336515</v>
      </c>
      <c r="O98" s="434"/>
      <c r="P98" s="434"/>
      <c r="Q98" s="434">
        <f t="shared" si="11"/>
        <v>336515</v>
      </c>
      <c r="S98" s="434">
        <v>253566</v>
      </c>
      <c r="T98" s="434"/>
      <c r="U98" s="434"/>
      <c r="V98" s="434">
        <f t="shared" si="12"/>
        <v>253566</v>
      </c>
      <c r="W98" s="445" t="s">
        <v>1211</v>
      </c>
      <c r="X98" s="468" t="s">
        <v>136</v>
      </c>
    </row>
    <row r="99" spans="1:24" x14ac:dyDescent="0.2">
      <c r="A99" s="450"/>
      <c r="B99" s="240"/>
      <c r="C99" s="782"/>
      <c r="E99" s="783"/>
      <c r="F99" s="451"/>
      <c r="G99" s="783"/>
      <c r="I99" s="783"/>
      <c r="J99" s="451"/>
      <c r="K99" s="451"/>
      <c r="L99" s="783"/>
      <c r="N99" s="783"/>
      <c r="O99" s="451"/>
      <c r="P99" s="451"/>
      <c r="Q99" s="783"/>
      <c r="S99" s="783"/>
      <c r="T99" s="451"/>
      <c r="U99" s="451"/>
      <c r="V99" s="783"/>
      <c r="W99" s="784"/>
      <c r="X99" s="785"/>
    </row>
    <row r="101" spans="1:24" x14ac:dyDescent="0.2">
      <c r="G101" s="914"/>
      <c r="L101" s="914"/>
      <c r="Q101" s="914"/>
      <c r="V101" s="914"/>
    </row>
  </sheetData>
  <mergeCells count="5">
    <mergeCell ref="S1:V1"/>
    <mergeCell ref="B4:C4"/>
    <mergeCell ref="E1:G1"/>
    <mergeCell ref="I1:L1"/>
    <mergeCell ref="N1:Q1"/>
  </mergeCells>
  <pageMargins left="0" right="0.15748031496062992" top="1.2204724409448819" bottom="0.35433070866141736" header="0.86614173228346458" footer="0.11811023622047245"/>
  <pageSetup paperSize="9" scale="64" fitToHeight="7" orientation="landscape" r:id="rId1"/>
  <headerFooter alignWithMargins="0">
    <oddHeader>&amp;L&amp;D&amp;C&amp;"Arial,מודגש"מינהל תרבות
&amp;11תקציב על שינויו 2016-2019  בש"ח בהתאם להחלטת ועדת התמיכות&amp;R&amp;"Arial,מודגש"&amp;16
תקנה 42-02-24- אמנות פלסטית</oddHeader>
    <oddFooter>&amp;L&amp;F&amp;C&amp;P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גיליון9">
    <pageSetUpPr fitToPage="1"/>
  </sheetPr>
  <dimension ref="A1:AI148"/>
  <sheetViews>
    <sheetView rightToLeft="1" zoomScale="90" zoomScaleNormal="90" workbookViewId="0">
      <pane xSplit="2" ySplit="4" topLeftCell="C96" activePane="bottomRight" state="frozen"/>
      <selection activeCell="S19" sqref="S19"/>
      <selection pane="topRight" activeCell="S19" sqref="S19"/>
      <selection pane="bottomLeft" activeCell="S19" sqref="S19"/>
      <selection pane="bottomRight" activeCell="T1" sqref="T1:U1048576"/>
    </sheetView>
  </sheetViews>
  <sheetFormatPr defaultColWidth="2.140625" defaultRowHeight="12.75" x14ac:dyDescent="0.2"/>
  <cols>
    <col min="1" max="1" width="11.7109375" style="163" customWidth="1"/>
    <col min="2" max="2" width="24.42578125" style="1039" customWidth="1"/>
    <col min="3" max="3" width="13.28515625" style="163" customWidth="1"/>
    <col min="4" max="4" width="0.7109375" style="323" customWidth="1"/>
    <col min="5" max="5" width="14" style="342" customWidth="1"/>
    <col min="6" max="6" width="12.5703125" style="163" customWidth="1"/>
    <col min="7" max="7" width="13.28515625" style="163" customWidth="1"/>
    <col min="8" max="8" width="0.7109375" style="323" customWidth="1"/>
    <col min="9" max="9" width="14" style="342" customWidth="1"/>
    <col min="10" max="10" width="12.5703125" style="163" bestFit="1" customWidth="1"/>
    <col min="11" max="11" width="13.28515625" style="163" customWidth="1"/>
    <col min="12" max="12" width="0.7109375" style="323" customWidth="1"/>
    <col min="13" max="13" width="14" style="342" customWidth="1"/>
    <col min="14" max="14" width="12.5703125" style="163" bestFit="1" customWidth="1"/>
    <col min="15" max="15" width="13.28515625" style="163" customWidth="1"/>
    <col min="16" max="16" width="0.7109375" style="323" customWidth="1"/>
    <col min="17" max="17" width="14" style="342" customWidth="1"/>
    <col min="18" max="18" width="12.5703125" style="163" bestFit="1" customWidth="1"/>
    <col min="19" max="19" width="13.28515625" style="163" customWidth="1"/>
    <col min="20" max="21" width="12.5703125" style="1040" hidden="1" customWidth="1"/>
    <col min="22" max="22" width="2.140625" style="163"/>
    <col min="23" max="23" width="21.42578125" style="163" hidden="1" customWidth="1"/>
    <col min="24" max="24" width="11.140625" style="163" hidden="1" customWidth="1"/>
    <col min="25" max="28" width="9.85546875" style="163" hidden="1" customWidth="1"/>
    <col min="29" max="29" width="14.7109375" style="163" hidden="1" customWidth="1"/>
    <col min="30" max="34" width="9.85546875" style="163" hidden="1" customWidth="1"/>
    <col min="35" max="245" width="2.140625" style="163"/>
    <col min="246" max="246" width="0" style="163" hidden="1" customWidth="1"/>
    <col min="247" max="247" width="13.85546875" style="163" customWidth="1"/>
    <col min="248" max="248" width="24.42578125" style="163" customWidth="1"/>
    <col min="249" max="249" width="0.7109375" style="163" customWidth="1"/>
    <col min="250" max="250" width="14" style="163" customWidth="1"/>
    <col min="251" max="251" width="12.5703125" style="163" bestFit="1" customWidth="1"/>
    <col min="252" max="253" width="13.28515625" style="163" customWidth="1"/>
    <col min="254" max="254" width="0.7109375" style="163" customWidth="1"/>
    <col min="255" max="255" width="14" style="163" customWidth="1"/>
    <col min="256" max="256" width="12.5703125" style="163" bestFit="1" customWidth="1"/>
    <col min="257" max="258" width="13.28515625" style="163" customWidth="1"/>
    <col min="259" max="259" width="0.7109375" style="163" customWidth="1"/>
    <col min="260" max="260" width="14" style="163" customWidth="1"/>
    <col min="261" max="261" width="12.5703125" style="163" bestFit="1" customWidth="1"/>
    <col min="262" max="263" width="13.28515625" style="163" customWidth="1"/>
    <col min="264" max="264" width="0.7109375" style="163" customWidth="1"/>
    <col min="265" max="265" width="14" style="163" customWidth="1"/>
    <col min="266" max="266" width="12.5703125" style="163" bestFit="1" customWidth="1"/>
    <col min="267" max="268" width="13.28515625" style="163" customWidth="1"/>
    <col min="269" max="270" width="12.5703125" style="163" customWidth="1"/>
    <col min="271" max="501" width="2.140625" style="163"/>
    <col min="502" max="502" width="0" style="163" hidden="1" customWidth="1"/>
    <col min="503" max="503" width="13.85546875" style="163" customWidth="1"/>
    <col min="504" max="504" width="24.42578125" style="163" customWidth="1"/>
    <col min="505" max="505" width="0.7109375" style="163" customWidth="1"/>
    <col min="506" max="506" width="14" style="163" customWidth="1"/>
    <col min="507" max="507" width="12.5703125" style="163" bestFit="1" customWidth="1"/>
    <col min="508" max="509" width="13.28515625" style="163" customWidth="1"/>
    <col min="510" max="510" width="0.7109375" style="163" customWidth="1"/>
    <col min="511" max="511" width="14" style="163" customWidth="1"/>
    <col min="512" max="512" width="12.5703125" style="163" bestFit="1" customWidth="1"/>
    <col min="513" max="514" width="13.28515625" style="163" customWidth="1"/>
    <col min="515" max="515" width="0.7109375" style="163" customWidth="1"/>
    <col min="516" max="516" width="14" style="163" customWidth="1"/>
    <col min="517" max="517" width="12.5703125" style="163" bestFit="1" customWidth="1"/>
    <col min="518" max="519" width="13.28515625" style="163" customWidth="1"/>
    <col min="520" max="520" width="0.7109375" style="163" customWidth="1"/>
    <col min="521" max="521" width="14" style="163" customWidth="1"/>
    <col min="522" max="522" width="12.5703125" style="163" bestFit="1" customWidth="1"/>
    <col min="523" max="524" width="13.28515625" style="163" customWidth="1"/>
    <col min="525" max="526" width="12.5703125" style="163" customWidth="1"/>
    <col min="527" max="757" width="2.140625" style="163"/>
    <col min="758" max="758" width="0" style="163" hidden="1" customWidth="1"/>
    <col min="759" max="759" width="13.85546875" style="163" customWidth="1"/>
    <col min="760" max="760" width="24.42578125" style="163" customWidth="1"/>
    <col min="761" max="761" width="0.7109375" style="163" customWidth="1"/>
    <col min="762" max="762" width="14" style="163" customWidth="1"/>
    <col min="763" max="763" width="12.5703125" style="163" bestFit="1" customWidth="1"/>
    <col min="764" max="765" width="13.28515625" style="163" customWidth="1"/>
    <col min="766" max="766" width="0.7109375" style="163" customWidth="1"/>
    <col min="767" max="767" width="14" style="163" customWidth="1"/>
    <col min="768" max="768" width="12.5703125" style="163" bestFit="1" customWidth="1"/>
    <col min="769" max="770" width="13.28515625" style="163" customWidth="1"/>
    <col min="771" max="771" width="0.7109375" style="163" customWidth="1"/>
    <col min="772" max="772" width="14" style="163" customWidth="1"/>
    <col min="773" max="773" width="12.5703125" style="163" bestFit="1" customWidth="1"/>
    <col min="774" max="775" width="13.28515625" style="163" customWidth="1"/>
    <col min="776" max="776" width="0.7109375" style="163" customWidth="1"/>
    <col min="777" max="777" width="14" style="163" customWidth="1"/>
    <col min="778" max="778" width="12.5703125" style="163" bestFit="1" customWidth="1"/>
    <col min="779" max="780" width="13.28515625" style="163" customWidth="1"/>
    <col min="781" max="782" width="12.5703125" style="163" customWidth="1"/>
    <col min="783" max="1013" width="2.140625" style="163"/>
    <col min="1014" max="1014" width="0" style="163" hidden="1" customWidth="1"/>
    <col min="1015" max="1015" width="13.85546875" style="163" customWidth="1"/>
    <col min="1016" max="1016" width="24.42578125" style="163" customWidth="1"/>
    <col min="1017" max="1017" width="0.7109375" style="163" customWidth="1"/>
    <col min="1018" max="1018" width="14" style="163" customWidth="1"/>
    <col min="1019" max="1019" width="12.5703125" style="163" bestFit="1" customWidth="1"/>
    <col min="1020" max="1021" width="13.28515625" style="163" customWidth="1"/>
    <col min="1022" max="1022" width="0.7109375" style="163" customWidth="1"/>
    <col min="1023" max="1023" width="14" style="163" customWidth="1"/>
    <col min="1024" max="1024" width="12.5703125" style="163" bestFit="1" customWidth="1"/>
    <col min="1025" max="1026" width="13.28515625" style="163" customWidth="1"/>
    <col min="1027" max="1027" width="0.7109375" style="163" customWidth="1"/>
    <col min="1028" max="1028" width="14" style="163" customWidth="1"/>
    <col min="1029" max="1029" width="12.5703125" style="163" bestFit="1" customWidth="1"/>
    <col min="1030" max="1031" width="13.28515625" style="163" customWidth="1"/>
    <col min="1032" max="1032" width="0.7109375" style="163" customWidth="1"/>
    <col min="1033" max="1033" width="14" style="163" customWidth="1"/>
    <col min="1034" max="1034" width="12.5703125" style="163" bestFit="1" customWidth="1"/>
    <col min="1035" max="1036" width="13.28515625" style="163" customWidth="1"/>
    <col min="1037" max="1038" width="12.5703125" style="163" customWidth="1"/>
    <col min="1039" max="1269" width="2.140625" style="163"/>
    <col min="1270" max="1270" width="0" style="163" hidden="1" customWidth="1"/>
    <col min="1271" max="1271" width="13.85546875" style="163" customWidth="1"/>
    <col min="1272" max="1272" width="24.42578125" style="163" customWidth="1"/>
    <col min="1273" max="1273" width="0.7109375" style="163" customWidth="1"/>
    <col min="1274" max="1274" width="14" style="163" customWidth="1"/>
    <col min="1275" max="1275" width="12.5703125" style="163" bestFit="1" customWidth="1"/>
    <col min="1276" max="1277" width="13.28515625" style="163" customWidth="1"/>
    <col min="1278" max="1278" width="0.7109375" style="163" customWidth="1"/>
    <col min="1279" max="1279" width="14" style="163" customWidth="1"/>
    <col min="1280" max="1280" width="12.5703125" style="163" bestFit="1" customWidth="1"/>
    <col min="1281" max="1282" width="13.28515625" style="163" customWidth="1"/>
    <col min="1283" max="1283" width="0.7109375" style="163" customWidth="1"/>
    <col min="1284" max="1284" width="14" style="163" customWidth="1"/>
    <col min="1285" max="1285" width="12.5703125" style="163" bestFit="1" customWidth="1"/>
    <col min="1286" max="1287" width="13.28515625" style="163" customWidth="1"/>
    <col min="1288" max="1288" width="0.7109375" style="163" customWidth="1"/>
    <col min="1289" max="1289" width="14" style="163" customWidth="1"/>
    <col min="1290" max="1290" width="12.5703125" style="163" bestFit="1" customWidth="1"/>
    <col min="1291" max="1292" width="13.28515625" style="163" customWidth="1"/>
    <col min="1293" max="1294" width="12.5703125" style="163" customWidth="1"/>
    <col min="1295" max="1525" width="2.140625" style="163"/>
    <col min="1526" max="1526" width="0" style="163" hidden="1" customWidth="1"/>
    <col min="1527" max="1527" width="13.85546875" style="163" customWidth="1"/>
    <col min="1528" max="1528" width="24.42578125" style="163" customWidth="1"/>
    <col min="1529" max="1529" width="0.7109375" style="163" customWidth="1"/>
    <col min="1530" max="1530" width="14" style="163" customWidth="1"/>
    <col min="1531" max="1531" width="12.5703125" style="163" bestFit="1" customWidth="1"/>
    <col min="1532" max="1533" width="13.28515625" style="163" customWidth="1"/>
    <col min="1534" max="1534" width="0.7109375" style="163" customWidth="1"/>
    <col min="1535" max="1535" width="14" style="163" customWidth="1"/>
    <col min="1536" max="1536" width="12.5703125" style="163" bestFit="1" customWidth="1"/>
    <col min="1537" max="1538" width="13.28515625" style="163" customWidth="1"/>
    <col min="1539" max="1539" width="0.7109375" style="163" customWidth="1"/>
    <col min="1540" max="1540" width="14" style="163" customWidth="1"/>
    <col min="1541" max="1541" width="12.5703125" style="163" bestFit="1" customWidth="1"/>
    <col min="1542" max="1543" width="13.28515625" style="163" customWidth="1"/>
    <col min="1544" max="1544" width="0.7109375" style="163" customWidth="1"/>
    <col min="1545" max="1545" width="14" style="163" customWidth="1"/>
    <col min="1546" max="1546" width="12.5703125" style="163" bestFit="1" customWidth="1"/>
    <col min="1547" max="1548" width="13.28515625" style="163" customWidth="1"/>
    <col min="1549" max="1550" width="12.5703125" style="163" customWidth="1"/>
    <col min="1551" max="1781" width="2.140625" style="163"/>
    <col min="1782" max="1782" width="0" style="163" hidden="1" customWidth="1"/>
    <col min="1783" max="1783" width="13.85546875" style="163" customWidth="1"/>
    <col min="1784" max="1784" width="24.42578125" style="163" customWidth="1"/>
    <col min="1785" max="1785" width="0.7109375" style="163" customWidth="1"/>
    <col min="1786" max="1786" width="14" style="163" customWidth="1"/>
    <col min="1787" max="1787" width="12.5703125" style="163" bestFit="1" customWidth="1"/>
    <col min="1788" max="1789" width="13.28515625" style="163" customWidth="1"/>
    <col min="1790" max="1790" width="0.7109375" style="163" customWidth="1"/>
    <col min="1791" max="1791" width="14" style="163" customWidth="1"/>
    <col min="1792" max="1792" width="12.5703125" style="163" bestFit="1" customWidth="1"/>
    <col min="1793" max="1794" width="13.28515625" style="163" customWidth="1"/>
    <col min="1795" max="1795" width="0.7109375" style="163" customWidth="1"/>
    <col min="1796" max="1796" width="14" style="163" customWidth="1"/>
    <col min="1797" max="1797" width="12.5703125" style="163" bestFit="1" customWidth="1"/>
    <col min="1798" max="1799" width="13.28515625" style="163" customWidth="1"/>
    <col min="1800" max="1800" width="0.7109375" style="163" customWidth="1"/>
    <col min="1801" max="1801" width="14" style="163" customWidth="1"/>
    <col min="1802" max="1802" width="12.5703125" style="163" bestFit="1" customWidth="1"/>
    <col min="1803" max="1804" width="13.28515625" style="163" customWidth="1"/>
    <col min="1805" max="1806" width="12.5703125" style="163" customWidth="1"/>
    <col min="1807" max="2037" width="2.140625" style="163"/>
    <col min="2038" max="2038" width="0" style="163" hidden="1" customWidth="1"/>
    <col min="2039" max="2039" width="13.85546875" style="163" customWidth="1"/>
    <col min="2040" max="2040" width="24.42578125" style="163" customWidth="1"/>
    <col min="2041" max="2041" width="0.7109375" style="163" customWidth="1"/>
    <col min="2042" max="2042" width="14" style="163" customWidth="1"/>
    <col min="2043" max="2043" width="12.5703125" style="163" bestFit="1" customWidth="1"/>
    <col min="2044" max="2045" width="13.28515625" style="163" customWidth="1"/>
    <col min="2046" max="2046" width="0.7109375" style="163" customWidth="1"/>
    <col min="2047" max="2047" width="14" style="163" customWidth="1"/>
    <col min="2048" max="2048" width="12.5703125" style="163" bestFit="1" customWidth="1"/>
    <col min="2049" max="2050" width="13.28515625" style="163" customWidth="1"/>
    <col min="2051" max="2051" width="0.7109375" style="163" customWidth="1"/>
    <col min="2052" max="2052" width="14" style="163" customWidth="1"/>
    <col min="2053" max="2053" width="12.5703125" style="163" bestFit="1" customWidth="1"/>
    <col min="2054" max="2055" width="13.28515625" style="163" customWidth="1"/>
    <col min="2056" max="2056" width="0.7109375" style="163" customWidth="1"/>
    <col min="2057" max="2057" width="14" style="163" customWidth="1"/>
    <col min="2058" max="2058" width="12.5703125" style="163" bestFit="1" customWidth="1"/>
    <col min="2059" max="2060" width="13.28515625" style="163" customWidth="1"/>
    <col min="2061" max="2062" width="12.5703125" style="163" customWidth="1"/>
    <col min="2063" max="2293" width="2.140625" style="163"/>
    <col min="2294" max="2294" width="0" style="163" hidden="1" customWidth="1"/>
    <col min="2295" max="2295" width="13.85546875" style="163" customWidth="1"/>
    <col min="2296" max="2296" width="24.42578125" style="163" customWidth="1"/>
    <col min="2297" max="2297" width="0.7109375" style="163" customWidth="1"/>
    <col min="2298" max="2298" width="14" style="163" customWidth="1"/>
    <col min="2299" max="2299" width="12.5703125" style="163" bestFit="1" customWidth="1"/>
    <col min="2300" max="2301" width="13.28515625" style="163" customWidth="1"/>
    <col min="2302" max="2302" width="0.7109375" style="163" customWidth="1"/>
    <col min="2303" max="2303" width="14" style="163" customWidth="1"/>
    <col min="2304" max="2304" width="12.5703125" style="163" bestFit="1" customWidth="1"/>
    <col min="2305" max="2306" width="13.28515625" style="163" customWidth="1"/>
    <col min="2307" max="2307" width="0.7109375" style="163" customWidth="1"/>
    <col min="2308" max="2308" width="14" style="163" customWidth="1"/>
    <col min="2309" max="2309" width="12.5703125" style="163" bestFit="1" customWidth="1"/>
    <col min="2310" max="2311" width="13.28515625" style="163" customWidth="1"/>
    <col min="2312" max="2312" width="0.7109375" style="163" customWidth="1"/>
    <col min="2313" max="2313" width="14" style="163" customWidth="1"/>
    <col min="2314" max="2314" width="12.5703125" style="163" bestFit="1" customWidth="1"/>
    <col min="2315" max="2316" width="13.28515625" style="163" customWidth="1"/>
    <col min="2317" max="2318" width="12.5703125" style="163" customWidth="1"/>
    <col min="2319" max="2549" width="2.140625" style="163"/>
    <col min="2550" max="2550" width="0" style="163" hidden="1" customWidth="1"/>
    <col min="2551" max="2551" width="13.85546875" style="163" customWidth="1"/>
    <col min="2552" max="2552" width="24.42578125" style="163" customWidth="1"/>
    <col min="2553" max="2553" width="0.7109375" style="163" customWidth="1"/>
    <col min="2554" max="2554" width="14" style="163" customWidth="1"/>
    <col min="2555" max="2555" width="12.5703125" style="163" bestFit="1" customWidth="1"/>
    <col min="2556" max="2557" width="13.28515625" style="163" customWidth="1"/>
    <col min="2558" max="2558" width="0.7109375" style="163" customWidth="1"/>
    <col min="2559" max="2559" width="14" style="163" customWidth="1"/>
    <col min="2560" max="2560" width="12.5703125" style="163" bestFit="1" customWidth="1"/>
    <col min="2561" max="2562" width="13.28515625" style="163" customWidth="1"/>
    <col min="2563" max="2563" width="0.7109375" style="163" customWidth="1"/>
    <col min="2564" max="2564" width="14" style="163" customWidth="1"/>
    <col min="2565" max="2565" width="12.5703125" style="163" bestFit="1" customWidth="1"/>
    <col min="2566" max="2567" width="13.28515625" style="163" customWidth="1"/>
    <col min="2568" max="2568" width="0.7109375" style="163" customWidth="1"/>
    <col min="2569" max="2569" width="14" style="163" customWidth="1"/>
    <col min="2570" max="2570" width="12.5703125" style="163" bestFit="1" customWidth="1"/>
    <col min="2571" max="2572" width="13.28515625" style="163" customWidth="1"/>
    <col min="2573" max="2574" width="12.5703125" style="163" customWidth="1"/>
    <col min="2575" max="2805" width="2.140625" style="163"/>
    <col min="2806" max="2806" width="0" style="163" hidden="1" customWidth="1"/>
    <col min="2807" max="2807" width="13.85546875" style="163" customWidth="1"/>
    <col min="2808" max="2808" width="24.42578125" style="163" customWidth="1"/>
    <col min="2809" max="2809" width="0.7109375" style="163" customWidth="1"/>
    <col min="2810" max="2810" width="14" style="163" customWidth="1"/>
    <col min="2811" max="2811" width="12.5703125" style="163" bestFit="1" customWidth="1"/>
    <col min="2812" max="2813" width="13.28515625" style="163" customWidth="1"/>
    <col min="2814" max="2814" width="0.7109375" style="163" customWidth="1"/>
    <col min="2815" max="2815" width="14" style="163" customWidth="1"/>
    <col min="2816" max="2816" width="12.5703125" style="163" bestFit="1" customWidth="1"/>
    <col min="2817" max="2818" width="13.28515625" style="163" customWidth="1"/>
    <col min="2819" max="2819" width="0.7109375" style="163" customWidth="1"/>
    <col min="2820" max="2820" width="14" style="163" customWidth="1"/>
    <col min="2821" max="2821" width="12.5703125" style="163" bestFit="1" customWidth="1"/>
    <col min="2822" max="2823" width="13.28515625" style="163" customWidth="1"/>
    <col min="2824" max="2824" width="0.7109375" style="163" customWidth="1"/>
    <col min="2825" max="2825" width="14" style="163" customWidth="1"/>
    <col min="2826" max="2826" width="12.5703125" style="163" bestFit="1" customWidth="1"/>
    <col min="2827" max="2828" width="13.28515625" style="163" customWidth="1"/>
    <col min="2829" max="2830" width="12.5703125" style="163" customWidth="1"/>
    <col min="2831" max="3061" width="2.140625" style="163"/>
    <col min="3062" max="3062" width="0" style="163" hidden="1" customWidth="1"/>
    <col min="3063" max="3063" width="13.85546875" style="163" customWidth="1"/>
    <col min="3064" max="3064" width="24.42578125" style="163" customWidth="1"/>
    <col min="3065" max="3065" width="0.7109375" style="163" customWidth="1"/>
    <col min="3066" max="3066" width="14" style="163" customWidth="1"/>
    <col min="3067" max="3067" width="12.5703125" style="163" bestFit="1" customWidth="1"/>
    <col min="3068" max="3069" width="13.28515625" style="163" customWidth="1"/>
    <col min="3070" max="3070" width="0.7109375" style="163" customWidth="1"/>
    <col min="3071" max="3071" width="14" style="163" customWidth="1"/>
    <col min="3072" max="3072" width="12.5703125" style="163" bestFit="1" customWidth="1"/>
    <col min="3073" max="3074" width="13.28515625" style="163" customWidth="1"/>
    <col min="3075" max="3075" width="0.7109375" style="163" customWidth="1"/>
    <col min="3076" max="3076" width="14" style="163" customWidth="1"/>
    <col min="3077" max="3077" width="12.5703125" style="163" bestFit="1" customWidth="1"/>
    <col min="3078" max="3079" width="13.28515625" style="163" customWidth="1"/>
    <col min="3080" max="3080" width="0.7109375" style="163" customWidth="1"/>
    <col min="3081" max="3081" width="14" style="163" customWidth="1"/>
    <col min="3082" max="3082" width="12.5703125" style="163" bestFit="1" customWidth="1"/>
    <col min="3083" max="3084" width="13.28515625" style="163" customWidth="1"/>
    <col min="3085" max="3086" width="12.5703125" style="163" customWidth="1"/>
    <col min="3087" max="3317" width="2.140625" style="163"/>
    <col min="3318" max="3318" width="0" style="163" hidden="1" customWidth="1"/>
    <col min="3319" max="3319" width="13.85546875" style="163" customWidth="1"/>
    <col min="3320" max="3320" width="24.42578125" style="163" customWidth="1"/>
    <col min="3321" max="3321" width="0.7109375" style="163" customWidth="1"/>
    <col min="3322" max="3322" width="14" style="163" customWidth="1"/>
    <col min="3323" max="3323" width="12.5703125" style="163" bestFit="1" customWidth="1"/>
    <col min="3324" max="3325" width="13.28515625" style="163" customWidth="1"/>
    <col min="3326" max="3326" width="0.7109375" style="163" customWidth="1"/>
    <col min="3327" max="3327" width="14" style="163" customWidth="1"/>
    <col min="3328" max="3328" width="12.5703125" style="163" bestFit="1" customWidth="1"/>
    <col min="3329" max="3330" width="13.28515625" style="163" customWidth="1"/>
    <col min="3331" max="3331" width="0.7109375" style="163" customWidth="1"/>
    <col min="3332" max="3332" width="14" style="163" customWidth="1"/>
    <col min="3333" max="3333" width="12.5703125" style="163" bestFit="1" customWidth="1"/>
    <col min="3334" max="3335" width="13.28515625" style="163" customWidth="1"/>
    <col min="3336" max="3336" width="0.7109375" style="163" customWidth="1"/>
    <col min="3337" max="3337" width="14" style="163" customWidth="1"/>
    <col min="3338" max="3338" width="12.5703125" style="163" bestFit="1" customWidth="1"/>
    <col min="3339" max="3340" width="13.28515625" style="163" customWidth="1"/>
    <col min="3341" max="3342" width="12.5703125" style="163" customWidth="1"/>
    <col min="3343" max="3573" width="2.140625" style="163"/>
    <col min="3574" max="3574" width="0" style="163" hidden="1" customWidth="1"/>
    <col min="3575" max="3575" width="13.85546875" style="163" customWidth="1"/>
    <col min="3576" max="3576" width="24.42578125" style="163" customWidth="1"/>
    <col min="3577" max="3577" width="0.7109375" style="163" customWidth="1"/>
    <col min="3578" max="3578" width="14" style="163" customWidth="1"/>
    <col min="3579" max="3579" width="12.5703125" style="163" bestFit="1" customWidth="1"/>
    <col min="3580" max="3581" width="13.28515625" style="163" customWidth="1"/>
    <col min="3582" max="3582" width="0.7109375" style="163" customWidth="1"/>
    <col min="3583" max="3583" width="14" style="163" customWidth="1"/>
    <col min="3584" max="3584" width="12.5703125" style="163" bestFit="1" customWidth="1"/>
    <col min="3585" max="3586" width="13.28515625" style="163" customWidth="1"/>
    <col min="3587" max="3587" width="0.7109375" style="163" customWidth="1"/>
    <col min="3588" max="3588" width="14" style="163" customWidth="1"/>
    <col min="3589" max="3589" width="12.5703125" style="163" bestFit="1" customWidth="1"/>
    <col min="3590" max="3591" width="13.28515625" style="163" customWidth="1"/>
    <col min="3592" max="3592" width="0.7109375" style="163" customWidth="1"/>
    <col min="3593" max="3593" width="14" style="163" customWidth="1"/>
    <col min="3594" max="3594" width="12.5703125" style="163" bestFit="1" customWidth="1"/>
    <col min="3595" max="3596" width="13.28515625" style="163" customWidth="1"/>
    <col min="3597" max="3598" width="12.5703125" style="163" customWidth="1"/>
    <col min="3599" max="3829" width="2.140625" style="163"/>
    <col min="3830" max="3830" width="0" style="163" hidden="1" customWidth="1"/>
    <col min="3831" max="3831" width="13.85546875" style="163" customWidth="1"/>
    <col min="3832" max="3832" width="24.42578125" style="163" customWidth="1"/>
    <col min="3833" max="3833" width="0.7109375" style="163" customWidth="1"/>
    <col min="3834" max="3834" width="14" style="163" customWidth="1"/>
    <col min="3835" max="3835" width="12.5703125" style="163" bestFit="1" customWidth="1"/>
    <col min="3836" max="3837" width="13.28515625" style="163" customWidth="1"/>
    <col min="3838" max="3838" width="0.7109375" style="163" customWidth="1"/>
    <col min="3839" max="3839" width="14" style="163" customWidth="1"/>
    <col min="3840" max="3840" width="12.5703125" style="163" bestFit="1" customWidth="1"/>
    <col min="3841" max="3842" width="13.28515625" style="163" customWidth="1"/>
    <col min="3843" max="3843" width="0.7109375" style="163" customWidth="1"/>
    <col min="3844" max="3844" width="14" style="163" customWidth="1"/>
    <col min="3845" max="3845" width="12.5703125" style="163" bestFit="1" customWidth="1"/>
    <col min="3846" max="3847" width="13.28515625" style="163" customWidth="1"/>
    <col min="3848" max="3848" width="0.7109375" style="163" customWidth="1"/>
    <col min="3849" max="3849" width="14" style="163" customWidth="1"/>
    <col min="3850" max="3850" width="12.5703125" style="163" bestFit="1" customWidth="1"/>
    <col min="3851" max="3852" width="13.28515625" style="163" customWidth="1"/>
    <col min="3853" max="3854" width="12.5703125" style="163" customWidth="1"/>
    <col min="3855" max="4085" width="2.140625" style="163"/>
    <col min="4086" max="4086" width="0" style="163" hidden="1" customWidth="1"/>
    <col min="4087" max="4087" width="13.85546875" style="163" customWidth="1"/>
    <col min="4088" max="4088" width="24.42578125" style="163" customWidth="1"/>
    <col min="4089" max="4089" width="0.7109375" style="163" customWidth="1"/>
    <col min="4090" max="4090" width="14" style="163" customWidth="1"/>
    <col min="4091" max="4091" width="12.5703125" style="163" bestFit="1" customWidth="1"/>
    <col min="4092" max="4093" width="13.28515625" style="163" customWidth="1"/>
    <col min="4094" max="4094" width="0.7109375" style="163" customWidth="1"/>
    <col min="4095" max="4095" width="14" style="163" customWidth="1"/>
    <col min="4096" max="4096" width="12.5703125" style="163" bestFit="1" customWidth="1"/>
    <col min="4097" max="4098" width="13.28515625" style="163" customWidth="1"/>
    <col min="4099" max="4099" width="0.7109375" style="163" customWidth="1"/>
    <col min="4100" max="4100" width="14" style="163" customWidth="1"/>
    <col min="4101" max="4101" width="12.5703125" style="163" bestFit="1" customWidth="1"/>
    <col min="4102" max="4103" width="13.28515625" style="163" customWidth="1"/>
    <col min="4104" max="4104" width="0.7109375" style="163" customWidth="1"/>
    <col min="4105" max="4105" width="14" style="163" customWidth="1"/>
    <col min="4106" max="4106" width="12.5703125" style="163" bestFit="1" customWidth="1"/>
    <col min="4107" max="4108" width="13.28515625" style="163" customWidth="1"/>
    <col min="4109" max="4110" width="12.5703125" style="163" customWidth="1"/>
    <col min="4111" max="4341" width="2.140625" style="163"/>
    <col min="4342" max="4342" width="0" style="163" hidden="1" customWidth="1"/>
    <col min="4343" max="4343" width="13.85546875" style="163" customWidth="1"/>
    <col min="4344" max="4344" width="24.42578125" style="163" customWidth="1"/>
    <col min="4345" max="4345" width="0.7109375" style="163" customWidth="1"/>
    <col min="4346" max="4346" width="14" style="163" customWidth="1"/>
    <col min="4347" max="4347" width="12.5703125" style="163" bestFit="1" customWidth="1"/>
    <col min="4348" max="4349" width="13.28515625" style="163" customWidth="1"/>
    <col min="4350" max="4350" width="0.7109375" style="163" customWidth="1"/>
    <col min="4351" max="4351" width="14" style="163" customWidth="1"/>
    <col min="4352" max="4352" width="12.5703125" style="163" bestFit="1" customWidth="1"/>
    <col min="4353" max="4354" width="13.28515625" style="163" customWidth="1"/>
    <col min="4355" max="4355" width="0.7109375" style="163" customWidth="1"/>
    <col min="4356" max="4356" width="14" style="163" customWidth="1"/>
    <col min="4357" max="4357" width="12.5703125" style="163" bestFit="1" customWidth="1"/>
    <col min="4358" max="4359" width="13.28515625" style="163" customWidth="1"/>
    <col min="4360" max="4360" width="0.7109375" style="163" customWidth="1"/>
    <col min="4361" max="4361" width="14" style="163" customWidth="1"/>
    <col min="4362" max="4362" width="12.5703125" style="163" bestFit="1" customWidth="1"/>
    <col min="4363" max="4364" width="13.28515625" style="163" customWidth="1"/>
    <col min="4365" max="4366" width="12.5703125" style="163" customWidth="1"/>
    <col min="4367" max="4597" width="2.140625" style="163"/>
    <col min="4598" max="4598" width="0" style="163" hidden="1" customWidth="1"/>
    <col min="4599" max="4599" width="13.85546875" style="163" customWidth="1"/>
    <col min="4600" max="4600" width="24.42578125" style="163" customWidth="1"/>
    <col min="4601" max="4601" width="0.7109375" style="163" customWidth="1"/>
    <col min="4602" max="4602" width="14" style="163" customWidth="1"/>
    <col min="4603" max="4603" width="12.5703125" style="163" bestFit="1" customWidth="1"/>
    <col min="4604" max="4605" width="13.28515625" style="163" customWidth="1"/>
    <col min="4606" max="4606" width="0.7109375" style="163" customWidth="1"/>
    <col min="4607" max="4607" width="14" style="163" customWidth="1"/>
    <col min="4608" max="4608" width="12.5703125" style="163" bestFit="1" customWidth="1"/>
    <col min="4609" max="4610" width="13.28515625" style="163" customWidth="1"/>
    <col min="4611" max="4611" width="0.7109375" style="163" customWidth="1"/>
    <col min="4612" max="4612" width="14" style="163" customWidth="1"/>
    <col min="4613" max="4613" width="12.5703125" style="163" bestFit="1" customWidth="1"/>
    <col min="4614" max="4615" width="13.28515625" style="163" customWidth="1"/>
    <col min="4616" max="4616" width="0.7109375" style="163" customWidth="1"/>
    <col min="4617" max="4617" width="14" style="163" customWidth="1"/>
    <col min="4618" max="4618" width="12.5703125" style="163" bestFit="1" customWidth="1"/>
    <col min="4619" max="4620" width="13.28515625" style="163" customWidth="1"/>
    <col min="4621" max="4622" width="12.5703125" style="163" customWidth="1"/>
    <col min="4623" max="4853" width="2.140625" style="163"/>
    <col min="4854" max="4854" width="0" style="163" hidden="1" customWidth="1"/>
    <col min="4855" max="4855" width="13.85546875" style="163" customWidth="1"/>
    <col min="4856" max="4856" width="24.42578125" style="163" customWidth="1"/>
    <col min="4857" max="4857" width="0.7109375" style="163" customWidth="1"/>
    <col min="4858" max="4858" width="14" style="163" customWidth="1"/>
    <col min="4859" max="4859" width="12.5703125" style="163" bestFit="1" customWidth="1"/>
    <col min="4860" max="4861" width="13.28515625" style="163" customWidth="1"/>
    <col min="4862" max="4862" width="0.7109375" style="163" customWidth="1"/>
    <col min="4863" max="4863" width="14" style="163" customWidth="1"/>
    <col min="4864" max="4864" width="12.5703125" style="163" bestFit="1" customWidth="1"/>
    <col min="4865" max="4866" width="13.28515625" style="163" customWidth="1"/>
    <col min="4867" max="4867" width="0.7109375" style="163" customWidth="1"/>
    <col min="4868" max="4868" width="14" style="163" customWidth="1"/>
    <col min="4869" max="4869" width="12.5703125" style="163" bestFit="1" customWidth="1"/>
    <col min="4870" max="4871" width="13.28515625" style="163" customWidth="1"/>
    <col min="4872" max="4872" width="0.7109375" style="163" customWidth="1"/>
    <col min="4873" max="4873" width="14" style="163" customWidth="1"/>
    <col min="4874" max="4874" width="12.5703125" style="163" bestFit="1" customWidth="1"/>
    <col min="4875" max="4876" width="13.28515625" style="163" customWidth="1"/>
    <col min="4877" max="4878" width="12.5703125" style="163" customWidth="1"/>
    <col min="4879" max="5109" width="2.140625" style="163"/>
    <col min="5110" max="5110" width="0" style="163" hidden="1" customWidth="1"/>
    <col min="5111" max="5111" width="13.85546875" style="163" customWidth="1"/>
    <col min="5112" max="5112" width="24.42578125" style="163" customWidth="1"/>
    <col min="5113" max="5113" width="0.7109375" style="163" customWidth="1"/>
    <col min="5114" max="5114" width="14" style="163" customWidth="1"/>
    <col min="5115" max="5115" width="12.5703125" style="163" bestFit="1" customWidth="1"/>
    <col min="5116" max="5117" width="13.28515625" style="163" customWidth="1"/>
    <col min="5118" max="5118" width="0.7109375" style="163" customWidth="1"/>
    <col min="5119" max="5119" width="14" style="163" customWidth="1"/>
    <col min="5120" max="5120" width="12.5703125" style="163" bestFit="1" customWidth="1"/>
    <col min="5121" max="5122" width="13.28515625" style="163" customWidth="1"/>
    <col min="5123" max="5123" width="0.7109375" style="163" customWidth="1"/>
    <col min="5124" max="5124" width="14" style="163" customWidth="1"/>
    <col min="5125" max="5125" width="12.5703125" style="163" bestFit="1" customWidth="1"/>
    <col min="5126" max="5127" width="13.28515625" style="163" customWidth="1"/>
    <col min="5128" max="5128" width="0.7109375" style="163" customWidth="1"/>
    <col min="5129" max="5129" width="14" style="163" customWidth="1"/>
    <col min="5130" max="5130" width="12.5703125" style="163" bestFit="1" customWidth="1"/>
    <col min="5131" max="5132" width="13.28515625" style="163" customWidth="1"/>
    <col min="5133" max="5134" width="12.5703125" style="163" customWidth="1"/>
    <col min="5135" max="5365" width="2.140625" style="163"/>
    <col min="5366" max="5366" width="0" style="163" hidden="1" customWidth="1"/>
    <col min="5367" max="5367" width="13.85546875" style="163" customWidth="1"/>
    <col min="5368" max="5368" width="24.42578125" style="163" customWidth="1"/>
    <col min="5369" max="5369" width="0.7109375" style="163" customWidth="1"/>
    <col min="5370" max="5370" width="14" style="163" customWidth="1"/>
    <col min="5371" max="5371" width="12.5703125" style="163" bestFit="1" customWidth="1"/>
    <col min="5372" max="5373" width="13.28515625" style="163" customWidth="1"/>
    <col min="5374" max="5374" width="0.7109375" style="163" customWidth="1"/>
    <col min="5375" max="5375" width="14" style="163" customWidth="1"/>
    <col min="5376" max="5376" width="12.5703125" style="163" bestFit="1" customWidth="1"/>
    <col min="5377" max="5378" width="13.28515625" style="163" customWidth="1"/>
    <col min="5379" max="5379" width="0.7109375" style="163" customWidth="1"/>
    <col min="5380" max="5380" width="14" style="163" customWidth="1"/>
    <col min="5381" max="5381" width="12.5703125" style="163" bestFit="1" customWidth="1"/>
    <col min="5382" max="5383" width="13.28515625" style="163" customWidth="1"/>
    <col min="5384" max="5384" width="0.7109375" style="163" customWidth="1"/>
    <col min="5385" max="5385" width="14" style="163" customWidth="1"/>
    <col min="5386" max="5386" width="12.5703125" style="163" bestFit="1" customWidth="1"/>
    <col min="5387" max="5388" width="13.28515625" style="163" customWidth="1"/>
    <col min="5389" max="5390" width="12.5703125" style="163" customWidth="1"/>
    <col min="5391" max="5621" width="2.140625" style="163"/>
    <col min="5622" max="5622" width="0" style="163" hidden="1" customWidth="1"/>
    <col min="5623" max="5623" width="13.85546875" style="163" customWidth="1"/>
    <col min="5624" max="5624" width="24.42578125" style="163" customWidth="1"/>
    <col min="5625" max="5625" width="0.7109375" style="163" customWidth="1"/>
    <col min="5626" max="5626" width="14" style="163" customWidth="1"/>
    <col min="5627" max="5627" width="12.5703125" style="163" bestFit="1" customWidth="1"/>
    <col min="5628" max="5629" width="13.28515625" style="163" customWidth="1"/>
    <col min="5630" max="5630" width="0.7109375" style="163" customWidth="1"/>
    <col min="5631" max="5631" width="14" style="163" customWidth="1"/>
    <col min="5632" max="5632" width="12.5703125" style="163" bestFit="1" customWidth="1"/>
    <col min="5633" max="5634" width="13.28515625" style="163" customWidth="1"/>
    <col min="5635" max="5635" width="0.7109375" style="163" customWidth="1"/>
    <col min="5636" max="5636" width="14" style="163" customWidth="1"/>
    <col min="5637" max="5637" width="12.5703125" style="163" bestFit="1" customWidth="1"/>
    <col min="5638" max="5639" width="13.28515625" style="163" customWidth="1"/>
    <col min="5640" max="5640" width="0.7109375" style="163" customWidth="1"/>
    <col min="5641" max="5641" width="14" style="163" customWidth="1"/>
    <col min="5642" max="5642" width="12.5703125" style="163" bestFit="1" customWidth="1"/>
    <col min="5643" max="5644" width="13.28515625" style="163" customWidth="1"/>
    <col min="5645" max="5646" width="12.5703125" style="163" customWidth="1"/>
    <col min="5647" max="5877" width="2.140625" style="163"/>
    <col min="5878" max="5878" width="0" style="163" hidden="1" customWidth="1"/>
    <col min="5879" max="5879" width="13.85546875" style="163" customWidth="1"/>
    <col min="5880" max="5880" width="24.42578125" style="163" customWidth="1"/>
    <col min="5881" max="5881" width="0.7109375" style="163" customWidth="1"/>
    <col min="5882" max="5882" width="14" style="163" customWidth="1"/>
    <col min="5883" max="5883" width="12.5703125" style="163" bestFit="1" customWidth="1"/>
    <col min="5884" max="5885" width="13.28515625" style="163" customWidth="1"/>
    <col min="5886" max="5886" width="0.7109375" style="163" customWidth="1"/>
    <col min="5887" max="5887" width="14" style="163" customWidth="1"/>
    <col min="5888" max="5888" width="12.5703125" style="163" bestFit="1" customWidth="1"/>
    <col min="5889" max="5890" width="13.28515625" style="163" customWidth="1"/>
    <col min="5891" max="5891" width="0.7109375" style="163" customWidth="1"/>
    <col min="5892" max="5892" width="14" style="163" customWidth="1"/>
    <col min="5893" max="5893" width="12.5703125" style="163" bestFit="1" customWidth="1"/>
    <col min="5894" max="5895" width="13.28515625" style="163" customWidth="1"/>
    <col min="5896" max="5896" width="0.7109375" style="163" customWidth="1"/>
    <col min="5897" max="5897" width="14" style="163" customWidth="1"/>
    <col min="5898" max="5898" width="12.5703125" style="163" bestFit="1" customWidth="1"/>
    <col min="5899" max="5900" width="13.28515625" style="163" customWidth="1"/>
    <col min="5901" max="5902" width="12.5703125" style="163" customWidth="1"/>
    <col min="5903" max="6133" width="2.140625" style="163"/>
    <col min="6134" max="6134" width="0" style="163" hidden="1" customWidth="1"/>
    <col min="6135" max="6135" width="13.85546875" style="163" customWidth="1"/>
    <col min="6136" max="6136" width="24.42578125" style="163" customWidth="1"/>
    <col min="6137" max="6137" width="0.7109375" style="163" customWidth="1"/>
    <col min="6138" max="6138" width="14" style="163" customWidth="1"/>
    <col min="6139" max="6139" width="12.5703125" style="163" bestFit="1" customWidth="1"/>
    <col min="6140" max="6141" width="13.28515625" style="163" customWidth="1"/>
    <col min="6142" max="6142" width="0.7109375" style="163" customWidth="1"/>
    <col min="6143" max="6143" width="14" style="163" customWidth="1"/>
    <col min="6144" max="6144" width="12.5703125" style="163" bestFit="1" customWidth="1"/>
    <col min="6145" max="6146" width="13.28515625" style="163" customWidth="1"/>
    <col min="6147" max="6147" width="0.7109375" style="163" customWidth="1"/>
    <col min="6148" max="6148" width="14" style="163" customWidth="1"/>
    <col min="6149" max="6149" width="12.5703125" style="163" bestFit="1" customWidth="1"/>
    <col min="6150" max="6151" width="13.28515625" style="163" customWidth="1"/>
    <col min="6152" max="6152" width="0.7109375" style="163" customWidth="1"/>
    <col min="6153" max="6153" width="14" style="163" customWidth="1"/>
    <col min="6154" max="6154" width="12.5703125" style="163" bestFit="1" customWidth="1"/>
    <col min="6155" max="6156" width="13.28515625" style="163" customWidth="1"/>
    <col min="6157" max="6158" width="12.5703125" style="163" customWidth="1"/>
    <col min="6159" max="6389" width="2.140625" style="163"/>
    <col min="6390" max="6390" width="0" style="163" hidden="1" customWidth="1"/>
    <col min="6391" max="6391" width="13.85546875" style="163" customWidth="1"/>
    <col min="6392" max="6392" width="24.42578125" style="163" customWidth="1"/>
    <col min="6393" max="6393" width="0.7109375" style="163" customWidth="1"/>
    <col min="6394" max="6394" width="14" style="163" customWidth="1"/>
    <col min="6395" max="6395" width="12.5703125" style="163" bestFit="1" customWidth="1"/>
    <col min="6396" max="6397" width="13.28515625" style="163" customWidth="1"/>
    <col min="6398" max="6398" width="0.7109375" style="163" customWidth="1"/>
    <col min="6399" max="6399" width="14" style="163" customWidth="1"/>
    <col min="6400" max="6400" width="12.5703125" style="163" bestFit="1" customWidth="1"/>
    <col min="6401" max="6402" width="13.28515625" style="163" customWidth="1"/>
    <col min="6403" max="6403" width="0.7109375" style="163" customWidth="1"/>
    <col min="6404" max="6404" width="14" style="163" customWidth="1"/>
    <col min="6405" max="6405" width="12.5703125" style="163" bestFit="1" customWidth="1"/>
    <col min="6406" max="6407" width="13.28515625" style="163" customWidth="1"/>
    <col min="6408" max="6408" width="0.7109375" style="163" customWidth="1"/>
    <col min="6409" max="6409" width="14" style="163" customWidth="1"/>
    <col min="6410" max="6410" width="12.5703125" style="163" bestFit="1" customWidth="1"/>
    <col min="6411" max="6412" width="13.28515625" style="163" customWidth="1"/>
    <col min="6413" max="6414" width="12.5703125" style="163" customWidth="1"/>
    <col min="6415" max="6645" width="2.140625" style="163"/>
    <col min="6646" max="6646" width="0" style="163" hidden="1" customWidth="1"/>
    <col min="6647" max="6647" width="13.85546875" style="163" customWidth="1"/>
    <col min="6648" max="6648" width="24.42578125" style="163" customWidth="1"/>
    <col min="6649" max="6649" width="0.7109375" style="163" customWidth="1"/>
    <col min="6650" max="6650" width="14" style="163" customWidth="1"/>
    <col min="6651" max="6651" width="12.5703125" style="163" bestFit="1" customWidth="1"/>
    <col min="6652" max="6653" width="13.28515625" style="163" customWidth="1"/>
    <col min="6654" max="6654" width="0.7109375" style="163" customWidth="1"/>
    <col min="6655" max="6655" width="14" style="163" customWidth="1"/>
    <col min="6656" max="6656" width="12.5703125" style="163" bestFit="1" customWidth="1"/>
    <col min="6657" max="6658" width="13.28515625" style="163" customWidth="1"/>
    <col min="6659" max="6659" width="0.7109375" style="163" customWidth="1"/>
    <col min="6660" max="6660" width="14" style="163" customWidth="1"/>
    <col min="6661" max="6661" width="12.5703125" style="163" bestFit="1" customWidth="1"/>
    <col min="6662" max="6663" width="13.28515625" style="163" customWidth="1"/>
    <col min="6664" max="6664" width="0.7109375" style="163" customWidth="1"/>
    <col min="6665" max="6665" width="14" style="163" customWidth="1"/>
    <col min="6666" max="6666" width="12.5703125" style="163" bestFit="1" customWidth="1"/>
    <col min="6667" max="6668" width="13.28515625" style="163" customWidth="1"/>
    <col min="6669" max="6670" width="12.5703125" style="163" customWidth="1"/>
    <col min="6671" max="6901" width="2.140625" style="163"/>
    <col min="6902" max="6902" width="0" style="163" hidden="1" customWidth="1"/>
    <col min="6903" max="6903" width="13.85546875" style="163" customWidth="1"/>
    <col min="6904" max="6904" width="24.42578125" style="163" customWidth="1"/>
    <col min="6905" max="6905" width="0.7109375" style="163" customWidth="1"/>
    <col min="6906" max="6906" width="14" style="163" customWidth="1"/>
    <col min="6907" max="6907" width="12.5703125" style="163" bestFit="1" customWidth="1"/>
    <col min="6908" max="6909" width="13.28515625" style="163" customWidth="1"/>
    <col min="6910" max="6910" width="0.7109375" style="163" customWidth="1"/>
    <col min="6911" max="6911" width="14" style="163" customWidth="1"/>
    <col min="6912" max="6912" width="12.5703125" style="163" bestFit="1" customWidth="1"/>
    <col min="6913" max="6914" width="13.28515625" style="163" customWidth="1"/>
    <col min="6915" max="6915" width="0.7109375" style="163" customWidth="1"/>
    <col min="6916" max="6916" width="14" style="163" customWidth="1"/>
    <col min="6917" max="6917" width="12.5703125" style="163" bestFit="1" customWidth="1"/>
    <col min="6918" max="6919" width="13.28515625" style="163" customWidth="1"/>
    <col min="6920" max="6920" width="0.7109375" style="163" customWidth="1"/>
    <col min="6921" max="6921" width="14" style="163" customWidth="1"/>
    <col min="6922" max="6922" width="12.5703125" style="163" bestFit="1" customWidth="1"/>
    <col min="6923" max="6924" width="13.28515625" style="163" customWidth="1"/>
    <col min="6925" max="6926" width="12.5703125" style="163" customWidth="1"/>
    <col min="6927" max="7157" width="2.140625" style="163"/>
    <col min="7158" max="7158" width="0" style="163" hidden="1" customWidth="1"/>
    <col min="7159" max="7159" width="13.85546875" style="163" customWidth="1"/>
    <col min="7160" max="7160" width="24.42578125" style="163" customWidth="1"/>
    <col min="7161" max="7161" width="0.7109375" style="163" customWidth="1"/>
    <col min="7162" max="7162" width="14" style="163" customWidth="1"/>
    <col min="7163" max="7163" width="12.5703125" style="163" bestFit="1" customWidth="1"/>
    <col min="7164" max="7165" width="13.28515625" style="163" customWidth="1"/>
    <col min="7166" max="7166" width="0.7109375" style="163" customWidth="1"/>
    <col min="7167" max="7167" width="14" style="163" customWidth="1"/>
    <col min="7168" max="7168" width="12.5703125" style="163" bestFit="1" customWidth="1"/>
    <col min="7169" max="7170" width="13.28515625" style="163" customWidth="1"/>
    <col min="7171" max="7171" width="0.7109375" style="163" customWidth="1"/>
    <col min="7172" max="7172" width="14" style="163" customWidth="1"/>
    <col min="7173" max="7173" width="12.5703125" style="163" bestFit="1" customWidth="1"/>
    <col min="7174" max="7175" width="13.28515625" style="163" customWidth="1"/>
    <col min="7176" max="7176" width="0.7109375" style="163" customWidth="1"/>
    <col min="7177" max="7177" width="14" style="163" customWidth="1"/>
    <col min="7178" max="7178" width="12.5703125" style="163" bestFit="1" customWidth="1"/>
    <col min="7179" max="7180" width="13.28515625" style="163" customWidth="1"/>
    <col min="7181" max="7182" width="12.5703125" style="163" customWidth="1"/>
    <col min="7183" max="7413" width="2.140625" style="163"/>
    <col min="7414" max="7414" width="0" style="163" hidden="1" customWidth="1"/>
    <col min="7415" max="7415" width="13.85546875" style="163" customWidth="1"/>
    <col min="7416" max="7416" width="24.42578125" style="163" customWidth="1"/>
    <col min="7417" max="7417" width="0.7109375" style="163" customWidth="1"/>
    <col min="7418" max="7418" width="14" style="163" customWidth="1"/>
    <col min="7419" max="7419" width="12.5703125" style="163" bestFit="1" customWidth="1"/>
    <col min="7420" max="7421" width="13.28515625" style="163" customWidth="1"/>
    <col min="7422" max="7422" width="0.7109375" style="163" customWidth="1"/>
    <col min="7423" max="7423" width="14" style="163" customWidth="1"/>
    <col min="7424" max="7424" width="12.5703125" style="163" bestFit="1" customWidth="1"/>
    <col min="7425" max="7426" width="13.28515625" style="163" customWidth="1"/>
    <col min="7427" max="7427" width="0.7109375" style="163" customWidth="1"/>
    <col min="7428" max="7428" width="14" style="163" customWidth="1"/>
    <col min="7429" max="7429" width="12.5703125" style="163" bestFit="1" customWidth="1"/>
    <col min="7430" max="7431" width="13.28515625" style="163" customWidth="1"/>
    <col min="7432" max="7432" width="0.7109375" style="163" customWidth="1"/>
    <col min="7433" max="7433" width="14" style="163" customWidth="1"/>
    <col min="7434" max="7434" width="12.5703125" style="163" bestFit="1" customWidth="1"/>
    <col min="7435" max="7436" width="13.28515625" style="163" customWidth="1"/>
    <col min="7437" max="7438" width="12.5703125" style="163" customWidth="1"/>
    <col min="7439" max="7669" width="2.140625" style="163"/>
    <col min="7670" max="7670" width="0" style="163" hidden="1" customWidth="1"/>
    <col min="7671" max="7671" width="13.85546875" style="163" customWidth="1"/>
    <col min="7672" max="7672" width="24.42578125" style="163" customWidth="1"/>
    <col min="7673" max="7673" width="0.7109375" style="163" customWidth="1"/>
    <col min="7674" max="7674" width="14" style="163" customWidth="1"/>
    <col min="7675" max="7675" width="12.5703125" style="163" bestFit="1" customWidth="1"/>
    <col min="7676" max="7677" width="13.28515625" style="163" customWidth="1"/>
    <col min="7678" max="7678" width="0.7109375" style="163" customWidth="1"/>
    <col min="7679" max="7679" width="14" style="163" customWidth="1"/>
    <col min="7680" max="7680" width="12.5703125" style="163" bestFit="1" customWidth="1"/>
    <col min="7681" max="7682" width="13.28515625" style="163" customWidth="1"/>
    <col min="7683" max="7683" width="0.7109375" style="163" customWidth="1"/>
    <col min="7684" max="7684" width="14" style="163" customWidth="1"/>
    <col min="7685" max="7685" width="12.5703125" style="163" bestFit="1" customWidth="1"/>
    <col min="7686" max="7687" width="13.28515625" style="163" customWidth="1"/>
    <col min="7688" max="7688" width="0.7109375" style="163" customWidth="1"/>
    <col min="7689" max="7689" width="14" style="163" customWidth="1"/>
    <col min="7690" max="7690" width="12.5703125" style="163" bestFit="1" customWidth="1"/>
    <col min="7691" max="7692" width="13.28515625" style="163" customWidth="1"/>
    <col min="7693" max="7694" width="12.5703125" style="163" customWidth="1"/>
    <col min="7695" max="7925" width="2.140625" style="163"/>
    <col min="7926" max="7926" width="0" style="163" hidden="1" customWidth="1"/>
    <col min="7927" max="7927" width="13.85546875" style="163" customWidth="1"/>
    <col min="7928" max="7928" width="24.42578125" style="163" customWidth="1"/>
    <col min="7929" max="7929" width="0.7109375" style="163" customWidth="1"/>
    <col min="7930" max="7930" width="14" style="163" customWidth="1"/>
    <col min="7931" max="7931" width="12.5703125" style="163" bestFit="1" customWidth="1"/>
    <col min="7932" max="7933" width="13.28515625" style="163" customWidth="1"/>
    <col min="7934" max="7934" width="0.7109375" style="163" customWidth="1"/>
    <col min="7935" max="7935" width="14" style="163" customWidth="1"/>
    <col min="7936" max="7936" width="12.5703125" style="163" bestFit="1" customWidth="1"/>
    <col min="7937" max="7938" width="13.28515625" style="163" customWidth="1"/>
    <col min="7939" max="7939" width="0.7109375" style="163" customWidth="1"/>
    <col min="7940" max="7940" width="14" style="163" customWidth="1"/>
    <col min="7941" max="7941" width="12.5703125" style="163" bestFit="1" customWidth="1"/>
    <col min="7942" max="7943" width="13.28515625" style="163" customWidth="1"/>
    <col min="7944" max="7944" width="0.7109375" style="163" customWidth="1"/>
    <col min="7945" max="7945" width="14" style="163" customWidth="1"/>
    <col min="7946" max="7946" width="12.5703125" style="163" bestFit="1" customWidth="1"/>
    <col min="7947" max="7948" width="13.28515625" style="163" customWidth="1"/>
    <col min="7949" max="7950" width="12.5703125" style="163" customWidth="1"/>
    <col min="7951" max="8181" width="2.140625" style="163"/>
    <col min="8182" max="8182" width="0" style="163" hidden="1" customWidth="1"/>
    <col min="8183" max="8183" width="13.85546875" style="163" customWidth="1"/>
    <col min="8184" max="8184" width="24.42578125" style="163" customWidth="1"/>
    <col min="8185" max="8185" width="0.7109375" style="163" customWidth="1"/>
    <col min="8186" max="8186" width="14" style="163" customWidth="1"/>
    <col min="8187" max="8187" width="12.5703125" style="163" bestFit="1" customWidth="1"/>
    <col min="8188" max="8189" width="13.28515625" style="163" customWidth="1"/>
    <col min="8190" max="8190" width="0.7109375" style="163" customWidth="1"/>
    <col min="8191" max="8191" width="14" style="163" customWidth="1"/>
    <col min="8192" max="8192" width="12.5703125" style="163" bestFit="1" customWidth="1"/>
    <col min="8193" max="8194" width="13.28515625" style="163" customWidth="1"/>
    <col min="8195" max="8195" width="0.7109375" style="163" customWidth="1"/>
    <col min="8196" max="8196" width="14" style="163" customWidth="1"/>
    <col min="8197" max="8197" width="12.5703125" style="163" bestFit="1" customWidth="1"/>
    <col min="8198" max="8199" width="13.28515625" style="163" customWidth="1"/>
    <col min="8200" max="8200" width="0.7109375" style="163" customWidth="1"/>
    <col min="8201" max="8201" width="14" style="163" customWidth="1"/>
    <col min="8202" max="8202" width="12.5703125" style="163" bestFit="1" customWidth="1"/>
    <col min="8203" max="8204" width="13.28515625" style="163" customWidth="1"/>
    <col min="8205" max="8206" width="12.5703125" style="163" customWidth="1"/>
    <col min="8207" max="8437" width="2.140625" style="163"/>
    <col min="8438" max="8438" width="0" style="163" hidden="1" customWidth="1"/>
    <col min="8439" max="8439" width="13.85546875" style="163" customWidth="1"/>
    <col min="8440" max="8440" width="24.42578125" style="163" customWidth="1"/>
    <col min="8441" max="8441" width="0.7109375" style="163" customWidth="1"/>
    <col min="8442" max="8442" width="14" style="163" customWidth="1"/>
    <col min="8443" max="8443" width="12.5703125" style="163" bestFit="1" customWidth="1"/>
    <col min="8444" max="8445" width="13.28515625" style="163" customWidth="1"/>
    <col min="8446" max="8446" width="0.7109375" style="163" customWidth="1"/>
    <col min="8447" max="8447" width="14" style="163" customWidth="1"/>
    <col min="8448" max="8448" width="12.5703125" style="163" bestFit="1" customWidth="1"/>
    <col min="8449" max="8450" width="13.28515625" style="163" customWidth="1"/>
    <col min="8451" max="8451" width="0.7109375" style="163" customWidth="1"/>
    <col min="8452" max="8452" width="14" style="163" customWidth="1"/>
    <col min="8453" max="8453" width="12.5703125" style="163" bestFit="1" customWidth="1"/>
    <col min="8454" max="8455" width="13.28515625" style="163" customWidth="1"/>
    <col min="8456" max="8456" width="0.7109375" style="163" customWidth="1"/>
    <col min="8457" max="8457" width="14" style="163" customWidth="1"/>
    <col min="8458" max="8458" width="12.5703125" style="163" bestFit="1" customWidth="1"/>
    <col min="8459" max="8460" width="13.28515625" style="163" customWidth="1"/>
    <col min="8461" max="8462" width="12.5703125" style="163" customWidth="1"/>
    <col min="8463" max="8693" width="2.140625" style="163"/>
    <col min="8694" max="8694" width="0" style="163" hidden="1" customWidth="1"/>
    <col min="8695" max="8695" width="13.85546875" style="163" customWidth="1"/>
    <col min="8696" max="8696" width="24.42578125" style="163" customWidth="1"/>
    <col min="8697" max="8697" width="0.7109375" style="163" customWidth="1"/>
    <col min="8698" max="8698" width="14" style="163" customWidth="1"/>
    <col min="8699" max="8699" width="12.5703125" style="163" bestFit="1" customWidth="1"/>
    <col min="8700" max="8701" width="13.28515625" style="163" customWidth="1"/>
    <col min="8702" max="8702" width="0.7109375" style="163" customWidth="1"/>
    <col min="8703" max="8703" width="14" style="163" customWidth="1"/>
    <col min="8704" max="8704" width="12.5703125" style="163" bestFit="1" customWidth="1"/>
    <col min="8705" max="8706" width="13.28515625" style="163" customWidth="1"/>
    <col min="8707" max="8707" width="0.7109375" style="163" customWidth="1"/>
    <col min="8708" max="8708" width="14" style="163" customWidth="1"/>
    <col min="8709" max="8709" width="12.5703125" style="163" bestFit="1" customWidth="1"/>
    <col min="8710" max="8711" width="13.28515625" style="163" customWidth="1"/>
    <col min="8712" max="8712" width="0.7109375" style="163" customWidth="1"/>
    <col min="8713" max="8713" width="14" style="163" customWidth="1"/>
    <col min="8714" max="8714" width="12.5703125" style="163" bestFit="1" customWidth="1"/>
    <col min="8715" max="8716" width="13.28515625" style="163" customWidth="1"/>
    <col min="8717" max="8718" width="12.5703125" style="163" customWidth="1"/>
    <col min="8719" max="8949" width="2.140625" style="163"/>
    <col min="8950" max="8950" width="0" style="163" hidden="1" customWidth="1"/>
    <col min="8951" max="8951" width="13.85546875" style="163" customWidth="1"/>
    <col min="8952" max="8952" width="24.42578125" style="163" customWidth="1"/>
    <col min="8953" max="8953" width="0.7109375" style="163" customWidth="1"/>
    <col min="8954" max="8954" width="14" style="163" customWidth="1"/>
    <col min="8955" max="8955" width="12.5703125" style="163" bestFit="1" customWidth="1"/>
    <col min="8956" max="8957" width="13.28515625" style="163" customWidth="1"/>
    <col min="8958" max="8958" width="0.7109375" style="163" customWidth="1"/>
    <col min="8959" max="8959" width="14" style="163" customWidth="1"/>
    <col min="8960" max="8960" width="12.5703125" style="163" bestFit="1" customWidth="1"/>
    <col min="8961" max="8962" width="13.28515625" style="163" customWidth="1"/>
    <col min="8963" max="8963" width="0.7109375" style="163" customWidth="1"/>
    <col min="8964" max="8964" width="14" style="163" customWidth="1"/>
    <col min="8965" max="8965" width="12.5703125" style="163" bestFit="1" customWidth="1"/>
    <col min="8966" max="8967" width="13.28515625" style="163" customWidth="1"/>
    <col min="8968" max="8968" width="0.7109375" style="163" customWidth="1"/>
    <col min="8969" max="8969" width="14" style="163" customWidth="1"/>
    <col min="8970" max="8970" width="12.5703125" style="163" bestFit="1" customWidth="1"/>
    <col min="8971" max="8972" width="13.28515625" style="163" customWidth="1"/>
    <col min="8973" max="8974" width="12.5703125" style="163" customWidth="1"/>
    <col min="8975" max="9205" width="2.140625" style="163"/>
    <col min="9206" max="9206" width="0" style="163" hidden="1" customWidth="1"/>
    <col min="9207" max="9207" width="13.85546875" style="163" customWidth="1"/>
    <col min="9208" max="9208" width="24.42578125" style="163" customWidth="1"/>
    <col min="9209" max="9209" width="0.7109375" style="163" customWidth="1"/>
    <col min="9210" max="9210" width="14" style="163" customWidth="1"/>
    <col min="9211" max="9211" width="12.5703125" style="163" bestFit="1" customWidth="1"/>
    <col min="9212" max="9213" width="13.28515625" style="163" customWidth="1"/>
    <col min="9214" max="9214" width="0.7109375" style="163" customWidth="1"/>
    <col min="9215" max="9215" width="14" style="163" customWidth="1"/>
    <col min="9216" max="9216" width="12.5703125" style="163" bestFit="1" customWidth="1"/>
    <col min="9217" max="9218" width="13.28515625" style="163" customWidth="1"/>
    <col min="9219" max="9219" width="0.7109375" style="163" customWidth="1"/>
    <col min="9220" max="9220" width="14" style="163" customWidth="1"/>
    <col min="9221" max="9221" width="12.5703125" style="163" bestFit="1" customWidth="1"/>
    <col min="9222" max="9223" width="13.28515625" style="163" customWidth="1"/>
    <col min="9224" max="9224" width="0.7109375" style="163" customWidth="1"/>
    <col min="9225" max="9225" width="14" style="163" customWidth="1"/>
    <col min="9226" max="9226" width="12.5703125" style="163" bestFit="1" customWidth="1"/>
    <col min="9227" max="9228" width="13.28515625" style="163" customWidth="1"/>
    <col min="9229" max="9230" width="12.5703125" style="163" customWidth="1"/>
    <col min="9231" max="9461" width="2.140625" style="163"/>
    <col min="9462" max="9462" width="0" style="163" hidden="1" customWidth="1"/>
    <col min="9463" max="9463" width="13.85546875" style="163" customWidth="1"/>
    <col min="9464" max="9464" width="24.42578125" style="163" customWidth="1"/>
    <col min="9465" max="9465" width="0.7109375" style="163" customWidth="1"/>
    <col min="9466" max="9466" width="14" style="163" customWidth="1"/>
    <col min="9467" max="9467" width="12.5703125" style="163" bestFit="1" customWidth="1"/>
    <col min="9468" max="9469" width="13.28515625" style="163" customWidth="1"/>
    <col min="9470" max="9470" width="0.7109375" style="163" customWidth="1"/>
    <col min="9471" max="9471" width="14" style="163" customWidth="1"/>
    <col min="9472" max="9472" width="12.5703125" style="163" bestFit="1" customWidth="1"/>
    <col min="9473" max="9474" width="13.28515625" style="163" customWidth="1"/>
    <col min="9475" max="9475" width="0.7109375" style="163" customWidth="1"/>
    <col min="9476" max="9476" width="14" style="163" customWidth="1"/>
    <col min="9477" max="9477" width="12.5703125" style="163" bestFit="1" customWidth="1"/>
    <col min="9478" max="9479" width="13.28515625" style="163" customWidth="1"/>
    <col min="9480" max="9480" width="0.7109375" style="163" customWidth="1"/>
    <col min="9481" max="9481" width="14" style="163" customWidth="1"/>
    <col min="9482" max="9482" width="12.5703125" style="163" bestFit="1" customWidth="1"/>
    <col min="9483" max="9484" width="13.28515625" style="163" customWidth="1"/>
    <col min="9485" max="9486" width="12.5703125" style="163" customWidth="1"/>
    <col min="9487" max="9717" width="2.140625" style="163"/>
    <col min="9718" max="9718" width="0" style="163" hidden="1" customWidth="1"/>
    <col min="9719" max="9719" width="13.85546875" style="163" customWidth="1"/>
    <col min="9720" max="9720" width="24.42578125" style="163" customWidth="1"/>
    <col min="9721" max="9721" width="0.7109375" style="163" customWidth="1"/>
    <col min="9722" max="9722" width="14" style="163" customWidth="1"/>
    <col min="9723" max="9723" width="12.5703125" style="163" bestFit="1" customWidth="1"/>
    <col min="9724" max="9725" width="13.28515625" style="163" customWidth="1"/>
    <col min="9726" max="9726" width="0.7109375" style="163" customWidth="1"/>
    <col min="9727" max="9727" width="14" style="163" customWidth="1"/>
    <col min="9728" max="9728" width="12.5703125" style="163" bestFit="1" customWidth="1"/>
    <col min="9729" max="9730" width="13.28515625" style="163" customWidth="1"/>
    <col min="9731" max="9731" width="0.7109375" style="163" customWidth="1"/>
    <col min="9732" max="9732" width="14" style="163" customWidth="1"/>
    <col min="9733" max="9733" width="12.5703125" style="163" bestFit="1" customWidth="1"/>
    <col min="9734" max="9735" width="13.28515625" style="163" customWidth="1"/>
    <col min="9736" max="9736" width="0.7109375" style="163" customWidth="1"/>
    <col min="9737" max="9737" width="14" style="163" customWidth="1"/>
    <col min="9738" max="9738" width="12.5703125" style="163" bestFit="1" customWidth="1"/>
    <col min="9739" max="9740" width="13.28515625" style="163" customWidth="1"/>
    <col min="9741" max="9742" width="12.5703125" style="163" customWidth="1"/>
    <col min="9743" max="9973" width="2.140625" style="163"/>
    <col min="9974" max="9974" width="0" style="163" hidden="1" customWidth="1"/>
    <col min="9975" max="9975" width="13.85546875" style="163" customWidth="1"/>
    <col min="9976" max="9976" width="24.42578125" style="163" customWidth="1"/>
    <col min="9977" max="9977" width="0.7109375" style="163" customWidth="1"/>
    <col min="9978" max="9978" width="14" style="163" customWidth="1"/>
    <col min="9979" max="9979" width="12.5703125" style="163" bestFit="1" customWidth="1"/>
    <col min="9980" max="9981" width="13.28515625" style="163" customWidth="1"/>
    <col min="9982" max="9982" width="0.7109375" style="163" customWidth="1"/>
    <col min="9983" max="9983" width="14" style="163" customWidth="1"/>
    <col min="9984" max="9984" width="12.5703125" style="163" bestFit="1" customWidth="1"/>
    <col min="9985" max="9986" width="13.28515625" style="163" customWidth="1"/>
    <col min="9987" max="9987" width="0.7109375" style="163" customWidth="1"/>
    <col min="9988" max="9988" width="14" style="163" customWidth="1"/>
    <col min="9989" max="9989" width="12.5703125" style="163" bestFit="1" customWidth="1"/>
    <col min="9990" max="9991" width="13.28515625" style="163" customWidth="1"/>
    <col min="9992" max="9992" width="0.7109375" style="163" customWidth="1"/>
    <col min="9993" max="9993" width="14" style="163" customWidth="1"/>
    <col min="9994" max="9994" width="12.5703125" style="163" bestFit="1" customWidth="1"/>
    <col min="9995" max="9996" width="13.28515625" style="163" customWidth="1"/>
    <col min="9997" max="9998" width="12.5703125" style="163" customWidth="1"/>
    <col min="9999" max="10229" width="2.140625" style="163"/>
    <col min="10230" max="10230" width="0" style="163" hidden="1" customWidth="1"/>
    <col min="10231" max="10231" width="13.85546875" style="163" customWidth="1"/>
    <col min="10232" max="10232" width="24.42578125" style="163" customWidth="1"/>
    <col min="10233" max="10233" width="0.7109375" style="163" customWidth="1"/>
    <col min="10234" max="10234" width="14" style="163" customWidth="1"/>
    <col min="10235" max="10235" width="12.5703125" style="163" bestFit="1" customWidth="1"/>
    <col min="10236" max="10237" width="13.28515625" style="163" customWidth="1"/>
    <col min="10238" max="10238" width="0.7109375" style="163" customWidth="1"/>
    <col min="10239" max="10239" width="14" style="163" customWidth="1"/>
    <col min="10240" max="10240" width="12.5703125" style="163" bestFit="1" customWidth="1"/>
    <col min="10241" max="10242" width="13.28515625" style="163" customWidth="1"/>
    <col min="10243" max="10243" width="0.7109375" style="163" customWidth="1"/>
    <col min="10244" max="10244" width="14" style="163" customWidth="1"/>
    <col min="10245" max="10245" width="12.5703125" style="163" bestFit="1" customWidth="1"/>
    <col min="10246" max="10247" width="13.28515625" style="163" customWidth="1"/>
    <col min="10248" max="10248" width="0.7109375" style="163" customWidth="1"/>
    <col min="10249" max="10249" width="14" style="163" customWidth="1"/>
    <col min="10250" max="10250" width="12.5703125" style="163" bestFit="1" customWidth="1"/>
    <col min="10251" max="10252" width="13.28515625" style="163" customWidth="1"/>
    <col min="10253" max="10254" width="12.5703125" style="163" customWidth="1"/>
    <col min="10255" max="10485" width="2.140625" style="163"/>
    <col min="10486" max="10486" width="0" style="163" hidden="1" customWidth="1"/>
    <col min="10487" max="10487" width="13.85546875" style="163" customWidth="1"/>
    <col min="10488" max="10488" width="24.42578125" style="163" customWidth="1"/>
    <col min="10489" max="10489" width="0.7109375" style="163" customWidth="1"/>
    <col min="10490" max="10490" width="14" style="163" customWidth="1"/>
    <col min="10491" max="10491" width="12.5703125" style="163" bestFit="1" customWidth="1"/>
    <col min="10492" max="10493" width="13.28515625" style="163" customWidth="1"/>
    <col min="10494" max="10494" width="0.7109375" style="163" customWidth="1"/>
    <col min="10495" max="10495" width="14" style="163" customWidth="1"/>
    <col min="10496" max="10496" width="12.5703125" style="163" bestFit="1" customWidth="1"/>
    <col min="10497" max="10498" width="13.28515625" style="163" customWidth="1"/>
    <col min="10499" max="10499" width="0.7109375" style="163" customWidth="1"/>
    <col min="10500" max="10500" width="14" style="163" customWidth="1"/>
    <col min="10501" max="10501" width="12.5703125" style="163" bestFit="1" customWidth="1"/>
    <col min="10502" max="10503" width="13.28515625" style="163" customWidth="1"/>
    <col min="10504" max="10504" width="0.7109375" style="163" customWidth="1"/>
    <col min="10505" max="10505" width="14" style="163" customWidth="1"/>
    <col min="10506" max="10506" width="12.5703125" style="163" bestFit="1" customWidth="1"/>
    <col min="10507" max="10508" width="13.28515625" style="163" customWidth="1"/>
    <col min="10509" max="10510" width="12.5703125" style="163" customWidth="1"/>
    <col min="10511" max="10741" width="2.140625" style="163"/>
    <col min="10742" max="10742" width="0" style="163" hidden="1" customWidth="1"/>
    <col min="10743" max="10743" width="13.85546875" style="163" customWidth="1"/>
    <col min="10744" max="10744" width="24.42578125" style="163" customWidth="1"/>
    <col min="10745" max="10745" width="0.7109375" style="163" customWidth="1"/>
    <col min="10746" max="10746" width="14" style="163" customWidth="1"/>
    <col min="10747" max="10747" width="12.5703125" style="163" bestFit="1" customWidth="1"/>
    <col min="10748" max="10749" width="13.28515625" style="163" customWidth="1"/>
    <col min="10750" max="10750" width="0.7109375" style="163" customWidth="1"/>
    <col min="10751" max="10751" width="14" style="163" customWidth="1"/>
    <col min="10752" max="10752" width="12.5703125" style="163" bestFit="1" customWidth="1"/>
    <col min="10753" max="10754" width="13.28515625" style="163" customWidth="1"/>
    <col min="10755" max="10755" width="0.7109375" style="163" customWidth="1"/>
    <col min="10756" max="10756" width="14" style="163" customWidth="1"/>
    <col min="10757" max="10757" width="12.5703125" style="163" bestFit="1" customWidth="1"/>
    <col min="10758" max="10759" width="13.28515625" style="163" customWidth="1"/>
    <col min="10760" max="10760" width="0.7109375" style="163" customWidth="1"/>
    <col min="10761" max="10761" width="14" style="163" customWidth="1"/>
    <col min="10762" max="10762" width="12.5703125" style="163" bestFit="1" customWidth="1"/>
    <col min="10763" max="10764" width="13.28515625" style="163" customWidth="1"/>
    <col min="10765" max="10766" width="12.5703125" style="163" customWidth="1"/>
    <col min="10767" max="10997" width="2.140625" style="163"/>
    <col min="10998" max="10998" width="0" style="163" hidden="1" customWidth="1"/>
    <col min="10999" max="10999" width="13.85546875" style="163" customWidth="1"/>
    <col min="11000" max="11000" width="24.42578125" style="163" customWidth="1"/>
    <col min="11001" max="11001" width="0.7109375" style="163" customWidth="1"/>
    <col min="11002" max="11002" width="14" style="163" customWidth="1"/>
    <col min="11003" max="11003" width="12.5703125" style="163" bestFit="1" customWidth="1"/>
    <col min="11004" max="11005" width="13.28515625" style="163" customWidth="1"/>
    <col min="11006" max="11006" width="0.7109375" style="163" customWidth="1"/>
    <col min="11007" max="11007" width="14" style="163" customWidth="1"/>
    <col min="11008" max="11008" width="12.5703125" style="163" bestFit="1" customWidth="1"/>
    <col min="11009" max="11010" width="13.28515625" style="163" customWidth="1"/>
    <col min="11011" max="11011" width="0.7109375" style="163" customWidth="1"/>
    <col min="11012" max="11012" width="14" style="163" customWidth="1"/>
    <col min="11013" max="11013" width="12.5703125" style="163" bestFit="1" customWidth="1"/>
    <col min="11014" max="11015" width="13.28515625" style="163" customWidth="1"/>
    <col min="11016" max="11016" width="0.7109375" style="163" customWidth="1"/>
    <col min="11017" max="11017" width="14" style="163" customWidth="1"/>
    <col min="11018" max="11018" width="12.5703125" style="163" bestFit="1" customWidth="1"/>
    <col min="11019" max="11020" width="13.28515625" style="163" customWidth="1"/>
    <col min="11021" max="11022" width="12.5703125" style="163" customWidth="1"/>
    <col min="11023" max="11253" width="2.140625" style="163"/>
    <col min="11254" max="11254" width="0" style="163" hidden="1" customWidth="1"/>
    <col min="11255" max="11255" width="13.85546875" style="163" customWidth="1"/>
    <col min="11256" max="11256" width="24.42578125" style="163" customWidth="1"/>
    <col min="11257" max="11257" width="0.7109375" style="163" customWidth="1"/>
    <col min="11258" max="11258" width="14" style="163" customWidth="1"/>
    <col min="11259" max="11259" width="12.5703125" style="163" bestFit="1" customWidth="1"/>
    <col min="11260" max="11261" width="13.28515625" style="163" customWidth="1"/>
    <col min="11262" max="11262" width="0.7109375" style="163" customWidth="1"/>
    <col min="11263" max="11263" width="14" style="163" customWidth="1"/>
    <col min="11264" max="11264" width="12.5703125" style="163" bestFit="1" customWidth="1"/>
    <col min="11265" max="11266" width="13.28515625" style="163" customWidth="1"/>
    <col min="11267" max="11267" width="0.7109375" style="163" customWidth="1"/>
    <col min="11268" max="11268" width="14" style="163" customWidth="1"/>
    <col min="11269" max="11269" width="12.5703125" style="163" bestFit="1" customWidth="1"/>
    <col min="11270" max="11271" width="13.28515625" style="163" customWidth="1"/>
    <col min="11272" max="11272" width="0.7109375" style="163" customWidth="1"/>
    <col min="11273" max="11273" width="14" style="163" customWidth="1"/>
    <col min="11274" max="11274" width="12.5703125" style="163" bestFit="1" customWidth="1"/>
    <col min="11275" max="11276" width="13.28515625" style="163" customWidth="1"/>
    <col min="11277" max="11278" width="12.5703125" style="163" customWidth="1"/>
    <col min="11279" max="11509" width="2.140625" style="163"/>
    <col min="11510" max="11510" width="0" style="163" hidden="1" customWidth="1"/>
    <col min="11511" max="11511" width="13.85546875" style="163" customWidth="1"/>
    <col min="11512" max="11512" width="24.42578125" style="163" customWidth="1"/>
    <col min="11513" max="11513" width="0.7109375" style="163" customWidth="1"/>
    <col min="11514" max="11514" width="14" style="163" customWidth="1"/>
    <col min="11515" max="11515" width="12.5703125" style="163" bestFit="1" customWidth="1"/>
    <col min="11516" max="11517" width="13.28515625" style="163" customWidth="1"/>
    <col min="11518" max="11518" width="0.7109375" style="163" customWidth="1"/>
    <col min="11519" max="11519" width="14" style="163" customWidth="1"/>
    <col min="11520" max="11520" width="12.5703125" style="163" bestFit="1" customWidth="1"/>
    <col min="11521" max="11522" width="13.28515625" style="163" customWidth="1"/>
    <col min="11523" max="11523" width="0.7109375" style="163" customWidth="1"/>
    <col min="11524" max="11524" width="14" style="163" customWidth="1"/>
    <col min="11525" max="11525" width="12.5703125" style="163" bestFit="1" customWidth="1"/>
    <col min="11526" max="11527" width="13.28515625" style="163" customWidth="1"/>
    <col min="11528" max="11528" width="0.7109375" style="163" customWidth="1"/>
    <col min="11529" max="11529" width="14" style="163" customWidth="1"/>
    <col min="11530" max="11530" width="12.5703125" style="163" bestFit="1" customWidth="1"/>
    <col min="11531" max="11532" width="13.28515625" style="163" customWidth="1"/>
    <col min="11533" max="11534" width="12.5703125" style="163" customWidth="1"/>
    <col min="11535" max="11765" width="2.140625" style="163"/>
    <col min="11766" max="11766" width="0" style="163" hidden="1" customWidth="1"/>
    <col min="11767" max="11767" width="13.85546875" style="163" customWidth="1"/>
    <col min="11768" max="11768" width="24.42578125" style="163" customWidth="1"/>
    <col min="11769" max="11769" width="0.7109375" style="163" customWidth="1"/>
    <col min="11770" max="11770" width="14" style="163" customWidth="1"/>
    <col min="11771" max="11771" width="12.5703125" style="163" bestFit="1" customWidth="1"/>
    <col min="11772" max="11773" width="13.28515625" style="163" customWidth="1"/>
    <col min="11774" max="11774" width="0.7109375" style="163" customWidth="1"/>
    <col min="11775" max="11775" width="14" style="163" customWidth="1"/>
    <col min="11776" max="11776" width="12.5703125" style="163" bestFit="1" customWidth="1"/>
    <col min="11777" max="11778" width="13.28515625" style="163" customWidth="1"/>
    <col min="11779" max="11779" width="0.7109375" style="163" customWidth="1"/>
    <col min="11780" max="11780" width="14" style="163" customWidth="1"/>
    <col min="11781" max="11781" width="12.5703125" style="163" bestFit="1" customWidth="1"/>
    <col min="11782" max="11783" width="13.28515625" style="163" customWidth="1"/>
    <col min="11784" max="11784" width="0.7109375" style="163" customWidth="1"/>
    <col min="11785" max="11785" width="14" style="163" customWidth="1"/>
    <col min="11786" max="11786" width="12.5703125" style="163" bestFit="1" customWidth="1"/>
    <col min="11787" max="11788" width="13.28515625" style="163" customWidth="1"/>
    <col min="11789" max="11790" width="12.5703125" style="163" customWidth="1"/>
    <col min="11791" max="12021" width="2.140625" style="163"/>
    <col min="12022" max="12022" width="0" style="163" hidden="1" customWidth="1"/>
    <col min="12023" max="12023" width="13.85546875" style="163" customWidth="1"/>
    <col min="12024" max="12024" width="24.42578125" style="163" customWidth="1"/>
    <col min="12025" max="12025" width="0.7109375" style="163" customWidth="1"/>
    <col min="12026" max="12026" width="14" style="163" customWidth="1"/>
    <col min="12027" max="12027" width="12.5703125" style="163" bestFit="1" customWidth="1"/>
    <col min="12028" max="12029" width="13.28515625" style="163" customWidth="1"/>
    <col min="12030" max="12030" width="0.7109375" style="163" customWidth="1"/>
    <col min="12031" max="12031" width="14" style="163" customWidth="1"/>
    <col min="12032" max="12032" width="12.5703125" style="163" bestFit="1" customWidth="1"/>
    <col min="12033" max="12034" width="13.28515625" style="163" customWidth="1"/>
    <col min="12035" max="12035" width="0.7109375" style="163" customWidth="1"/>
    <col min="12036" max="12036" width="14" style="163" customWidth="1"/>
    <col min="12037" max="12037" width="12.5703125" style="163" bestFit="1" customWidth="1"/>
    <col min="12038" max="12039" width="13.28515625" style="163" customWidth="1"/>
    <col min="12040" max="12040" width="0.7109375" style="163" customWidth="1"/>
    <col min="12041" max="12041" width="14" style="163" customWidth="1"/>
    <col min="12042" max="12042" width="12.5703125" style="163" bestFit="1" customWidth="1"/>
    <col min="12043" max="12044" width="13.28515625" style="163" customWidth="1"/>
    <col min="12045" max="12046" width="12.5703125" style="163" customWidth="1"/>
    <col min="12047" max="12277" width="2.140625" style="163"/>
    <col min="12278" max="12278" width="0" style="163" hidden="1" customWidth="1"/>
    <col min="12279" max="12279" width="13.85546875" style="163" customWidth="1"/>
    <col min="12280" max="12280" width="24.42578125" style="163" customWidth="1"/>
    <col min="12281" max="12281" width="0.7109375" style="163" customWidth="1"/>
    <col min="12282" max="12282" width="14" style="163" customWidth="1"/>
    <col min="12283" max="12283" width="12.5703125" style="163" bestFit="1" customWidth="1"/>
    <col min="12284" max="12285" width="13.28515625" style="163" customWidth="1"/>
    <col min="12286" max="12286" width="0.7109375" style="163" customWidth="1"/>
    <col min="12287" max="12287" width="14" style="163" customWidth="1"/>
    <col min="12288" max="12288" width="12.5703125" style="163" bestFit="1" customWidth="1"/>
    <col min="12289" max="12290" width="13.28515625" style="163" customWidth="1"/>
    <col min="12291" max="12291" width="0.7109375" style="163" customWidth="1"/>
    <col min="12292" max="12292" width="14" style="163" customWidth="1"/>
    <col min="12293" max="12293" width="12.5703125" style="163" bestFit="1" customWidth="1"/>
    <col min="12294" max="12295" width="13.28515625" style="163" customWidth="1"/>
    <col min="12296" max="12296" width="0.7109375" style="163" customWidth="1"/>
    <col min="12297" max="12297" width="14" style="163" customWidth="1"/>
    <col min="12298" max="12298" width="12.5703125" style="163" bestFit="1" customWidth="1"/>
    <col min="12299" max="12300" width="13.28515625" style="163" customWidth="1"/>
    <col min="12301" max="12302" width="12.5703125" style="163" customWidth="1"/>
    <col min="12303" max="12533" width="2.140625" style="163"/>
    <col min="12534" max="12534" width="0" style="163" hidden="1" customWidth="1"/>
    <col min="12535" max="12535" width="13.85546875" style="163" customWidth="1"/>
    <col min="12536" max="12536" width="24.42578125" style="163" customWidth="1"/>
    <col min="12537" max="12537" width="0.7109375" style="163" customWidth="1"/>
    <col min="12538" max="12538" width="14" style="163" customWidth="1"/>
    <col min="12539" max="12539" width="12.5703125" style="163" bestFit="1" customWidth="1"/>
    <col min="12540" max="12541" width="13.28515625" style="163" customWidth="1"/>
    <col min="12542" max="12542" width="0.7109375" style="163" customWidth="1"/>
    <col min="12543" max="12543" width="14" style="163" customWidth="1"/>
    <col min="12544" max="12544" width="12.5703125" style="163" bestFit="1" customWidth="1"/>
    <col min="12545" max="12546" width="13.28515625" style="163" customWidth="1"/>
    <col min="12547" max="12547" width="0.7109375" style="163" customWidth="1"/>
    <col min="12548" max="12548" width="14" style="163" customWidth="1"/>
    <col min="12549" max="12549" width="12.5703125" style="163" bestFit="1" customWidth="1"/>
    <col min="12550" max="12551" width="13.28515625" style="163" customWidth="1"/>
    <col min="12552" max="12552" width="0.7109375" style="163" customWidth="1"/>
    <col min="12553" max="12553" width="14" style="163" customWidth="1"/>
    <col min="12554" max="12554" width="12.5703125" style="163" bestFit="1" customWidth="1"/>
    <col min="12555" max="12556" width="13.28515625" style="163" customWidth="1"/>
    <col min="12557" max="12558" width="12.5703125" style="163" customWidth="1"/>
    <col min="12559" max="12789" width="2.140625" style="163"/>
    <col min="12790" max="12790" width="0" style="163" hidden="1" customWidth="1"/>
    <col min="12791" max="12791" width="13.85546875" style="163" customWidth="1"/>
    <col min="12792" max="12792" width="24.42578125" style="163" customWidth="1"/>
    <col min="12793" max="12793" width="0.7109375" style="163" customWidth="1"/>
    <col min="12794" max="12794" width="14" style="163" customWidth="1"/>
    <col min="12795" max="12795" width="12.5703125" style="163" bestFit="1" customWidth="1"/>
    <col min="12796" max="12797" width="13.28515625" style="163" customWidth="1"/>
    <col min="12798" max="12798" width="0.7109375" style="163" customWidth="1"/>
    <col min="12799" max="12799" width="14" style="163" customWidth="1"/>
    <col min="12800" max="12800" width="12.5703125" style="163" bestFit="1" customWidth="1"/>
    <col min="12801" max="12802" width="13.28515625" style="163" customWidth="1"/>
    <col min="12803" max="12803" width="0.7109375" style="163" customWidth="1"/>
    <col min="12804" max="12804" width="14" style="163" customWidth="1"/>
    <col min="12805" max="12805" width="12.5703125" style="163" bestFit="1" customWidth="1"/>
    <col min="12806" max="12807" width="13.28515625" style="163" customWidth="1"/>
    <col min="12808" max="12808" width="0.7109375" style="163" customWidth="1"/>
    <col min="12809" max="12809" width="14" style="163" customWidth="1"/>
    <col min="12810" max="12810" width="12.5703125" style="163" bestFit="1" customWidth="1"/>
    <col min="12811" max="12812" width="13.28515625" style="163" customWidth="1"/>
    <col min="12813" max="12814" width="12.5703125" style="163" customWidth="1"/>
    <col min="12815" max="13045" width="2.140625" style="163"/>
    <col min="13046" max="13046" width="0" style="163" hidden="1" customWidth="1"/>
    <col min="13047" max="13047" width="13.85546875" style="163" customWidth="1"/>
    <col min="13048" max="13048" width="24.42578125" style="163" customWidth="1"/>
    <col min="13049" max="13049" width="0.7109375" style="163" customWidth="1"/>
    <col min="13050" max="13050" width="14" style="163" customWidth="1"/>
    <col min="13051" max="13051" width="12.5703125" style="163" bestFit="1" customWidth="1"/>
    <col min="13052" max="13053" width="13.28515625" style="163" customWidth="1"/>
    <col min="13054" max="13054" width="0.7109375" style="163" customWidth="1"/>
    <col min="13055" max="13055" width="14" style="163" customWidth="1"/>
    <col min="13056" max="13056" width="12.5703125" style="163" bestFit="1" customWidth="1"/>
    <col min="13057" max="13058" width="13.28515625" style="163" customWidth="1"/>
    <col min="13059" max="13059" width="0.7109375" style="163" customWidth="1"/>
    <col min="13060" max="13060" width="14" style="163" customWidth="1"/>
    <col min="13061" max="13061" width="12.5703125" style="163" bestFit="1" customWidth="1"/>
    <col min="13062" max="13063" width="13.28515625" style="163" customWidth="1"/>
    <col min="13064" max="13064" width="0.7109375" style="163" customWidth="1"/>
    <col min="13065" max="13065" width="14" style="163" customWidth="1"/>
    <col min="13066" max="13066" width="12.5703125" style="163" bestFit="1" customWidth="1"/>
    <col min="13067" max="13068" width="13.28515625" style="163" customWidth="1"/>
    <col min="13069" max="13070" width="12.5703125" style="163" customWidth="1"/>
    <col min="13071" max="13301" width="2.140625" style="163"/>
    <col min="13302" max="13302" width="0" style="163" hidden="1" customWidth="1"/>
    <col min="13303" max="13303" width="13.85546875" style="163" customWidth="1"/>
    <col min="13304" max="13304" width="24.42578125" style="163" customWidth="1"/>
    <col min="13305" max="13305" width="0.7109375" style="163" customWidth="1"/>
    <col min="13306" max="13306" width="14" style="163" customWidth="1"/>
    <col min="13307" max="13307" width="12.5703125" style="163" bestFit="1" customWidth="1"/>
    <col min="13308" max="13309" width="13.28515625" style="163" customWidth="1"/>
    <col min="13310" max="13310" width="0.7109375" style="163" customWidth="1"/>
    <col min="13311" max="13311" width="14" style="163" customWidth="1"/>
    <col min="13312" max="13312" width="12.5703125" style="163" bestFit="1" customWidth="1"/>
    <col min="13313" max="13314" width="13.28515625" style="163" customWidth="1"/>
    <col min="13315" max="13315" width="0.7109375" style="163" customWidth="1"/>
    <col min="13316" max="13316" width="14" style="163" customWidth="1"/>
    <col min="13317" max="13317" width="12.5703125" style="163" bestFit="1" customWidth="1"/>
    <col min="13318" max="13319" width="13.28515625" style="163" customWidth="1"/>
    <col min="13320" max="13320" width="0.7109375" style="163" customWidth="1"/>
    <col min="13321" max="13321" width="14" style="163" customWidth="1"/>
    <col min="13322" max="13322" width="12.5703125" style="163" bestFit="1" customWidth="1"/>
    <col min="13323" max="13324" width="13.28515625" style="163" customWidth="1"/>
    <col min="13325" max="13326" width="12.5703125" style="163" customWidth="1"/>
    <col min="13327" max="13557" width="2.140625" style="163"/>
    <col min="13558" max="13558" width="0" style="163" hidden="1" customWidth="1"/>
    <col min="13559" max="13559" width="13.85546875" style="163" customWidth="1"/>
    <col min="13560" max="13560" width="24.42578125" style="163" customWidth="1"/>
    <col min="13561" max="13561" width="0.7109375" style="163" customWidth="1"/>
    <col min="13562" max="13562" width="14" style="163" customWidth="1"/>
    <col min="13563" max="13563" width="12.5703125" style="163" bestFit="1" customWidth="1"/>
    <col min="13564" max="13565" width="13.28515625" style="163" customWidth="1"/>
    <col min="13566" max="13566" width="0.7109375" style="163" customWidth="1"/>
    <col min="13567" max="13567" width="14" style="163" customWidth="1"/>
    <col min="13568" max="13568" width="12.5703125" style="163" bestFit="1" customWidth="1"/>
    <col min="13569" max="13570" width="13.28515625" style="163" customWidth="1"/>
    <col min="13571" max="13571" width="0.7109375" style="163" customWidth="1"/>
    <col min="13572" max="13572" width="14" style="163" customWidth="1"/>
    <col min="13573" max="13573" width="12.5703125" style="163" bestFit="1" customWidth="1"/>
    <col min="13574" max="13575" width="13.28515625" style="163" customWidth="1"/>
    <col min="13576" max="13576" width="0.7109375" style="163" customWidth="1"/>
    <col min="13577" max="13577" width="14" style="163" customWidth="1"/>
    <col min="13578" max="13578" width="12.5703125" style="163" bestFit="1" customWidth="1"/>
    <col min="13579" max="13580" width="13.28515625" style="163" customWidth="1"/>
    <col min="13581" max="13582" width="12.5703125" style="163" customWidth="1"/>
    <col min="13583" max="13813" width="2.140625" style="163"/>
    <col min="13814" max="13814" width="0" style="163" hidden="1" customWidth="1"/>
    <col min="13815" max="13815" width="13.85546875" style="163" customWidth="1"/>
    <col min="13816" max="13816" width="24.42578125" style="163" customWidth="1"/>
    <col min="13817" max="13817" width="0.7109375" style="163" customWidth="1"/>
    <col min="13818" max="13818" width="14" style="163" customWidth="1"/>
    <col min="13819" max="13819" width="12.5703125" style="163" bestFit="1" customWidth="1"/>
    <col min="13820" max="13821" width="13.28515625" style="163" customWidth="1"/>
    <col min="13822" max="13822" width="0.7109375" style="163" customWidth="1"/>
    <col min="13823" max="13823" width="14" style="163" customWidth="1"/>
    <col min="13824" max="13824" width="12.5703125" style="163" bestFit="1" customWidth="1"/>
    <col min="13825" max="13826" width="13.28515625" style="163" customWidth="1"/>
    <col min="13827" max="13827" width="0.7109375" style="163" customWidth="1"/>
    <col min="13828" max="13828" width="14" style="163" customWidth="1"/>
    <col min="13829" max="13829" width="12.5703125" style="163" bestFit="1" customWidth="1"/>
    <col min="13830" max="13831" width="13.28515625" style="163" customWidth="1"/>
    <col min="13832" max="13832" width="0.7109375" style="163" customWidth="1"/>
    <col min="13833" max="13833" width="14" style="163" customWidth="1"/>
    <col min="13834" max="13834" width="12.5703125" style="163" bestFit="1" customWidth="1"/>
    <col min="13835" max="13836" width="13.28515625" style="163" customWidth="1"/>
    <col min="13837" max="13838" width="12.5703125" style="163" customWidth="1"/>
    <col min="13839" max="14069" width="2.140625" style="163"/>
    <col min="14070" max="14070" width="0" style="163" hidden="1" customWidth="1"/>
    <col min="14071" max="14071" width="13.85546875" style="163" customWidth="1"/>
    <col min="14072" max="14072" width="24.42578125" style="163" customWidth="1"/>
    <col min="14073" max="14073" width="0.7109375" style="163" customWidth="1"/>
    <col min="14074" max="14074" width="14" style="163" customWidth="1"/>
    <col min="14075" max="14075" width="12.5703125" style="163" bestFit="1" customWidth="1"/>
    <col min="14076" max="14077" width="13.28515625" style="163" customWidth="1"/>
    <col min="14078" max="14078" width="0.7109375" style="163" customWidth="1"/>
    <col min="14079" max="14079" width="14" style="163" customWidth="1"/>
    <col min="14080" max="14080" width="12.5703125" style="163" bestFit="1" customWidth="1"/>
    <col min="14081" max="14082" width="13.28515625" style="163" customWidth="1"/>
    <col min="14083" max="14083" width="0.7109375" style="163" customWidth="1"/>
    <col min="14084" max="14084" width="14" style="163" customWidth="1"/>
    <col min="14085" max="14085" width="12.5703125" style="163" bestFit="1" customWidth="1"/>
    <col min="14086" max="14087" width="13.28515625" style="163" customWidth="1"/>
    <col min="14088" max="14088" width="0.7109375" style="163" customWidth="1"/>
    <col min="14089" max="14089" width="14" style="163" customWidth="1"/>
    <col min="14090" max="14090" width="12.5703125" style="163" bestFit="1" customWidth="1"/>
    <col min="14091" max="14092" width="13.28515625" style="163" customWidth="1"/>
    <col min="14093" max="14094" width="12.5703125" style="163" customWidth="1"/>
    <col min="14095" max="14325" width="2.140625" style="163"/>
    <col min="14326" max="14326" width="0" style="163" hidden="1" customWidth="1"/>
    <col min="14327" max="14327" width="13.85546875" style="163" customWidth="1"/>
    <col min="14328" max="14328" width="24.42578125" style="163" customWidth="1"/>
    <col min="14329" max="14329" width="0.7109375" style="163" customWidth="1"/>
    <col min="14330" max="14330" width="14" style="163" customWidth="1"/>
    <col min="14331" max="14331" width="12.5703125" style="163" bestFit="1" customWidth="1"/>
    <col min="14332" max="14333" width="13.28515625" style="163" customWidth="1"/>
    <col min="14334" max="14334" width="0.7109375" style="163" customWidth="1"/>
    <col min="14335" max="14335" width="14" style="163" customWidth="1"/>
    <col min="14336" max="14336" width="12.5703125" style="163" bestFit="1" customWidth="1"/>
    <col min="14337" max="14338" width="13.28515625" style="163" customWidth="1"/>
    <col min="14339" max="14339" width="0.7109375" style="163" customWidth="1"/>
    <col min="14340" max="14340" width="14" style="163" customWidth="1"/>
    <col min="14341" max="14341" width="12.5703125" style="163" bestFit="1" customWidth="1"/>
    <col min="14342" max="14343" width="13.28515625" style="163" customWidth="1"/>
    <col min="14344" max="14344" width="0.7109375" style="163" customWidth="1"/>
    <col min="14345" max="14345" width="14" style="163" customWidth="1"/>
    <col min="14346" max="14346" width="12.5703125" style="163" bestFit="1" customWidth="1"/>
    <col min="14347" max="14348" width="13.28515625" style="163" customWidth="1"/>
    <col min="14349" max="14350" width="12.5703125" style="163" customWidth="1"/>
    <col min="14351" max="14581" width="2.140625" style="163"/>
    <col min="14582" max="14582" width="0" style="163" hidden="1" customWidth="1"/>
    <col min="14583" max="14583" width="13.85546875" style="163" customWidth="1"/>
    <col min="14584" max="14584" width="24.42578125" style="163" customWidth="1"/>
    <col min="14585" max="14585" width="0.7109375" style="163" customWidth="1"/>
    <col min="14586" max="14586" width="14" style="163" customWidth="1"/>
    <col min="14587" max="14587" width="12.5703125" style="163" bestFit="1" customWidth="1"/>
    <col min="14588" max="14589" width="13.28515625" style="163" customWidth="1"/>
    <col min="14590" max="14590" width="0.7109375" style="163" customWidth="1"/>
    <col min="14591" max="14591" width="14" style="163" customWidth="1"/>
    <col min="14592" max="14592" width="12.5703125" style="163" bestFit="1" customWidth="1"/>
    <col min="14593" max="14594" width="13.28515625" style="163" customWidth="1"/>
    <col min="14595" max="14595" width="0.7109375" style="163" customWidth="1"/>
    <col min="14596" max="14596" width="14" style="163" customWidth="1"/>
    <col min="14597" max="14597" width="12.5703125" style="163" bestFit="1" customWidth="1"/>
    <col min="14598" max="14599" width="13.28515625" style="163" customWidth="1"/>
    <col min="14600" max="14600" width="0.7109375" style="163" customWidth="1"/>
    <col min="14601" max="14601" width="14" style="163" customWidth="1"/>
    <col min="14602" max="14602" width="12.5703125" style="163" bestFit="1" customWidth="1"/>
    <col min="14603" max="14604" width="13.28515625" style="163" customWidth="1"/>
    <col min="14605" max="14606" width="12.5703125" style="163" customWidth="1"/>
    <col min="14607" max="14837" width="2.140625" style="163"/>
    <col min="14838" max="14838" width="0" style="163" hidden="1" customWidth="1"/>
    <col min="14839" max="14839" width="13.85546875" style="163" customWidth="1"/>
    <col min="14840" max="14840" width="24.42578125" style="163" customWidth="1"/>
    <col min="14841" max="14841" width="0.7109375" style="163" customWidth="1"/>
    <col min="14842" max="14842" width="14" style="163" customWidth="1"/>
    <col min="14843" max="14843" width="12.5703125" style="163" bestFit="1" customWidth="1"/>
    <col min="14844" max="14845" width="13.28515625" style="163" customWidth="1"/>
    <col min="14846" max="14846" width="0.7109375" style="163" customWidth="1"/>
    <col min="14847" max="14847" width="14" style="163" customWidth="1"/>
    <col min="14848" max="14848" width="12.5703125" style="163" bestFit="1" customWidth="1"/>
    <col min="14849" max="14850" width="13.28515625" style="163" customWidth="1"/>
    <col min="14851" max="14851" width="0.7109375" style="163" customWidth="1"/>
    <col min="14852" max="14852" width="14" style="163" customWidth="1"/>
    <col min="14853" max="14853" width="12.5703125" style="163" bestFit="1" customWidth="1"/>
    <col min="14854" max="14855" width="13.28515625" style="163" customWidth="1"/>
    <col min="14856" max="14856" width="0.7109375" style="163" customWidth="1"/>
    <col min="14857" max="14857" width="14" style="163" customWidth="1"/>
    <col min="14858" max="14858" width="12.5703125" style="163" bestFit="1" customWidth="1"/>
    <col min="14859" max="14860" width="13.28515625" style="163" customWidth="1"/>
    <col min="14861" max="14862" width="12.5703125" style="163" customWidth="1"/>
    <col min="14863" max="15093" width="2.140625" style="163"/>
    <col min="15094" max="15094" width="0" style="163" hidden="1" customWidth="1"/>
    <col min="15095" max="15095" width="13.85546875" style="163" customWidth="1"/>
    <col min="15096" max="15096" width="24.42578125" style="163" customWidth="1"/>
    <col min="15097" max="15097" width="0.7109375" style="163" customWidth="1"/>
    <col min="15098" max="15098" width="14" style="163" customWidth="1"/>
    <col min="15099" max="15099" width="12.5703125" style="163" bestFit="1" customWidth="1"/>
    <col min="15100" max="15101" width="13.28515625" style="163" customWidth="1"/>
    <col min="15102" max="15102" width="0.7109375" style="163" customWidth="1"/>
    <col min="15103" max="15103" width="14" style="163" customWidth="1"/>
    <col min="15104" max="15104" width="12.5703125" style="163" bestFit="1" customWidth="1"/>
    <col min="15105" max="15106" width="13.28515625" style="163" customWidth="1"/>
    <col min="15107" max="15107" width="0.7109375" style="163" customWidth="1"/>
    <col min="15108" max="15108" width="14" style="163" customWidth="1"/>
    <col min="15109" max="15109" width="12.5703125" style="163" bestFit="1" customWidth="1"/>
    <col min="15110" max="15111" width="13.28515625" style="163" customWidth="1"/>
    <col min="15112" max="15112" width="0.7109375" style="163" customWidth="1"/>
    <col min="15113" max="15113" width="14" style="163" customWidth="1"/>
    <col min="15114" max="15114" width="12.5703125" style="163" bestFit="1" customWidth="1"/>
    <col min="15115" max="15116" width="13.28515625" style="163" customWidth="1"/>
    <col min="15117" max="15118" width="12.5703125" style="163" customWidth="1"/>
    <col min="15119" max="15349" width="2.140625" style="163"/>
    <col min="15350" max="15350" width="0" style="163" hidden="1" customWidth="1"/>
    <col min="15351" max="15351" width="13.85546875" style="163" customWidth="1"/>
    <col min="15352" max="15352" width="24.42578125" style="163" customWidth="1"/>
    <col min="15353" max="15353" width="0.7109375" style="163" customWidth="1"/>
    <col min="15354" max="15354" width="14" style="163" customWidth="1"/>
    <col min="15355" max="15355" width="12.5703125" style="163" bestFit="1" customWidth="1"/>
    <col min="15356" max="15357" width="13.28515625" style="163" customWidth="1"/>
    <col min="15358" max="15358" width="0.7109375" style="163" customWidth="1"/>
    <col min="15359" max="15359" width="14" style="163" customWidth="1"/>
    <col min="15360" max="15360" width="12.5703125" style="163" bestFit="1" customWidth="1"/>
    <col min="15361" max="15362" width="13.28515625" style="163" customWidth="1"/>
    <col min="15363" max="15363" width="0.7109375" style="163" customWidth="1"/>
    <col min="15364" max="15364" width="14" style="163" customWidth="1"/>
    <col min="15365" max="15365" width="12.5703125" style="163" bestFit="1" customWidth="1"/>
    <col min="15366" max="15367" width="13.28515625" style="163" customWidth="1"/>
    <col min="15368" max="15368" width="0.7109375" style="163" customWidth="1"/>
    <col min="15369" max="15369" width="14" style="163" customWidth="1"/>
    <col min="15370" max="15370" width="12.5703125" style="163" bestFit="1" customWidth="1"/>
    <col min="15371" max="15372" width="13.28515625" style="163" customWidth="1"/>
    <col min="15373" max="15374" width="12.5703125" style="163" customWidth="1"/>
    <col min="15375" max="15605" width="2.140625" style="163"/>
    <col min="15606" max="15606" width="0" style="163" hidden="1" customWidth="1"/>
    <col min="15607" max="15607" width="13.85546875" style="163" customWidth="1"/>
    <col min="15608" max="15608" width="24.42578125" style="163" customWidth="1"/>
    <col min="15609" max="15609" width="0.7109375" style="163" customWidth="1"/>
    <col min="15610" max="15610" width="14" style="163" customWidth="1"/>
    <col min="15611" max="15611" width="12.5703125" style="163" bestFit="1" customWidth="1"/>
    <col min="15612" max="15613" width="13.28515625" style="163" customWidth="1"/>
    <col min="15614" max="15614" width="0.7109375" style="163" customWidth="1"/>
    <col min="15615" max="15615" width="14" style="163" customWidth="1"/>
    <col min="15616" max="15616" width="12.5703125" style="163" bestFit="1" customWidth="1"/>
    <col min="15617" max="15618" width="13.28515625" style="163" customWidth="1"/>
    <col min="15619" max="15619" width="0.7109375" style="163" customWidth="1"/>
    <col min="15620" max="15620" width="14" style="163" customWidth="1"/>
    <col min="15621" max="15621" width="12.5703125" style="163" bestFit="1" customWidth="1"/>
    <col min="15622" max="15623" width="13.28515625" style="163" customWidth="1"/>
    <col min="15624" max="15624" width="0.7109375" style="163" customWidth="1"/>
    <col min="15625" max="15625" width="14" style="163" customWidth="1"/>
    <col min="15626" max="15626" width="12.5703125" style="163" bestFit="1" customWidth="1"/>
    <col min="15627" max="15628" width="13.28515625" style="163" customWidth="1"/>
    <col min="15629" max="15630" width="12.5703125" style="163" customWidth="1"/>
    <col min="15631" max="15861" width="2.140625" style="163"/>
    <col min="15862" max="15862" width="0" style="163" hidden="1" customWidth="1"/>
    <col min="15863" max="15863" width="13.85546875" style="163" customWidth="1"/>
    <col min="15864" max="15864" width="24.42578125" style="163" customWidth="1"/>
    <col min="15865" max="15865" width="0.7109375" style="163" customWidth="1"/>
    <col min="15866" max="15866" width="14" style="163" customWidth="1"/>
    <col min="15867" max="15867" width="12.5703125" style="163" bestFit="1" customWidth="1"/>
    <col min="15868" max="15869" width="13.28515625" style="163" customWidth="1"/>
    <col min="15870" max="15870" width="0.7109375" style="163" customWidth="1"/>
    <col min="15871" max="15871" width="14" style="163" customWidth="1"/>
    <col min="15872" max="15872" width="12.5703125" style="163" bestFit="1" customWidth="1"/>
    <col min="15873" max="15874" width="13.28515625" style="163" customWidth="1"/>
    <col min="15875" max="15875" width="0.7109375" style="163" customWidth="1"/>
    <col min="15876" max="15876" width="14" style="163" customWidth="1"/>
    <col min="15877" max="15877" width="12.5703125" style="163" bestFit="1" customWidth="1"/>
    <col min="15878" max="15879" width="13.28515625" style="163" customWidth="1"/>
    <col min="15880" max="15880" width="0.7109375" style="163" customWidth="1"/>
    <col min="15881" max="15881" width="14" style="163" customWidth="1"/>
    <col min="15882" max="15882" width="12.5703125" style="163" bestFit="1" customWidth="1"/>
    <col min="15883" max="15884" width="13.28515625" style="163" customWidth="1"/>
    <col min="15885" max="15886" width="12.5703125" style="163" customWidth="1"/>
    <col min="15887" max="16117" width="2.140625" style="163"/>
    <col min="16118" max="16118" width="0" style="163" hidden="1" customWidth="1"/>
    <col min="16119" max="16119" width="13.85546875" style="163" customWidth="1"/>
    <col min="16120" max="16120" width="24.42578125" style="163" customWidth="1"/>
    <col min="16121" max="16121" width="0.7109375" style="163" customWidth="1"/>
    <col min="16122" max="16122" width="14" style="163" customWidth="1"/>
    <col min="16123" max="16123" width="12.5703125" style="163" bestFit="1" customWidth="1"/>
    <col min="16124" max="16125" width="13.28515625" style="163" customWidth="1"/>
    <col min="16126" max="16126" width="0.7109375" style="163" customWidth="1"/>
    <col min="16127" max="16127" width="14" style="163" customWidth="1"/>
    <col min="16128" max="16128" width="12.5703125" style="163" bestFit="1" customWidth="1"/>
    <col min="16129" max="16130" width="13.28515625" style="163" customWidth="1"/>
    <col min="16131" max="16131" width="0.7109375" style="163" customWidth="1"/>
    <col min="16132" max="16132" width="14" style="163" customWidth="1"/>
    <col min="16133" max="16133" width="12.5703125" style="163" bestFit="1" customWidth="1"/>
    <col min="16134" max="16135" width="13.28515625" style="163" customWidth="1"/>
    <col min="16136" max="16136" width="0.7109375" style="163" customWidth="1"/>
    <col min="16137" max="16137" width="14" style="163" customWidth="1"/>
    <col min="16138" max="16138" width="12.5703125" style="163" bestFit="1" customWidth="1"/>
    <col min="16139" max="16140" width="13.28515625" style="163" customWidth="1"/>
    <col min="16141" max="16142" width="12.5703125" style="163" customWidth="1"/>
    <col min="16143" max="16384" width="2.140625" style="163"/>
  </cols>
  <sheetData>
    <row r="1" spans="1:34" ht="26.25" customHeight="1" x14ac:dyDescent="0.35">
      <c r="C1" s="934"/>
      <c r="E1" s="1087">
        <v>2016</v>
      </c>
      <c r="F1" s="1088"/>
      <c r="G1" s="1088"/>
      <c r="I1" s="1087">
        <v>2017</v>
      </c>
      <c r="J1" s="1088"/>
      <c r="K1" s="1088"/>
      <c r="M1" s="1087">
        <v>2018</v>
      </c>
      <c r="N1" s="1088"/>
      <c r="O1" s="1088"/>
      <c r="Q1" s="1087">
        <v>2019</v>
      </c>
      <c r="R1" s="1088"/>
      <c r="S1" s="1088"/>
    </row>
    <row r="2" spans="1:34" ht="60" customHeight="1" x14ac:dyDescent="0.2">
      <c r="A2" s="325" t="s">
        <v>272</v>
      </c>
      <c r="B2" s="1019" t="s">
        <v>1</v>
      </c>
      <c r="C2" s="162" t="s">
        <v>4</v>
      </c>
      <c r="E2" s="162" t="s">
        <v>2</v>
      </c>
      <c r="F2" s="162" t="s">
        <v>392</v>
      </c>
      <c r="G2" s="162" t="s">
        <v>3</v>
      </c>
      <c r="I2" s="162" t="s">
        <v>2</v>
      </c>
      <c r="J2" s="162" t="s">
        <v>392</v>
      </c>
      <c r="K2" s="162" t="s">
        <v>3</v>
      </c>
      <c r="M2" s="162" t="s">
        <v>2</v>
      </c>
      <c r="N2" s="162" t="s">
        <v>392</v>
      </c>
      <c r="O2" s="162" t="s">
        <v>3</v>
      </c>
      <c r="Q2" s="162" t="s">
        <v>2</v>
      </c>
      <c r="R2" s="162" t="s">
        <v>392</v>
      </c>
      <c r="S2" s="162" t="s">
        <v>3</v>
      </c>
      <c r="T2" s="162" t="s">
        <v>340</v>
      </c>
      <c r="U2" s="162" t="s">
        <v>6</v>
      </c>
    </row>
    <row r="3" spans="1:34" s="207" customFormat="1" ht="21" customHeight="1" x14ac:dyDescent="0.2">
      <c r="A3" s="203"/>
      <c r="B3" s="511" t="s">
        <v>7</v>
      </c>
      <c r="C3" s="327"/>
      <c r="D3" s="323"/>
      <c r="E3" s="326">
        <f>E4+E104</f>
        <v>17019587</v>
      </c>
      <c r="F3" s="327">
        <f>F4+F104</f>
        <v>2848422.5936726234</v>
      </c>
      <c r="G3" s="327">
        <f>G4+G104</f>
        <v>19868009.593672622</v>
      </c>
      <c r="H3" s="323"/>
      <c r="I3" s="326">
        <f>I4+I104</f>
        <v>19021582.197272502</v>
      </c>
      <c r="J3" s="327">
        <f>J4+J104</f>
        <v>2265982</v>
      </c>
      <c r="K3" s="327">
        <f>K4+K104</f>
        <v>21255285.197272502</v>
      </c>
      <c r="L3" s="323"/>
      <c r="M3" s="326">
        <f>M4+M104</f>
        <v>21768547.307453834</v>
      </c>
      <c r="N3" s="326">
        <f>N4+N104</f>
        <v>2348604.5587058566</v>
      </c>
      <c r="O3" s="326">
        <f>O4+O104</f>
        <v>24117151.866159689</v>
      </c>
      <c r="P3" s="323"/>
      <c r="Q3" s="326">
        <f>Q4+Q104</f>
        <v>24076125</v>
      </c>
      <c r="R3" s="326">
        <f>R4+R104</f>
        <v>2671059</v>
      </c>
      <c r="S3" s="326">
        <f>S4+S104</f>
        <v>26747184</v>
      </c>
      <c r="T3" s="327"/>
      <c r="U3" s="327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</row>
    <row r="4" spans="1:34" s="207" customFormat="1" ht="21" customHeight="1" x14ac:dyDescent="0.2">
      <c r="A4" s="1102" t="s">
        <v>649</v>
      </c>
      <c r="B4" s="1103"/>
      <c r="C4" s="329"/>
      <c r="D4" s="328"/>
      <c r="E4" s="329">
        <f>SUM(E5:E103)</f>
        <v>11757016</v>
      </c>
      <c r="F4" s="329">
        <f>SUM(F5:F103)</f>
        <v>2848422.5936726234</v>
      </c>
      <c r="G4" s="329">
        <f>SUM(G5:G103)</f>
        <v>14605438.593672622</v>
      </c>
      <c r="H4" s="328"/>
      <c r="I4" s="329">
        <f>SUM(I5:I103)</f>
        <v>13335867.1972725</v>
      </c>
      <c r="J4" s="329">
        <f>SUM(J5:J103)</f>
        <v>2265982</v>
      </c>
      <c r="K4" s="329">
        <f>SUM(K5:K103)</f>
        <v>15569570.1972725</v>
      </c>
      <c r="L4" s="328"/>
      <c r="M4" s="329">
        <f>SUM(M5:M103)</f>
        <v>15098797.307453832</v>
      </c>
      <c r="N4" s="329">
        <f>SUM(N5:N103)</f>
        <v>2348604.5587058566</v>
      </c>
      <c r="O4" s="329">
        <f>SUM(O5:O103)</f>
        <v>17447401.866159689</v>
      </c>
      <c r="P4" s="328"/>
      <c r="Q4" s="329">
        <f>SUM(Q5:Q103)</f>
        <v>16774392</v>
      </c>
      <c r="R4" s="329">
        <f>SUM(R5:R103)</f>
        <v>2671059</v>
      </c>
      <c r="S4" s="329">
        <f>SUM(S5:S103)</f>
        <v>19445451</v>
      </c>
      <c r="T4" s="329"/>
      <c r="U4" s="329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</row>
    <row r="5" spans="1:34" s="330" customFormat="1" ht="39" customHeight="1" x14ac:dyDescent="0.2">
      <c r="A5" s="231">
        <v>580006559</v>
      </c>
      <c r="B5" s="1041" t="s">
        <v>650</v>
      </c>
      <c r="C5" s="331"/>
      <c r="D5" s="323"/>
      <c r="E5" s="331">
        <v>2452064</v>
      </c>
      <c r="F5" s="849">
        <v>1891593.7365825484</v>
      </c>
      <c r="G5" s="331">
        <f t="shared" ref="G5:G22" si="0">SUM(E5:F5)</f>
        <v>4343657.7365825484</v>
      </c>
      <c r="H5" s="323"/>
      <c r="I5" s="331">
        <v>2669476</v>
      </c>
      <c r="J5" s="849">
        <v>1395047</v>
      </c>
      <c r="K5" s="331">
        <f t="shared" ref="K5:K22" si="1">SUM(I5:J5)</f>
        <v>4064523</v>
      </c>
      <c r="L5" s="323"/>
      <c r="M5" s="331">
        <v>2670782</v>
      </c>
      <c r="N5" s="849">
        <v>1118144.4910085138</v>
      </c>
      <c r="O5" s="331">
        <f t="shared" ref="O5:O22" si="2">SUM(M5:N5)</f>
        <v>3788926.4910085136</v>
      </c>
      <c r="P5" s="323"/>
      <c r="Q5" s="331">
        <v>2499604</v>
      </c>
      <c r="R5" s="849">
        <v>1098158</v>
      </c>
      <c r="S5" s="331">
        <f t="shared" ref="S5:S13" si="3">SUM(Q5:R5)</f>
        <v>3597762</v>
      </c>
      <c r="T5" s="334" t="s">
        <v>53</v>
      </c>
      <c r="U5" s="334" t="s">
        <v>53</v>
      </c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</row>
    <row r="6" spans="1:34" s="330" customFormat="1" ht="27.75" customHeight="1" x14ac:dyDescent="0.2">
      <c r="A6" s="231">
        <v>580006559</v>
      </c>
      <c r="B6" s="1041" t="s">
        <v>2979</v>
      </c>
      <c r="C6" s="331"/>
      <c r="D6" s="323"/>
      <c r="E6" s="331"/>
      <c r="F6" s="849"/>
      <c r="G6" s="331"/>
      <c r="H6" s="323"/>
      <c r="I6" s="331">
        <v>112439</v>
      </c>
      <c r="J6" s="849"/>
      <c r="K6" s="331">
        <f>SUM(I6:J6)</f>
        <v>112439</v>
      </c>
      <c r="L6" s="323"/>
      <c r="M6" s="331">
        <v>127379</v>
      </c>
      <c r="N6" s="849">
        <v>47096.526968029044</v>
      </c>
      <c r="O6" s="331">
        <f t="shared" si="2"/>
        <v>174475.52696802904</v>
      </c>
      <c r="P6" s="323"/>
      <c r="Q6" s="331">
        <v>153805</v>
      </c>
      <c r="R6" s="849">
        <v>52375</v>
      </c>
      <c r="S6" s="331">
        <f t="shared" si="3"/>
        <v>206180</v>
      </c>
      <c r="T6" s="334" t="s">
        <v>53</v>
      </c>
      <c r="U6" s="334" t="s">
        <v>53</v>
      </c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</row>
    <row r="7" spans="1:34" s="330" customFormat="1" ht="27.75" customHeight="1" x14ac:dyDescent="0.2">
      <c r="A7" s="231">
        <v>580310290</v>
      </c>
      <c r="B7" s="1041" t="s">
        <v>651</v>
      </c>
      <c r="C7" s="331" t="s">
        <v>2237</v>
      </c>
      <c r="D7" s="323"/>
      <c r="E7" s="331">
        <f>1423911+226780</f>
        <v>1650691</v>
      </c>
      <c r="F7" s="849"/>
      <c r="G7" s="331">
        <f t="shared" si="0"/>
        <v>1650691</v>
      </c>
      <c r="H7" s="323"/>
      <c r="I7" s="331">
        <v>1368316</v>
      </c>
      <c r="J7" s="849"/>
      <c r="K7" s="331">
        <f t="shared" si="1"/>
        <v>1368316</v>
      </c>
      <c r="L7" s="323"/>
      <c r="M7" s="331">
        <v>1368986</v>
      </c>
      <c r="N7" s="849"/>
      <c r="O7" s="331">
        <f t="shared" si="2"/>
        <v>1368986</v>
      </c>
      <c r="P7" s="323"/>
      <c r="Q7" s="331">
        <v>1281243</v>
      </c>
      <c r="R7" s="849"/>
      <c r="S7" s="331">
        <f t="shared" si="3"/>
        <v>1281243</v>
      </c>
      <c r="T7" s="334" t="s">
        <v>652</v>
      </c>
      <c r="U7" s="334" t="s">
        <v>9</v>
      </c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</row>
    <row r="8" spans="1:34" s="330" customFormat="1" ht="51" x14ac:dyDescent="0.2">
      <c r="A8" s="231">
        <v>580037745</v>
      </c>
      <c r="B8" s="1041" t="s">
        <v>3456</v>
      </c>
      <c r="C8" s="331"/>
      <c r="D8" s="323"/>
      <c r="E8" s="331">
        <v>142799</v>
      </c>
      <c r="F8" s="849"/>
      <c r="G8" s="331">
        <f t="shared" si="0"/>
        <v>142799</v>
      </c>
      <c r="H8" s="323"/>
      <c r="I8" s="331">
        <v>150436</v>
      </c>
      <c r="J8" s="849"/>
      <c r="K8" s="331">
        <f t="shared" si="1"/>
        <v>150436</v>
      </c>
      <c r="L8" s="323"/>
      <c r="M8" s="331">
        <v>150510</v>
      </c>
      <c r="N8" s="849"/>
      <c r="O8" s="331">
        <f t="shared" si="2"/>
        <v>150510</v>
      </c>
      <c r="P8" s="323"/>
      <c r="Q8" s="331">
        <v>140863</v>
      </c>
      <c r="R8" s="849"/>
      <c r="S8" s="331">
        <f t="shared" si="3"/>
        <v>140863</v>
      </c>
      <c r="T8" s="334" t="s">
        <v>43</v>
      </c>
      <c r="U8" s="334" t="s">
        <v>9</v>
      </c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</row>
    <row r="9" spans="1:34" s="330" customFormat="1" ht="38.25" x14ac:dyDescent="0.2">
      <c r="A9" s="231">
        <v>580037745</v>
      </c>
      <c r="B9" s="1041" t="s">
        <v>3457</v>
      </c>
      <c r="C9" s="216"/>
      <c r="D9" s="323"/>
      <c r="E9" s="331">
        <v>224399</v>
      </c>
      <c r="F9" s="849"/>
      <c r="G9" s="331">
        <f t="shared" si="0"/>
        <v>224399</v>
      </c>
      <c r="H9" s="323"/>
      <c r="I9" s="331">
        <v>236400</v>
      </c>
      <c r="J9" s="849"/>
      <c r="K9" s="331">
        <f t="shared" si="1"/>
        <v>236400</v>
      </c>
      <c r="L9" s="323"/>
      <c r="M9" s="331">
        <v>254863</v>
      </c>
      <c r="N9" s="849"/>
      <c r="O9" s="331">
        <f t="shared" si="2"/>
        <v>254863</v>
      </c>
      <c r="P9" s="323"/>
      <c r="Q9" s="331">
        <v>308310</v>
      </c>
      <c r="R9" s="849"/>
      <c r="S9" s="331">
        <f t="shared" si="3"/>
        <v>308310</v>
      </c>
      <c r="T9" s="334" t="s">
        <v>43</v>
      </c>
      <c r="U9" s="334" t="s">
        <v>9</v>
      </c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</row>
    <row r="10" spans="1:34" s="330" customFormat="1" ht="61.5" customHeight="1" x14ac:dyDescent="0.2">
      <c r="A10" s="231">
        <v>510748734</v>
      </c>
      <c r="B10" s="1041" t="s">
        <v>653</v>
      </c>
      <c r="C10" s="331"/>
      <c r="D10" s="323"/>
      <c r="E10" s="331">
        <v>348838</v>
      </c>
      <c r="F10" s="849"/>
      <c r="G10" s="331">
        <f t="shared" si="0"/>
        <v>348838</v>
      </c>
      <c r="H10" s="323"/>
      <c r="I10" s="331"/>
      <c r="J10" s="849"/>
      <c r="K10" s="331">
        <f t="shared" si="1"/>
        <v>0</v>
      </c>
      <c r="L10" s="323"/>
      <c r="M10" s="331"/>
      <c r="N10" s="849"/>
      <c r="O10" s="331">
        <f t="shared" si="2"/>
        <v>0</v>
      </c>
      <c r="P10" s="323"/>
      <c r="Q10" s="331"/>
      <c r="R10" s="849"/>
      <c r="S10" s="331">
        <f t="shared" si="3"/>
        <v>0</v>
      </c>
      <c r="T10" s="334" t="s">
        <v>654</v>
      </c>
      <c r="U10" s="336" t="s">
        <v>9</v>
      </c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</row>
    <row r="11" spans="1:34" s="330" customFormat="1" ht="51" x14ac:dyDescent="0.2">
      <c r="A11" s="231">
        <v>510748734</v>
      </c>
      <c r="B11" s="1041" t="s">
        <v>3458</v>
      </c>
      <c r="C11" s="331"/>
      <c r="D11" s="323"/>
      <c r="E11" s="331">
        <v>346798</v>
      </c>
      <c r="F11" s="849">
        <v>197272.93081248878</v>
      </c>
      <c r="G11" s="331">
        <f t="shared" si="0"/>
        <v>544070.93081248878</v>
      </c>
      <c r="H11" s="323"/>
      <c r="I11" s="331">
        <v>295790</v>
      </c>
      <c r="J11" s="849">
        <v>197303</v>
      </c>
      <c r="K11" s="331">
        <f t="shared" si="1"/>
        <v>493093</v>
      </c>
      <c r="L11" s="323"/>
      <c r="M11" s="331">
        <v>295935</v>
      </c>
      <c r="N11" s="849">
        <v>123895.46075537233</v>
      </c>
      <c r="O11" s="331">
        <f t="shared" si="2"/>
        <v>419830.4607553723</v>
      </c>
      <c r="P11" s="323"/>
      <c r="Q11" s="331">
        <v>307662</v>
      </c>
      <c r="R11" s="849">
        <v>121681</v>
      </c>
      <c r="S11" s="331">
        <f t="shared" si="3"/>
        <v>429343</v>
      </c>
      <c r="T11" s="336" t="s">
        <v>53</v>
      </c>
      <c r="U11" s="336" t="s">
        <v>53</v>
      </c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</row>
    <row r="12" spans="1:34" s="330" customFormat="1" ht="48.75" customHeight="1" x14ac:dyDescent="0.2">
      <c r="A12" s="231">
        <v>510748734</v>
      </c>
      <c r="B12" s="1041" t="s">
        <v>3459</v>
      </c>
      <c r="C12" s="331"/>
      <c r="D12" s="323"/>
      <c r="E12" s="331">
        <v>94349</v>
      </c>
      <c r="F12" s="849">
        <v>42885.556487189235</v>
      </c>
      <c r="G12" s="331">
        <f t="shared" si="0"/>
        <v>137234.55648718923</v>
      </c>
      <c r="H12" s="323"/>
      <c r="I12" s="331">
        <v>131369</v>
      </c>
      <c r="J12" s="849">
        <v>53678</v>
      </c>
      <c r="K12" s="331">
        <f t="shared" si="1"/>
        <v>185047</v>
      </c>
      <c r="L12" s="323"/>
      <c r="M12" s="331">
        <v>179824</v>
      </c>
      <c r="N12" s="849">
        <v>55025.60189314212</v>
      </c>
      <c r="O12" s="331">
        <f t="shared" si="2"/>
        <v>234849.60189314213</v>
      </c>
      <c r="P12" s="323"/>
      <c r="Q12" s="331">
        <v>168299</v>
      </c>
      <c r="R12" s="849">
        <v>73939</v>
      </c>
      <c r="S12" s="331">
        <f t="shared" si="3"/>
        <v>242238</v>
      </c>
      <c r="T12" s="336" t="s">
        <v>53</v>
      </c>
      <c r="U12" s="336" t="s">
        <v>53</v>
      </c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</row>
    <row r="13" spans="1:34" s="330" customFormat="1" ht="38.25" x14ac:dyDescent="0.2">
      <c r="A13" s="231">
        <v>580215093</v>
      </c>
      <c r="B13" s="1041" t="s">
        <v>656</v>
      </c>
      <c r="C13" s="331"/>
      <c r="D13" s="323"/>
      <c r="E13" s="331">
        <v>120000</v>
      </c>
      <c r="F13" s="849"/>
      <c r="G13" s="331">
        <f t="shared" si="0"/>
        <v>120000</v>
      </c>
      <c r="H13" s="323"/>
      <c r="I13" s="331">
        <v>165556</v>
      </c>
      <c r="J13" s="849"/>
      <c r="K13" s="331">
        <f t="shared" si="1"/>
        <v>165556</v>
      </c>
      <c r="L13" s="323"/>
      <c r="M13" s="331">
        <v>190541</v>
      </c>
      <c r="N13" s="849"/>
      <c r="O13" s="331">
        <f t="shared" si="2"/>
        <v>190541</v>
      </c>
      <c r="P13" s="323"/>
      <c r="Q13" s="331">
        <v>182919</v>
      </c>
      <c r="R13" s="849"/>
      <c r="S13" s="331">
        <f t="shared" si="3"/>
        <v>182919</v>
      </c>
      <c r="T13" s="334" t="s">
        <v>657</v>
      </c>
      <c r="U13" s="334" t="s">
        <v>12</v>
      </c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</row>
    <row r="14" spans="1:34" s="986" customFormat="1" ht="38.25" x14ac:dyDescent="0.2">
      <c r="A14" s="231">
        <v>512287350</v>
      </c>
      <c r="B14" s="1042" t="s">
        <v>3443</v>
      </c>
      <c r="C14" s="334"/>
      <c r="D14" s="987"/>
      <c r="E14" s="331">
        <v>30600</v>
      </c>
      <c r="F14" s="988"/>
      <c r="G14" s="334">
        <f>SUM(E14:F14)</f>
        <v>30600</v>
      </c>
      <c r="H14" s="987"/>
      <c r="I14" s="331">
        <v>44241</v>
      </c>
      <c r="J14" s="988"/>
      <c r="K14" s="334">
        <f>SUM(I14:J14)</f>
        <v>44241</v>
      </c>
      <c r="L14" s="987"/>
      <c r="M14" s="331">
        <v>56551</v>
      </c>
      <c r="N14" s="988"/>
      <c r="O14" s="334">
        <f>SUM(M14:N14)</f>
        <v>56551</v>
      </c>
      <c r="P14" s="987"/>
      <c r="Q14" s="334">
        <v>0</v>
      </c>
      <c r="R14" s="988"/>
      <c r="S14" s="334">
        <f>SUM(Q14:R14)</f>
        <v>0</v>
      </c>
      <c r="T14" s="334" t="s">
        <v>426</v>
      </c>
      <c r="U14" s="333" t="s">
        <v>136</v>
      </c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</row>
    <row r="15" spans="1:34" s="986" customFormat="1" ht="38.25" x14ac:dyDescent="0.2">
      <c r="A15" s="231">
        <v>512287350</v>
      </c>
      <c r="B15" s="1042" t="s">
        <v>3444</v>
      </c>
      <c r="C15" s="334"/>
      <c r="D15" s="987"/>
      <c r="E15" s="331">
        <v>71400</v>
      </c>
      <c r="F15" s="988"/>
      <c r="G15" s="334">
        <f>SUM(E15:F15)</f>
        <v>71400</v>
      </c>
      <c r="H15" s="987"/>
      <c r="I15" s="334">
        <v>0</v>
      </c>
      <c r="J15" s="988"/>
      <c r="K15" s="334">
        <f>SUM(I15:J15)</f>
        <v>0</v>
      </c>
      <c r="L15" s="987"/>
      <c r="M15" s="334">
        <v>0</v>
      </c>
      <c r="N15" s="988"/>
      <c r="O15" s="334">
        <f>SUM(M15:N15)</f>
        <v>0</v>
      </c>
      <c r="P15" s="987"/>
      <c r="Q15" s="331">
        <v>96712</v>
      </c>
      <c r="R15" s="988"/>
      <c r="S15" s="334">
        <f>SUM(Q15:R15)</f>
        <v>96712</v>
      </c>
      <c r="T15" s="334" t="s">
        <v>426</v>
      </c>
      <c r="U15" s="333" t="s">
        <v>136</v>
      </c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</row>
    <row r="16" spans="1:34" s="986" customFormat="1" ht="38.25" x14ac:dyDescent="0.2">
      <c r="A16" s="231">
        <v>512287350</v>
      </c>
      <c r="B16" s="1023" t="s">
        <v>3460</v>
      </c>
      <c r="C16" s="334"/>
      <c r="D16" s="987"/>
      <c r="E16" s="334">
        <v>0</v>
      </c>
      <c r="F16" s="988"/>
      <c r="G16" s="334">
        <f>SUM(E16:F16)</f>
        <v>0</v>
      </c>
      <c r="H16" s="987"/>
      <c r="I16" s="334">
        <v>0</v>
      </c>
      <c r="J16" s="988"/>
      <c r="K16" s="334">
        <f>SUM(I16:J16)</f>
        <v>0</v>
      </c>
      <c r="L16" s="987"/>
      <c r="M16" s="334">
        <v>0</v>
      </c>
      <c r="N16" s="988"/>
      <c r="O16" s="334">
        <f>SUM(M16:N16)</f>
        <v>0</v>
      </c>
      <c r="P16" s="987"/>
      <c r="Q16" s="331">
        <v>158316</v>
      </c>
      <c r="R16" s="988"/>
      <c r="S16" s="334">
        <f>SUM(Q16:R16)</f>
        <v>158316</v>
      </c>
      <c r="T16" s="334" t="s">
        <v>426</v>
      </c>
      <c r="U16" s="333" t="s">
        <v>136</v>
      </c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</row>
    <row r="17" spans="1:34" s="330" customFormat="1" ht="48.75" customHeight="1" x14ac:dyDescent="0.2">
      <c r="A17" s="231">
        <v>511854788</v>
      </c>
      <c r="B17" s="1041" t="s">
        <v>3232</v>
      </c>
      <c r="C17" s="331"/>
      <c r="D17" s="323"/>
      <c r="E17" s="331">
        <v>180000</v>
      </c>
      <c r="F17" s="849"/>
      <c r="G17" s="331">
        <f t="shared" si="0"/>
        <v>180000</v>
      </c>
      <c r="H17" s="323"/>
      <c r="I17" s="331">
        <v>177065</v>
      </c>
      <c r="J17" s="849"/>
      <c r="K17" s="331">
        <f t="shared" si="1"/>
        <v>177065</v>
      </c>
      <c r="L17" s="323"/>
      <c r="M17" s="331">
        <v>225935</v>
      </c>
      <c r="N17" s="849"/>
      <c r="O17" s="331">
        <f t="shared" si="2"/>
        <v>225935</v>
      </c>
      <c r="P17" s="323"/>
      <c r="Q17" s="331">
        <v>211454</v>
      </c>
      <c r="R17" s="849"/>
      <c r="S17" s="331">
        <f>SUM(Q17:R17)</f>
        <v>211454</v>
      </c>
      <c r="T17" s="334" t="s">
        <v>2910</v>
      </c>
      <c r="U17" s="334" t="s">
        <v>32</v>
      </c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</row>
    <row r="18" spans="1:34" s="330" customFormat="1" ht="33" customHeight="1" x14ac:dyDescent="0.2">
      <c r="A18" s="231">
        <v>580353597</v>
      </c>
      <c r="B18" s="1041" t="s">
        <v>659</v>
      </c>
      <c r="C18" s="331"/>
      <c r="D18" s="323"/>
      <c r="E18" s="331">
        <v>30600</v>
      </c>
      <c r="F18" s="849">
        <v>21442.709870922703</v>
      </c>
      <c r="G18" s="331">
        <f t="shared" si="0"/>
        <v>52042.709870922699</v>
      </c>
      <c r="H18" s="323"/>
      <c r="I18" s="1099" t="s">
        <v>3010</v>
      </c>
      <c r="J18" s="1100"/>
      <c r="K18" s="1101"/>
      <c r="L18" s="323"/>
      <c r="M18" s="989" t="s">
        <v>3010</v>
      </c>
      <c r="N18" s="990"/>
      <c r="O18" s="991"/>
      <c r="P18" s="323"/>
      <c r="Q18" s="989" t="s">
        <v>3010</v>
      </c>
      <c r="R18" s="990"/>
      <c r="S18" s="991"/>
      <c r="T18" s="334" t="s">
        <v>53</v>
      </c>
      <c r="U18" s="334" t="s">
        <v>53</v>
      </c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</row>
    <row r="19" spans="1:34" s="330" customFormat="1" ht="38.25" customHeight="1" x14ac:dyDescent="0.2">
      <c r="A19" s="231">
        <v>510673577</v>
      </c>
      <c r="B19" s="1041" t="s">
        <v>660</v>
      </c>
      <c r="C19" s="331"/>
      <c r="D19" s="323"/>
      <c r="E19" s="331">
        <v>173399</v>
      </c>
      <c r="F19" s="849"/>
      <c r="G19" s="331">
        <f t="shared" si="0"/>
        <v>173399</v>
      </c>
      <c r="H19" s="323"/>
      <c r="I19" s="331"/>
      <c r="J19" s="849"/>
      <c r="K19" s="331">
        <f t="shared" si="1"/>
        <v>0</v>
      </c>
      <c r="L19" s="323"/>
      <c r="M19" s="331"/>
      <c r="N19" s="849"/>
      <c r="O19" s="331">
        <f t="shared" si="2"/>
        <v>0</v>
      </c>
      <c r="P19" s="323"/>
      <c r="Q19" s="331"/>
      <c r="R19" s="849"/>
      <c r="S19" s="331">
        <f t="shared" ref="S19:S27" si="4">SUM(Q19:R19)</f>
        <v>0</v>
      </c>
      <c r="T19" s="334" t="s">
        <v>53</v>
      </c>
      <c r="U19" s="334" t="s">
        <v>53</v>
      </c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</row>
    <row r="20" spans="1:34" s="330" customFormat="1" ht="25.5" x14ac:dyDescent="0.2">
      <c r="A20" s="231">
        <v>580215333</v>
      </c>
      <c r="B20" s="1041" t="s">
        <v>3461</v>
      </c>
      <c r="C20" s="331"/>
      <c r="D20" s="323"/>
      <c r="E20" s="331">
        <v>30600</v>
      </c>
      <c r="F20" s="849"/>
      <c r="G20" s="331">
        <f t="shared" si="0"/>
        <v>30600</v>
      </c>
      <c r="H20" s="323"/>
      <c r="I20" s="331">
        <v>50000</v>
      </c>
      <c r="J20" s="849"/>
      <c r="K20" s="331">
        <f t="shared" si="1"/>
        <v>50000</v>
      </c>
      <c r="L20" s="323"/>
      <c r="M20" s="331">
        <v>50000</v>
      </c>
      <c r="N20" s="849"/>
      <c r="O20" s="331">
        <f t="shared" si="2"/>
        <v>50000</v>
      </c>
      <c r="P20" s="323"/>
      <c r="Q20" s="331">
        <v>46795</v>
      </c>
      <c r="R20" s="849"/>
      <c r="S20" s="331">
        <f t="shared" si="4"/>
        <v>46795</v>
      </c>
      <c r="T20" s="336" t="s">
        <v>280</v>
      </c>
      <c r="U20" s="336" t="s">
        <v>136</v>
      </c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</row>
    <row r="21" spans="1:34" s="330" customFormat="1" ht="32.25" customHeight="1" x14ac:dyDescent="0.2">
      <c r="A21" s="231">
        <v>580552909</v>
      </c>
      <c r="B21" s="1041" t="s">
        <v>2342</v>
      </c>
      <c r="C21" s="331"/>
      <c r="D21" s="323"/>
      <c r="E21" s="331">
        <v>147899</v>
      </c>
      <c r="F21" s="849">
        <v>97708.060859594552</v>
      </c>
      <c r="G21" s="331">
        <f t="shared" si="0"/>
        <v>245607.06085959455</v>
      </c>
      <c r="H21" s="323"/>
      <c r="I21" s="331">
        <v>160000</v>
      </c>
      <c r="J21" s="849">
        <v>84144</v>
      </c>
      <c r="K21" s="331">
        <f t="shared" si="1"/>
        <v>244144</v>
      </c>
      <c r="L21" s="323"/>
      <c r="M21" s="331">
        <v>170209</v>
      </c>
      <c r="N21" s="849">
        <v>67018.065928055628</v>
      </c>
      <c r="O21" s="331">
        <f t="shared" si="2"/>
        <v>237227.06592805561</v>
      </c>
      <c r="P21" s="323"/>
      <c r="Q21" s="331">
        <v>159300</v>
      </c>
      <c r="R21" s="849">
        <v>69986</v>
      </c>
      <c r="S21" s="331">
        <f t="shared" si="4"/>
        <v>229286</v>
      </c>
      <c r="T21" s="336" t="s">
        <v>53</v>
      </c>
      <c r="U21" s="336" t="s">
        <v>53</v>
      </c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</row>
    <row r="22" spans="1:34" s="330" customFormat="1" ht="30" customHeight="1" x14ac:dyDescent="0.2">
      <c r="A22" s="231" t="s">
        <v>2505</v>
      </c>
      <c r="B22" s="1041" t="s">
        <v>2506</v>
      </c>
      <c r="C22" s="331"/>
      <c r="D22" s="323"/>
      <c r="E22" s="1043">
        <v>51000</v>
      </c>
      <c r="F22" s="849">
        <v>42886</v>
      </c>
      <c r="G22" s="789">
        <f t="shared" si="0"/>
        <v>93886</v>
      </c>
      <c r="H22" s="323"/>
      <c r="I22" s="1043">
        <v>96862</v>
      </c>
      <c r="J22" s="849">
        <v>29015</v>
      </c>
      <c r="K22" s="789">
        <f t="shared" si="1"/>
        <v>125877</v>
      </c>
      <c r="L22" s="323"/>
      <c r="M22" s="1043">
        <v>96909</v>
      </c>
      <c r="N22" s="849">
        <v>40571.899387020771</v>
      </c>
      <c r="O22" s="789">
        <f t="shared" si="2"/>
        <v>137480.89938702076</v>
      </c>
      <c r="P22" s="323"/>
      <c r="Q22" s="1043">
        <v>100808</v>
      </c>
      <c r="R22" s="849">
        <v>39847</v>
      </c>
      <c r="S22" s="789">
        <f t="shared" si="4"/>
        <v>140655</v>
      </c>
      <c r="T22" s="336" t="s">
        <v>53</v>
      </c>
      <c r="U22" s="336" t="s">
        <v>53</v>
      </c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</row>
    <row r="23" spans="1:34" s="330" customFormat="1" ht="35.25" customHeight="1" x14ac:dyDescent="0.2">
      <c r="A23" s="231">
        <v>580215333</v>
      </c>
      <c r="B23" s="1022" t="s">
        <v>626</v>
      </c>
      <c r="C23" s="331"/>
      <c r="D23" s="323"/>
      <c r="E23" s="331">
        <v>61200</v>
      </c>
      <c r="F23" s="233"/>
      <c r="G23" s="331">
        <f>SUM(E23:F23)</f>
        <v>61200</v>
      </c>
      <c r="H23" s="323"/>
      <c r="I23" s="331">
        <v>80000</v>
      </c>
      <c r="J23" s="233"/>
      <c r="K23" s="331">
        <f>SUM(I23:J23)</f>
        <v>80000</v>
      </c>
      <c r="L23" s="323"/>
      <c r="M23" s="331">
        <v>96269</v>
      </c>
      <c r="N23" s="849"/>
      <c r="O23" s="331">
        <f>SUM(M23:N23)</f>
        <v>96269</v>
      </c>
      <c r="P23" s="323"/>
      <c r="Q23" s="331">
        <v>90099</v>
      </c>
      <c r="R23" s="849"/>
      <c r="S23" s="331">
        <f t="shared" si="4"/>
        <v>90099</v>
      </c>
      <c r="T23" s="336" t="s">
        <v>280</v>
      </c>
      <c r="U23" s="336" t="s">
        <v>136</v>
      </c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</row>
    <row r="24" spans="1:34" s="330" customFormat="1" ht="36" customHeight="1" x14ac:dyDescent="0.2">
      <c r="A24" s="231">
        <v>580215333</v>
      </c>
      <c r="B24" s="1022" t="s">
        <v>3445</v>
      </c>
      <c r="C24" s="331"/>
      <c r="D24" s="323"/>
      <c r="E24" s="331"/>
      <c r="F24" s="233"/>
      <c r="G24" s="331"/>
      <c r="H24" s="323"/>
      <c r="I24" s="331">
        <v>74529</v>
      </c>
      <c r="J24" s="233"/>
      <c r="K24" s="331">
        <f>SUM(I24:J24)</f>
        <v>74529</v>
      </c>
      <c r="L24" s="323"/>
      <c r="M24" s="331">
        <v>161620</v>
      </c>
      <c r="N24" s="849">
        <v>31217.433972200357</v>
      </c>
      <c r="O24" s="331">
        <f>SUM(M24:N24)</f>
        <v>192837.43397220035</v>
      </c>
      <c r="P24" s="323"/>
      <c r="Q24" s="1104" t="s">
        <v>3428</v>
      </c>
      <c r="R24" s="1105"/>
      <c r="S24" s="334">
        <f t="shared" si="4"/>
        <v>0</v>
      </c>
      <c r="T24" s="336" t="s">
        <v>664</v>
      </c>
      <c r="U24" s="336" t="s">
        <v>661</v>
      </c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</row>
    <row r="25" spans="1:34" s="330" customFormat="1" ht="38.25" x14ac:dyDescent="0.2">
      <c r="A25" s="231">
        <v>580641256</v>
      </c>
      <c r="B25" s="1022" t="s">
        <v>3271</v>
      </c>
      <c r="C25" s="331"/>
      <c r="D25" s="323"/>
      <c r="E25" s="331"/>
      <c r="F25" s="233"/>
      <c r="G25" s="331"/>
      <c r="H25" s="323"/>
      <c r="I25" s="1044" t="s">
        <v>3054</v>
      </c>
      <c r="J25" s="988"/>
      <c r="K25" s="334"/>
      <c r="L25" s="987"/>
      <c r="M25" s="1044" t="s">
        <v>3054</v>
      </c>
      <c r="N25" s="988"/>
      <c r="O25" s="334"/>
      <c r="P25" s="987"/>
      <c r="Q25" s="334">
        <v>151261</v>
      </c>
      <c r="R25" s="988">
        <v>66454</v>
      </c>
      <c r="S25" s="334">
        <f t="shared" si="4"/>
        <v>217715</v>
      </c>
      <c r="T25" s="336" t="s">
        <v>664</v>
      </c>
      <c r="U25" s="336" t="s">
        <v>661</v>
      </c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</row>
    <row r="26" spans="1:34" s="330" customFormat="1" ht="31.5" customHeight="1" x14ac:dyDescent="0.2">
      <c r="A26" s="231">
        <v>580215333</v>
      </c>
      <c r="B26" s="1022" t="s">
        <v>2510</v>
      </c>
      <c r="C26" s="331"/>
      <c r="D26" s="323"/>
      <c r="E26" s="331">
        <v>35700</v>
      </c>
      <c r="F26" s="233"/>
      <c r="G26" s="331">
        <f>SUM(E26:F26)</f>
        <v>35700</v>
      </c>
      <c r="H26" s="323"/>
      <c r="I26" s="1106" t="s">
        <v>3234</v>
      </c>
      <c r="J26" s="1107"/>
      <c r="K26" s="334">
        <f>SUM(I26:J26)</f>
        <v>0</v>
      </c>
      <c r="L26" s="323"/>
      <c r="M26" s="1106" t="s">
        <v>3234</v>
      </c>
      <c r="N26" s="1107"/>
      <c r="O26" s="334">
        <f>SUM(M26:N26)</f>
        <v>0</v>
      </c>
      <c r="P26" s="323"/>
      <c r="Q26" s="1106" t="s">
        <v>3234</v>
      </c>
      <c r="R26" s="1107"/>
      <c r="S26" s="334">
        <f t="shared" si="4"/>
        <v>0</v>
      </c>
      <c r="T26" s="336" t="s">
        <v>691</v>
      </c>
      <c r="U26" s="336" t="s">
        <v>136</v>
      </c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</row>
    <row r="27" spans="1:34" s="330" customFormat="1" ht="45.75" customHeight="1" x14ac:dyDescent="0.2">
      <c r="A27" s="1025">
        <v>580603546</v>
      </c>
      <c r="B27" s="864" t="s">
        <v>3233</v>
      </c>
      <c r="C27" s="331"/>
      <c r="D27" s="323"/>
      <c r="E27" s="331"/>
      <c r="F27" s="849"/>
      <c r="G27" s="331"/>
      <c r="H27" s="323"/>
      <c r="I27" s="334">
        <v>60000</v>
      </c>
      <c r="J27" s="988"/>
      <c r="K27" s="334">
        <f>SUM(I27:J27)</f>
        <v>60000</v>
      </c>
      <c r="L27" s="987"/>
      <c r="M27" s="334">
        <v>60000</v>
      </c>
      <c r="N27" s="988"/>
      <c r="O27" s="334">
        <f>SUM(M27:N27)</f>
        <v>60000</v>
      </c>
      <c r="P27" s="987"/>
      <c r="Q27" s="334">
        <v>64529</v>
      </c>
      <c r="R27" s="988"/>
      <c r="S27" s="334">
        <f t="shared" si="4"/>
        <v>64529</v>
      </c>
      <c r="T27" s="334" t="s">
        <v>691</v>
      </c>
      <c r="U27" s="333" t="s">
        <v>136</v>
      </c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</row>
    <row r="28" spans="1:34" s="986" customFormat="1" ht="38.25" x14ac:dyDescent="0.2">
      <c r="A28" s="213">
        <v>580170801</v>
      </c>
      <c r="B28" s="1041" t="s">
        <v>662</v>
      </c>
      <c r="C28" s="334"/>
      <c r="D28" s="987"/>
      <c r="E28" s="334">
        <v>101999</v>
      </c>
      <c r="F28" s="334"/>
      <c r="G28" s="334">
        <f t="shared" ref="G28:G33" si="5">SUM(E28:F28)</f>
        <v>101999</v>
      </c>
      <c r="H28" s="987"/>
      <c r="I28" s="1108" t="s">
        <v>3010</v>
      </c>
      <c r="J28" s="1109"/>
      <c r="K28" s="1110"/>
      <c r="L28" s="987"/>
      <c r="M28" s="1045" t="s">
        <v>3010</v>
      </c>
      <c r="N28" s="1046"/>
      <c r="O28" s="1047"/>
      <c r="P28" s="987"/>
      <c r="Q28" s="1045" t="s">
        <v>3010</v>
      </c>
      <c r="R28" s="1046"/>
      <c r="S28" s="1047"/>
      <c r="T28" s="334" t="s">
        <v>655</v>
      </c>
      <c r="U28" s="333" t="s">
        <v>136</v>
      </c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</row>
    <row r="29" spans="1:34" s="330" customFormat="1" ht="38.25" x14ac:dyDescent="0.2">
      <c r="A29" s="231">
        <v>580010684</v>
      </c>
      <c r="B29" s="1041" t="s">
        <v>663</v>
      </c>
      <c r="C29" s="331"/>
      <c r="D29" s="323"/>
      <c r="E29" s="331">
        <v>275398</v>
      </c>
      <c r="F29" s="849">
        <v>171541.3566058187</v>
      </c>
      <c r="G29" s="331">
        <f t="shared" si="5"/>
        <v>446939.35660581873</v>
      </c>
      <c r="H29" s="323"/>
      <c r="I29" s="331">
        <v>300696</v>
      </c>
      <c r="J29" s="849">
        <v>156681</v>
      </c>
      <c r="K29" s="331">
        <f>SUM(I29:J29)</f>
        <v>457377</v>
      </c>
      <c r="L29" s="323"/>
      <c r="M29" s="331">
        <v>356743</v>
      </c>
      <c r="N29" s="849">
        <v>125950.40220189134</v>
      </c>
      <c r="O29" s="331">
        <f>SUM(M29:N29)</f>
        <v>482693.40220189135</v>
      </c>
      <c r="P29" s="323"/>
      <c r="Q29" s="331">
        <v>333878</v>
      </c>
      <c r="R29" s="849">
        <v>146684</v>
      </c>
      <c r="S29" s="331">
        <f>SUM(Q29:R29)</f>
        <v>480562</v>
      </c>
      <c r="T29" s="336" t="s">
        <v>664</v>
      </c>
      <c r="U29" s="336" t="s">
        <v>661</v>
      </c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</row>
    <row r="30" spans="1:34" s="330" customFormat="1" ht="51" x14ac:dyDescent="0.2">
      <c r="A30" s="231">
        <v>580150761</v>
      </c>
      <c r="B30" s="1041" t="s">
        <v>665</v>
      </c>
      <c r="C30" s="331"/>
      <c r="D30" s="323"/>
      <c r="E30" s="331">
        <v>152999</v>
      </c>
      <c r="F30" s="849">
        <v>102924.98783207884</v>
      </c>
      <c r="G30" s="331">
        <f t="shared" si="5"/>
        <v>255923.98783207883</v>
      </c>
      <c r="H30" s="323"/>
      <c r="I30" s="331">
        <v>219272</v>
      </c>
      <c r="J30" s="849">
        <v>87045</v>
      </c>
      <c r="K30" s="331">
        <f>SUM(I30:J30)</f>
        <v>306317</v>
      </c>
      <c r="L30" s="323"/>
      <c r="M30" s="331">
        <v>300000</v>
      </c>
      <c r="N30" s="849">
        <v>91844.908451103838</v>
      </c>
      <c r="O30" s="331">
        <f>SUM(M30:N30)</f>
        <v>391844.90845110384</v>
      </c>
      <c r="P30" s="323"/>
      <c r="Q30" s="331">
        <v>280772</v>
      </c>
      <c r="R30" s="849">
        <v>123352</v>
      </c>
      <c r="S30" s="331">
        <f>SUM(Q30:R30)</f>
        <v>404124</v>
      </c>
      <c r="T30" s="336" t="s">
        <v>664</v>
      </c>
      <c r="U30" s="336" t="s">
        <v>661</v>
      </c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</row>
    <row r="31" spans="1:34" s="330" customFormat="1" ht="25.5" x14ac:dyDescent="0.2">
      <c r="A31" s="337">
        <v>580537041</v>
      </c>
      <c r="B31" s="1023" t="s">
        <v>666</v>
      </c>
      <c r="C31" s="331"/>
      <c r="D31" s="323"/>
      <c r="E31" s="331">
        <v>51000</v>
      </c>
      <c r="F31" s="849">
        <v>34308.619058339034</v>
      </c>
      <c r="G31" s="331">
        <f t="shared" si="5"/>
        <v>85308.619058339042</v>
      </c>
      <c r="H31" s="323"/>
      <c r="I31" s="1099" t="s">
        <v>3010</v>
      </c>
      <c r="J31" s="1100"/>
      <c r="K31" s="1101"/>
      <c r="L31" s="323"/>
      <c r="M31" s="989" t="s">
        <v>3010</v>
      </c>
      <c r="N31" s="990"/>
      <c r="O31" s="991"/>
      <c r="P31" s="323"/>
      <c r="Q31" s="989" t="s">
        <v>3010</v>
      </c>
      <c r="R31" s="990"/>
      <c r="S31" s="991"/>
      <c r="T31" s="336" t="s">
        <v>664</v>
      </c>
      <c r="U31" s="336" t="s">
        <v>661</v>
      </c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</row>
    <row r="32" spans="1:34" s="330" customFormat="1" ht="38.25" x14ac:dyDescent="0.2">
      <c r="A32" s="231">
        <v>580262855</v>
      </c>
      <c r="B32" s="1041" t="s">
        <v>667</v>
      </c>
      <c r="C32" s="331"/>
      <c r="D32" s="323"/>
      <c r="E32" s="331">
        <v>152999</v>
      </c>
      <c r="F32" s="849"/>
      <c r="G32" s="331">
        <f t="shared" si="5"/>
        <v>152999</v>
      </c>
      <c r="H32" s="323"/>
      <c r="I32" s="331">
        <v>174318</v>
      </c>
      <c r="J32" s="849"/>
      <c r="K32" s="331">
        <f>SUM(I32:J32)</f>
        <v>174318</v>
      </c>
      <c r="L32" s="323"/>
      <c r="M32" s="331">
        <v>170000</v>
      </c>
      <c r="N32" s="849"/>
      <c r="O32" s="331">
        <f>SUM(M32:N32)</f>
        <v>170000</v>
      </c>
      <c r="P32" s="323"/>
      <c r="Q32" s="331">
        <v>159104</v>
      </c>
      <c r="R32" s="849"/>
      <c r="S32" s="331">
        <f>SUM(Q32:R32)</f>
        <v>159104</v>
      </c>
      <c r="T32" s="334" t="s">
        <v>655</v>
      </c>
      <c r="U32" s="333" t="s">
        <v>136</v>
      </c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</row>
    <row r="33" spans="1:34" s="330" customFormat="1" ht="25.5" x14ac:dyDescent="0.2">
      <c r="A33" s="231">
        <v>510341993</v>
      </c>
      <c r="B33" s="1041" t="s">
        <v>668</v>
      </c>
      <c r="C33" s="331"/>
      <c r="D33" s="323"/>
      <c r="E33" s="331">
        <v>622196</v>
      </c>
      <c r="F33" s="849"/>
      <c r="G33" s="331">
        <f t="shared" si="5"/>
        <v>622196</v>
      </c>
      <c r="H33" s="323"/>
      <c r="I33" s="331">
        <v>649687</v>
      </c>
      <c r="J33" s="849"/>
      <c r="K33" s="331">
        <f>SUM(I33:J33)</f>
        <v>649687</v>
      </c>
      <c r="L33" s="323"/>
      <c r="M33" s="331">
        <v>650005</v>
      </c>
      <c r="N33" s="849"/>
      <c r="O33" s="331">
        <f>SUM(M33:N33)</f>
        <v>650005</v>
      </c>
      <c r="P33" s="323"/>
      <c r="Q33" s="331">
        <v>608344</v>
      </c>
      <c r="R33" s="849"/>
      <c r="S33" s="331">
        <f>SUM(Q33:R33)</f>
        <v>608344</v>
      </c>
      <c r="T33" s="334" t="s">
        <v>43</v>
      </c>
      <c r="U33" s="334" t="s">
        <v>9</v>
      </c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</row>
    <row r="34" spans="1:34" s="330" customFormat="1" ht="38.25" x14ac:dyDescent="0.2">
      <c r="A34" s="231">
        <v>580352490</v>
      </c>
      <c r="B34" s="1041" t="s">
        <v>3235</v>
      </c>
      <c r="C34" s="331"/>
      <c r="D34" s="323"/>
      <c r="E34" s="331"/>
      <c r="F34" s="849"/>
      <c r="G34" s="331"/>
      <c r="H34" s="323"/>
      <c r="I34" s="331"/>
      <c r="J34" s="849"/>
      <c r="K34" s="331"/>
      <c r="L34" s="323"/>
      <c r="M34" s="331">
        <v>96907</v>
      </c>
      <c r="N34" s="331"/>
      <c r="O34" s="331">
        <f>SUM(M34:N34)</f>
        <v>96907</v>
      </c>
      <c r="P34" s="323"/>
      <c r="Q34" s="331">
        <v>90696</v>
      </c>
      <c r="R34" s="849">
        <v>39846</v>
      </c>
      <c r="S34" s="331">
        <f>SUM(Q34:R34)</f>
        <v>130542</v>
      </c>
      <c r="T34" s="334" t="s">
        <v>53</v>
      </c>
      <c r="U34" s="334" t="s">
        <v>53</v>
      </c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</row>
    <row r="35" spans="1:34" s="330" customFormat="1" ht="50.25" customHeight="1" x14ac:dyDescent="0.2">
      <c r="A35" s="231">
        <v>580234995</v>
      </c>
      <c r="B35" s="1041" t="s">
        <v>3462</v>
      </c>
      <c r="C35" s="331"/>
      <c r="D35" s="323"/>
      <c r="E35" s="331">
        <v>61200</v>
      </c>
      <c r="F35" s="331"/>
      <c r="G35" s="331">
        <f>SUM(E35:F35)</f>
        <v>61200</v>
      </c>
      <c r="H35" s="323"/>
      <c r="I35" s="331">
        <v>66407</v>
      </c>
      <c r="J35" s="331"/>
      <c r="K35" s="331">
        <f>SUM(I35:J35)</f>
        <v>66407</v>
      </c>
      <c r="L35" s="323"/>
      <c r="M35" s="334">
        <v>81348</v>
      </c>
      <c r="N35" s="331"/>
      <c r="O35" s="331">
        <f>SUM(M35:N35)</f>
        <v>81348</v>
      </c>
      <c r="P35" s="323"/>
      <c r="Q35" s="334">
        <v>76134</v>
      </c>
      <c r="R35" s="331"/>
      <c r="S35" s="331">
        <f>SUM(Q35:R35)</f>
        <v>76134</v>
      </c>
      <c r="T35" s="334" t="s">
        <v>443</v>
      </c>
      <c r="U35" s="333" t="s">
        <v>136</v>
      </c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</row>
    <row r="36" spans="1:34" s="330" customFormat="1" ht="25.5" x14ac:dyDescent="0.2">
      <c r="A36" s="231">
        <v>580234995</v>
      </c>
      <c r="B36" s="1041" t="s">
        <v>3463</v>
      </c>
      <c r="C36" s="331"/>
      <c r="D36" s="323"/>
      <c r="E36" s="331">
        <v>224399</v>
      </c>
      <c r="F36" s="331"/>
      <c r="G36" s="331">
        <f t="shared" ref="G36:G57" si="6">SUM(E36:F36)</f>
        <v>224399</v>
      </c>
      <c r="H36" s="323"/>
      <c r="I36" s="331">
        <v>240512</v>
      </c>
      <c r="J36" s="331"/>
      <c r="K36" s="331">
        <f t="shared" ref="K36:K103" si="7">SUM(I36:J36)</f>
        <v>240512</v>
      </c>
      <c r="L36" s="323"/>
      <c r="M36" s="331">
        <v>240630</v>
      </c>
      <c r="N36" s="331"/>
      <c r="O36" s="331">
        <f t="shared" ref="O36:O58" si="8">SUM(M36:N36)</f>
        <v>240630</v>
      </c>
      <c r="P36" s="323"/>
      <c r="Q36" s="331">
        <v>225207</v>
      </c>
      <c r="R36" s="331"/>
      <c r="S36" s="331">
        <f t="shared" ref="S36:S48" si="9">SUM(Q36:R36)</f>
        <v>225207</v>
      </c>
      <c r="T36" s="334" t="s">
        <v>655</v>
      </c>
      <c r="U36" s="333" t="s">
        <v>136</v>
      </c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</row>
    <row r="37" spans="1:34" s="330" customFormat="1" ht="40.5" customHeight="1" x14ac:dyDescent="0.2">
      <c r="A37" s="231">
        <v>580234995</v>
      </c>
      <c r="B37" s="1041" t="s">
        <v>3464</v>
      </c>
      <c r="C37" s="331"/>
      <c r="D37" s="323"/>
      <c r="E37" s="331"/>
      <c r="F37" s="331"/>
      <c r="G37" s="331"/>
      <c r="H37" s="323"/>
      <c r="I37" s="331"/>
      <c r="J37" s="331"/>
      <c r="K37" s="331"/>
      <c r="L37" s="323"/>
      <c r="M37" s="331">
        <v>50834.122028594604</v>
      </c>
      <c r="N37" s="331"/>
      <c r="O37" s="331">
        <f t="shared" si="8"/>
        <v>50834.122028594604</v>
      </c>
      <c r="P37" s="323"/>
      <c r="Q37" s="331">
        <v>52574</v>
      </c>
      <c r="R37" s="331"/>
      <c r="S37" s="331">
        <f t="shared" si="9"/>
        <v>52574</v>
      </c>
      <c r="T37" s="334" t="s">
        <v>655</v>
      </c>
      <c r="U37" s="333" t="s">
        <v>136</v>
      </c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</row>
    <row r="38" spans="1:34" s="330" customFormat="1" ht="25.5" x14ac:dyDescent="0.2">
      <c r="A38" s="957">
        <v>580406981</v>
      </c>
      <c r="B38" s="1041" t="s">
        <v>669</v>
      </c>
      <c r="C38" s="331"/>
      <c r="D38" s="323"/>
      <c r="E38" s="331">
        <v>61200</v>
      </c>
      <c r="F38" s="331"/>
      <c r="G38" s="331">
        <f t="shared" si="6"/>
        <v>61200</v>
      </c>
      <c r="H38" s="323"/>
      <c r="I38" s="331">
        <v>150424</v>
      </c>
      <c r="J38" s="331"/>
      <c r="K38" s="331">
        <f t="shared" si="7"/>
        <v>150424</v>
      </c>
      <c r="L38" s="323"/>
      <c r="M38" s="331">
        <v>180000</v>
      </c>
      <c r="N38" s="849">
        <v>63007.034682261496</v>
      </c>
      <c r="O38" s="331">
        <f t="shared" si="8"/>
        <v>243007.0346822615</v>
      </c>
      <c r="P38" s="323"/>
      <c r="Q38" s="331">
        <v>261640</v>
      </c>
      <c r="R38" s="849">
        <v>74011</v>
      </c>
      <c r="S38" s="331">
        <f t="shared" si="9"/>
        <v>335651</v>
      </c>
      <c r="T38" s="334" t="s">
        <v>53</v>
      </c>
      <c r="U38" s="334" t="s">
        <v>53</v>
      </c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</row>
    <row r="39" spans="1:34" s="330" customFormat="1" ht="42.75" customHeight="1" x14ac:dyDescent="0.2">
      <c r="A39" s="231">
        <v>580103026</v>
      </c>
      <c r="B39" s="1042" t="s">
        <v>3429</v>
      </c>
      <c r="C39" s="331"/>
      <c r="D39" s="323"/>
      <c r="E39" s="331">
        <v>0</v>
      </c>
      <c r="F39" s="331"/>
      <c r="G39" s="331">
        <f t="shared" si="6"/>
        <v>0</v>
      </c>
      <c r="H39" s="323"/>
      <c r="I39" s="331">
        <v>60000</v>
      </c>
      <c r="J39" s="331"/>
      <c r="K39" s="331">
        <f t="shared" si="7"/>
        <v>60000</v>
      </c>
      <c r="L39" s="323"/>
      <c r="M39" s="331">
        <v>50000</v>
      </c>
      <c r="N39" s="331"/>
      <c r="O39" s="331">
        <f t="shared" si="8"/>
        <v>50000</v>
      </c>
      <c r="P39" s="323"/>
      <c r="Q39" s="331">
        <v>0</v>
      </c>
      <c r="R39" s="331"/>
      <c r="S39" s="331">
        <f t="shared" si="9"/>
        <v>0</v>
      </c>
      <c r="T39" s="334" t="s">
        <v>655</v>
      </c>
      <c r="U39" s="334" t="s">
        <v>136</v>
      </c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</row>
    <row r="40" spans="1:34" s="330" customFormat="1" ht="25.5" x14ac:dyDescent="0.2">
      <c r="A40" s="231">
        <v>580103026</v>
      </c>
      <c r="B40" s="852" t="s">
        <v>3465</v>
      </c>
      <c r="C40" s="331"/>
      <c r="D40" s="323"/>
      <c r="E40" s="331">
        <v>187679</v>
      </c>
      <c r="F40" s="331"/>
      <c r="G40" s="331">
        <f t="shared" si="6"/>
        <v>187679</v>
      </c>
      <c r="H40" s="323"/>
      <c r="I40" s="331">
        <v>197318</v>
      </c>
      <c r="J40" s="331"/>
      <c r="K40" s="331">
        <f t="shared" si="7"/>
        <v>197318</v>
      </c>
      <c r="L40" s="323">
        <v>197629</v>
      </c>
      <c r="M40" s="331">
        <v>197629</v>
      </c>
      <c r="N40" s="331"/>
      <c r="O40" s="331">
        <f t="shared" si="8"/>
        <v>197629</v>
      </c>
      <c r="P40" s="323"/>
      <c r="Q40" s="331">
        <v>184963</v>
      </c>
      <c r="R40" s="331"/>
      <c r="S40" s="331">
        <f t="shared" si="9"/>
        <v>184963</v>
      </c>
      <c r="T40" s="334" t="s">
        <v>655</v>
      </c>
      <c r="U40" s="334" t="s">
        <v>136</v>
      </c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</row>
    <row r="41" spans="1:34" s="330" customFormat="1" ht="25.5" x14ac:dyDescent="0.2">
      <c r="A41" s="231">
        <v>580103026</v>
      </c>
      <c r="B41" s="864" t="s">
        <v>3446</v>
      </c>
      <c r="C41" s="331"/>
      <c r="D41" s="323"/>
      <c r="E41" s="331">
        <v>76500</v>
      </c>
      <c r="F41" s="331"/>
      <c r="G41" s="331">
        <f>SUM(E41:F41)</f>
        <v>76500</v>
      </c>
      <c r="H41" s="323"/>
      <c r="I41" s="331">
        <v>100000</v>
      </c>
      <c r="J41" s="331"/>
      <c r="K41" s="331">
        <f>SUM(I41:J41)</f>
        <v>100000</v>
      </c>
      <c r="L41" s="323"/>
      <c r="M41" s="331">
        <v>111812</v>
      </c>
      <c r="N41" s="331"/>
      <c r="O41" s="331">
        <f>SUM(M41:N41)</f>
        <v>111812</v>
      </c>
      <c r="P41" s="323"/>
      <c r="Q41" s="331">
        <v>104646</v>
      </c>
      <c r="R41" s="331"/>
      <c r="S41" s="331">
        <f>SUM(Q41:R41)</f>
        <v>104646</v>
      </c>
      <c r="T41" s="334" t="s">
        <v>655</v>
      </c>
      <c r="U41" s="334" t="s">
        <v>136</v>
      </c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</row>
    <row r="42" spans="1:34" s="330" customFormat="1" ht="25.5" x14ac:dyDescent="0.2">
      <c r="A42" s="231">
        <v>580103026</v>
      </c>
      <c r="B42" s="852" t="s">
        <v>3466</v>
      </c>
      <c r="C42" s="331"/>
      <c r="D42" s="323"/>
      <c r="E42" s="331">
        <v>75000</v>
      </c>
      <c r="F42" s="331"/>
      <c r="G42" s="331">
        <f>SUM(E42:F42)</f>
        <v>75000</v>
      </c>
      <c r="H42" s="323"/>
      <c r="I42" s="331">
        <v>97400</v>
      </c>
      <c r="J42" s="331"/>
      <c r="K42" s="331">
        <f>SUM(I42:J42)</f>
        <v>97400</v>
      </c>
      <c r="L42" s="323"/>
      <c r="M42" s="331">
        <v>113809</v>
      </c>
      <c r="N42" s="331"/>
      <c r="O42" s="331">
        <f>SUM(M42:N42)</f>
        <v>113809</v>
      </c>
      <c r="P42" s="323"/>
      <c r="Q42" s="331">
        <v>196514</v>
      </c>
      <c r="R42" s="331"/>
      <c r="S42" s="331">
        <f>SUM(Q42:R42)</f>
        <v>196514</v>
      </c>
      <c r="T42" s="334" t="s">
        <v>655</v>
      </c>
      <c r="U42" s="334" t="s">
        <v>136</v>
      </c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</row>
    <row r="43" spans="1:34" s="330" customFormat="1" ht="28.5" customHeight="1" x14ac:dyDescent="0.2">
      <c r="A43" s="231">
        <v>580158210</v>
      </c>
      <c r="B43" s="1023" t="s">
        <v>635</v>
      </c>
      <c r="C43" s="331"/>
      <c r="D43" s="323"/>
      <c r="E43" s="331">
        <v>51000</v>
      </c>
      <c r="F43" s="331"/>
      <c r="G43" s="331">
        <f t="shared" si="6"/>
        <v>51000</v>
      </c>
      <c r="H43" s="323"/>
      <c r="I43" s="331">
        <v>102394</v>
      </c>
      <c r="J43" s="331"/>
      <c r="K43" s="331">
        <f t="shared" si="7"/>
        <v>102394</v>
      </c>
      <c r="L43" s="323"/>
      <c r="M43" s="331">
        <v>143563</v>
      </c>
      <c r="N43" s="331"/>
      <c r="O43" s="331">
        <f t="shared" si="8"/>
        <v>143563</v>
      </c>
      <c r="P43" s="323"/>
      <c r="Q43" s="331">
        <v>121368</v>
      </c>
      <c r="R43" s="331"/>
      <c r="S43" s="331">
        <f t="shared" si="9"/>
        <v>121368</v>
      </c>
      <c r="T43" s="334" t="s">
        <v>655</v>
      </c>
      <c r="U43" s="333" t="s">
        <v>136</v>
      </c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</row>
    <row r="44" spans="1:34" s="330" customFormat="1" ht="28.5" customHeight="1" x14ac:dyDescent="0.2">
      <c r="A44" s="231">
        <v>580208486</v>
      </c>
      <c r="B44" s="1024" t="s">
        <v>598</v>
      </c>
      <c r="C44" s="331"/>
      <c r="D44" s="323"/>
      <c r="E44" s="331">
        <v>30600</v>
      </c>
      <c r="F44" s="331"/>
      <c r="G44" s="331">
        <f t="shared" si="6"/>
        <v>30600</v>
      </c>
      <c r="H44" s="323"/>
      <c r="I44" s="331">
        <v>45000</v>
      </c>
      <c r="J44" s="331"/>
      <c r="K44" s="331">
        <f t="shared" si="7"/>
        <v>45000</v>
      </c>
      <c r="L44" s="323"/>
      <c r="M44" s="331">
        <v>60000</v>
      </c>
      <c r="N44" s="331"/>
      <c r="O44" s="331">
        <f t="shared" si="8"/>
        <v>60000</v>
      </c>
      <c r="P44" s="323"/>
      <c r="Q44" s="331">
        <v>56154</v>
      </c>
      <c r="R44" s="331"/>
      <c r="S44" s="331">
        <f t="shared" si="9"/>
        <v>56154</v>
      </c>
      <c r="T44" s="334" t="s">
        <v>655</v>
      </c>
      <c r="U44" s="333" t="s">
        <v>136</v>
      </c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</row>
    <row r="45" spans="1:34" s="330" customFormat="1" ht="36" customHeight="1" x14ac:dyDescent="0.2">
      <c r="A45" s="231">
        <v>580390565</v>
      </c>
      <c r="B45" s="1021" t="s">
        <v>3236</v>
      </c>
      <c r="C45" s="331"/>
      <c r="D45" s="323"/>
      <c r="E45" s="331">
        <v>81599</v>
      </c>
      <c r="F45" s="331"/>
      <c r="G45" s="331">
        <f t="shared" si="6"/>
        <v>81599</v>
      </c>
      <c r="H45" s="323"/>
      <c r="I45" s="331"/>
      <c r="J45" s="331"/>
      <c r="K45" s="331">
        <f t="shared" si="7"/>
        <v>0</v>
      </c>
      <c r="L45" s="323"/>
      <c r="M45" s="331"/>
      <c r="N45" s="331"/>
      <c r="O45" s="331"/>
      <c r="P45" s="323"/>
      <c r="Q45" s="331"/>
      <c r="R45" s="331"/>
      <c r="S45" s="331">
        <f t="shared" si="9"/>
        <v>0</v>
      </c>
      <c r="T45" s="334" t="s">
        <v>708</v>
      </c>
      <c r="U45" s="333" t="s">
        <v>9</v>
      </c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</row>
    <row r="46" spans="1:34" s="330" customFormat="1" ht="38.25" x14ac:dyDescent="0.2">
      <c r="A46" s="231">
        <v>580390565</v>
      </c>
      <c r="B46" s="1022" t="s">
        <v>3237</v>
      </c>
      <c r="C46" s="331"/>
      <c r="D46" s="323"/>
      <c r="E46" s="331"/>
      <c r="F46" s="331"/>
      <c r="G46" s="331"/>
      <c r="H46" s="323"/>
      <c r="I46" s="334">
        <v>32279</v>
      </c>
      <c r="J46" s="331"/>
      <c r="K46" s="331"/>
      <c r="L46" s="323"/>
      <c r="M46" s="1048">
        <v>0</v>
      </c>
      <c r="N46" s="331"/>
      <c r="O46" s="331">
        <f t="shared" si="8"/>
        <v>0</v>
      </c>
      <c r="P46" s="323"/>
      <c r="Q46" s="994"/>
      <c r="R46" s="331"/>
      <c r="S46" s="331">
        <f t="shared" si="9"/>
        <v>0</v>
      </c>
      <c r="T46" s="334" t="s">
        <v>1487</v>
      </c>
      <c r="U46" s="333" t="s">
        <v>9</v>
      </c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</row>
    <row r="47" spans="1:34" s="330" customFormat="1" ht="28.5" customHeight="1" x14ac:dyDescent="0.2">
      <c r="A47" s="231">
        <v>580327740</v>
      </c>
      <c r="B47" s="1024" t="s">
        <v>3467</v>
      </c>
      <c r="C47" s="331"/>
      <c r="D47" s="323"/>
      <c r="E47" s="331">
        <v>20400</v>
      </c>
      <c r="F47" s="331"/>
      <c r="G47" s="331">
        <f t="shared" si="6"/>
        <v>20400</v>
      </c>
      <c r="H47" s="323"/>
      <c r="I47" s="331">
        <v>0</v>
      </c>
      <c r="J47" s="331"/>
      <c r="K47" s="331">
        <f t="shared" si="7"/>
        <v>0</v>
      </c>
      <c r="L47" s="323"/>
      <c r="M47" s="331"/>
      <c r="N47" s="331"/>
      <c r="O47" s="331">
        <f t="shared" si="8"/>
        <v>0</v>
      </c>
      <c r="P47" s="323"/>
      <c r="Q47" s="331"/>
      <c r="R47" s="331"/>
      <c r="S47" s="331">
        <f t="shared" si="9"/>
        <v>0</v>
      </c>
      <c r="T47" s="334" t="s">
        <v>655</v>
      </c>
      <c r="U47" s="333" t="s">
        <v>136</v>
      </c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</row>
    <row r="48" spans="1:34" s="330" customFormat="1" ht="35.25" customHeight="1" x14ac:dyDescent="0.2">
      <c r="A48" s="231">
        <v>580327740</v>
      </c>
      <c r="B48" s="1024" t="s">
        <v>3468</v>
      </c>
      <c r="C48" s="331"/>
      <c r="D48" s="323"/>
      <c r="E48" s="331">
        <v>30600</v>
      </c>
      <c r="F48" s="331"/>
      <c r="G48" s="331">
        <f t="shared" si="6"/>
        <v>30600</v>
      </c>
      <c r="H48" s="323"/>
      <c r="I48" s="331">
        <v>45000</v>
      </c>
      <c r="J48" s="331"/>
      <c r="K48" s="331">
        <f t="shared" si="7"/>
        <v>45000</v>
      </c>
      <c r="L48" s="323"/>
      <c r="M48" s="331">
        <v>55000</v>
      </c>
      <c r="N48" s="331"/>
      <c r="O48" s="331">
        <f t="shared" si="8"/>
        <v>55000</v>
      </c>
      <c r="P48" s="323"/>
      <c r="Q48" s="331">
        <v>62538</v>
      </c>
      <c r="R48" s="331"/>
      <c r="S48" s="331">
        <f t="shared" si="9"/>
        <v>62538</v>
      </c>
      <c r="T48" s="334" t="s">
        <v>655</v>
      </c>
      <c r="U48" s="333" t="s">
        <v>136</v>
      </c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</row>
    <row r="49" spans="1:34" s="330" customFormat="1" ht="38.25" customHeight="1" x14ac:dyDescent="0.2">
      <c r="A49" s="231">
        <v>580327740</v>
      </c>
      <c r="B49" s="1024" t="s">
        <v>3469</v>
      </c>
      <c r="C49" s="331"/>
      <c r="D49" s="323"/>
      <c r="E49" s="331"/>
      <c r="F49" s="331"/>
      <c r="G49" s="331"/>
      <c r="H49" s="323"/>
      <c r="I49" s="331"/>
      <c r="J49" s="331"/>
      <c r="K49" s="331"/>
      <c r="L49" s="323"/>
      <c r="M49" s="331">
        <v>80000</v>
      </c>
      <c r="N49" s="331"/>
      <c r="O49" s="331">
        <f>SUM(M49:N49)</f>
        <v>80000</v>
      </c>
      <c r="P49" s="323"/>
      <c r="Q49" s="331">
        <v>100000</v>
      </c>
      <c r="R49" s="331"/>
      <c r="S49" s="331">
        <f>SUM(Q49:R49)</f>
        <v>100000</v>
      </c>
      <c r="T49" s="334" t="s">
        <v>655</v>
      </c>
      <c r="U49" s="333" t="s">
        <v>136</v>
      </c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</row>
    <row r="50" spans="1:34" s="330" customFormat="1" ht="28.5" customHeight="1" x14ac:dyDescent="0.2">
      <c r="A50" s="231">
        <v>580465011</v>
      </c>
      <c r="B50" s="1022" t="s">
        <v>674</v>
      </c>
      <c r="C50" s="331"/>
      <c r="D50" s="323"/>
      <c r="E50" s="331">
        <v>35000</v>
      </c>
      <c r="F50" s="849">
        <v>28000</v>
      </c>
      <c r="G50" s="331">
        <f t="shared" si="6"/>
        <v>63000</v>
      </c>
      <c r="H50" s="323"/>
      <c r="I50" s="331">
        <v>100000</v>
      </c>
      <c r="J50" s="849">
        <v>19912</v>
      </c>
      <c r="K50" s="331">
        <f t="shared" si="7"/>
        <v>119912</v>
      </c>
      <c r="L50" s="323"/>
      <c r="M50" s="331"/>
      <c r="N50" s="849"/>
      <c r="O50" s="331">
        <f t="shared" si="8"/>
        <v>0</v>
      </c>
      <c r="P50" s="323"/>
      <c r="Q50" s="331"/>
      <c r="R50" s="849"/>
      <c r="S50" s="331">
        <f t="shared" ref="S50:S55" si="10">SUM(Q50:R50)</f>
        <v>0</v>
      </c>
      <c r="T50" s="334" t="s">
        <v>53</v>
      </c>
      <c r="U50" s="334" t="s">
        <v>53</v>
      </c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</row>
    <row r="51" spans="1:34" s="330" customFormat="1" ht="25.5" x14ac:dyDescent="0.2">
      <c r="A51" s="231">
        <v>580082824</v>
      </c>
      <c r="B51" s="1022" t="s">
        <v>675</v>
      </c>
      <c r="C51" s="331"/>
      <c r="D51" s="323"/>
      <c r="E51" s="331">
        <v>224399</v>
      </c>
      <c r="F51" s="331"/>
      <c r="G51" s="331">
        <f t="shared" si="6"/>
        <v>224399</v>
      </c>
      <c r="H51" s="323"/>
      <c r="I51" s="331">
        <v>243492</v>
      </c>
      <c r="J51" s="331"/>
      <c r="K51" s="331">
        <f t="shared" si="7"/>
        <v>243492</v>
      </c>
      <c r="L51" s="323"/>
      <c r="M51" s="331">
        <v>243611</v>
      </c>
      <c r="N51" s="331"/>
      <c r="O51" s="331">
        <f t="shared" si="8"/>
        <v>243611</v>
      </c>
      <c r="P51" s="323"/>
      <c r="Q51" s="331">
        <v>227997</v>
      </c>
      <c r="R51" s="331"/>
      <c r="S51" s="331">
        <f t="shared" si="10"/>
        <v>227997</v>
      </c>
      <c r="T51" s="334" t="s">
        <v>33</v>
      </c>
      <c r="U51" s="334" t="s">
        <v>9</v>
      </c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</row>
    <row r="52" spans="1:34" s="330" customFormat="1" ht="25.5" x14ac:dyDescent="0.2">
      <c r="A52" s="231">
        <v>580309532</v>
      </c>
      <c r="B52" s="1022" t="s">
        <v>676</v>
      </c>
      <c r="C52" s="1038"/>
      <c r="D52" s="323"/>
      <c r="E52" s="331">
        <v>20400</v>
      </c>
      <c r="F52" s="331"/>
      <c r="G52" s="331">
        <f t="shared" si="6"/>
        <v>20400</v>
      </c>
      <c r="H52" s="323"/>
      <c r="I52" s="331">
        <v>60000</v>
      </c>
      <c r="J52" s="331"/>
      <c r="K52" s="331">
        <f t="shared" si="7"/>
        <v>60000</v>
      </c>
      <c r="L52" s="323"/>
      <c r="M52" s="331"/>
      <c r="N52" s="331"/>
      <c r="O52" s="331">
        <f t="shared" si="8"/>
        <v>0</v>
      </c>
      <c r="P52" s="323"/>
      <c r="Q52" s="331"/>
      <c r="R52" s="331"/>
      <c r="S52" s="331">
        <f t="shared" si="10"/>
        <v>0</v>
      </c>
      <c r="T52" s="1049" t="s">
        <v>25</v>
      </c>
      <c r="U52" s="1050" t="s">
        <v>9</v>
      </c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</row>
    <row r="53" spans="1:34" s="330" customFormat="1" ht="28.5" customHeight="1" x14ac:dyDescent="0.2">
      <c r="A53" s="231">
        <v>580006575</v>
      </c>
      <c r="B53" s="1022" t="s">
        <v>677</v>
      </c>
      <c r="C53" s="1038"/>
      <c r="D53" s="323"/>
      <c r="E53" s="331">
        <v>112199</v>
      </c>
      <c r="F53" s="849">
        <v>75478.338745647867</v>
      </c>
      <c r="G53" s="331">
        <f t="shared" si="6"/>
        <v>187677.33874564787</v>
      </c>
      <c r="H53" s="323"/>
      <c r="I53" s="331">
        <v>239599</v>
      </c>
      <c r="J53" s="849">
        <v>63833</v>
      </c>
      <c r="K53" s="331">
        <f t="shared" si="7"/>
        <v>303432</v>
      </c>
      <c r="L53" s="323"/>
      <c r="M53" s="331">
        <v>257129</v>
      </c>
      <c r="N53" s="849">
        <v>100359.13486435125</v>
      </c>
      <c r="O53" s="331">
        <f t="shared" si="8"/>
        <v>357488.13486435125</v>
      </c>
      <c r="P53" s="323"/>
      <c r="Q53" s="331">
        <v>247229</v>
      </c>
      <c r="R53" s="849">
        <v>105725</v>
      </c>
      <c r="S53" s="331">
        <f t="shared" si="10"/>
        <v>352954</v>
      </c>
      <c r="T53" s="1049" t="s">
        <v>53</v>
      </c>
      <c r="U53" s="1050" t="s">
        <v>53</v>
      </c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</row>
    <row r="54" spans="1:34" s="330" customFormat="1" ht="32.25" customHeight="1" x14ac:dyDescent="0.2">
      <c r="A54" s="231">
        <v>513377457</v>
      </c>
      <c r="B54" s="852" t="s">
        <v>3447</v>
      </c>
      <c r="C54" s="1038"/>
      <c r="D54" s="987"/>
      <c r="E54" s="334">
        <v>122399</v>
      </c>
      <c r="F54" s="334"/>
      <c r="G54" s="334">
        <f t="shared" si="6"/>
        <v>122399</v>
      </c>
      <c r="H54" s="987"/>
      <c r="I54" s="334">
        <v>128945.21436411474</v>
      </c>
      <c r="J54" s="334"/>
      <c r="K54" s="334">
        <f t="shared" si="7"/>
        <v>128945.21436411474</v>
      </c>
      <c r="L54" s="987"/>
      <c r="M54" s="334">
        <v>130620.81984833826</v>
      </c>
      <c r="N54" s="334"/>
      <c r="O54" s="334">
        <f t="shared" si="8"/>
        <v>130620.81984833826</v>
      </c>
      <c r="P54" s="987"/>
      <c r="Q54" s="334">
        <v>122249</v>
      </c>
      <c r="R54" s="334"/>
      <c r="S54" s="334">
        <f t="shared" si="10"/>
        <v>122249</v>
      </c>
      <c r="T54" s="334" t="s">
        <v>655</v>
      </c>
      <c r="U54" s="333" t="s">
        <v>136</v>
      </c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</row>
    <row r="55" spans="1:34" s="330" customFormat="1" ht="25.5" x14ac:dyDescent="0.2">
      <c r="A55" s="231">
        <v>513377457</v>
      </c>
      <c r="B55" s="1024" t="s">
        <v>3470</v>
      </c>
      <c r="C55" s="1038"/>
      <c r="D55" s="987">
        <v>275000</v>
      </c>
      <c r="E55" s="334">
        <v>20000</v>
      </c>
      <c r="F55" s="334"/>
      <c r="G55" s="334">
        <f t="shared" si="6"/>
        <v>20000</v>
      </c>
      <c r="H55" s="987">
        <v>43151</v>
      </c>
      <c r="I55" s="334">
        <v>22548.443446066874</v>
      </c>
      <c r="J55" s="334"/>
      <c r="K55" s="334">
        <f>SUM(I55:J55)</f>
        <v>22548.443446066874</v>
      </c>
      <c r="L55" s="987" t="s">
        <v>3238</v>
      </c>
      <c r="M55" s="334">
        <v>34532.365576899465</v>
      </c>
      <c r="N55" s="334"/>
      <c r="O55" s="334">
        <f t="shared" si="8"/>
        <v>34532.365576899465</v>
      </c>
      <c r="P55" s="987" t="s">
        <v>3238</v>
      </c>
      <c r="Q55" s="334">
        <v>40434</v>
      </c>
      <c r="R55" s="334"/>
      <c r="S55" s="334">
        <f t="shared" si="10"/>
        <v>40434</v>
      </c>
      <c r="T55" s="334" t="s">
        <v>655</v>
      </c>
      <c r="U55" s="333" t="s">
        <v>136</v>
      </c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</row>
    <row r="56" spans="1:34" s="330" customFormat="1" ht="25.5" x14ac:dyDescent="0.2">
      <c r="A56" s="231">
        <v>513377457</v>
      </c>
      <c r="B56" s="992" t="s">
        <v>3448</v>
      </c>
      <c r="C56" s="1038"/>
      <c r="D56" s="987"/>
      <c r="E56" s="334">
        <v>30000</v>
      </c>
      <c r="F56" s="334"/>
      <c r="G56" s="334">
        <f>SUM(E56:F56)</f>
        <v>30000</v>
      </c>
      <c r="H56" s="987"/>
      <c r="I56" s="334">
        <v>33905.87183959387</v>
      </c>
      <c r="J56" s="334"/>
      <c r="K56" s="334">
        <f>SUM(I56:J56)</f>
        <v>33905.87183959387</v>
      </c>
      <c r="L56" s="987"/>
      <c r="M56" s="334">
        <v>0</v>
      </c>
      <c r="N56" s="334"/>
      <c r="O56" s="334">
        <f>SUM(M56:N56)</f>
        <v>0</v>
      </c>
      <c r="P56" s="987"/>
      <c r="Q56" s="334">
        <v>0</v>
      </c>
      <c r="R56" s="334"/>
      <c r="S56" s="334">
        <f>SUM(Q56:R56)</f>
        <v>0</v>
      </c>
      <c r="T56" s="334" t="s">
        <v>655</v>
      </c>
      <c r="U56" s="333" t="s">
        <v>136</v>
      </c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</row>
    <row r="57" spans="1:34" s="330" customFormat="1" ht="27.75" customHeight="1" x14ac:dyDescent="0.2">
      <c r="A57" s="108">
        <v>580362747</v>
      </c>
      <c r="B57" s="1024" t="s">
        <v>678</v>
      </c>
      <c r="C57" s="1038"/>
      <c r="D57" s="323"/>
      <c r="E57" s="331">
        <v>40800</v>
      </c>
      <c r="F57" s="331"/>
      <c r="G57" s="331">
        <f t="shared" si="6"/>
        <v>40800</v>
      </c>
      <c r="H57" s="323"/>
      <c r="I57" s="331">
        <v>63952</v>
      </c>
      <c r="J57" s="331"/>
      <c r="K57" s="331">
        <f t="shared" si="7"/>
        <v>63952</v>
      </c>
      <c r="L57" s="323"/>
      <c r="M57" s="331">
        <v>80387</v>
      </c>
      <c r="N57" s="331"/>
      <c r="O57" s="331">
        <f t="shared" si="8"/>
        <v>80387</v>
      </c>
      <c r="P57" s="323"/>
      <c r="Q57" s="331">
        <v>75234</v>
      </c>
      <c r="R57" s="331"/>
      <c r="S57" s="331">
        <f>SUM(Q57:R57)</f>
        <v>75234</v>
      </c>
      <c r="T57" s="334" t="s">
        <v>655</v>
      </c>
      <c r="U57" s="333" t="s">
        <v>136</v>
      </c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</row>
    <row r="58" spans="1:34" s="330" customFormat="1" ht="30.75" customHeight="1" x14ac:dyDescent="0.2">
      <c r="A58" s="231">
        <v>510655756</v>
      </c>
      <c r="B58" s="1022" t="s">
        <v>3449</v>
      </c>
      <c r="C58" s="331"/>
      <c r="D58" s="323"/>
      <c r="E58" s="331">
        <v>50000</v>
      </c>
      <c r="F58" s="849">
        <v>30877.502214128679</v>
      </c>
      <c r="G58" s="331">
        <f>SUM(E58:F58)</f>
        <v>80877.502214128675</v>
      </c>
      <c r="H58" s="323"/>
      <c r="I58" s="331">
        <v>129652</v>
      </c>
      <c r="J58" s="849">
        <v>28446</v>
      </c>
      <c r="K58" s="331">
        <f t="shared" si="7"/>
        <v>158098</v>
      </c>
      <c r="L58" s="323"/>
      <c r="M58" s="331">
        <v>170707</v>
      </c>
      <c r="N58" s="849">
        <v>54306.414273151677</v>
      </c>
      <c r="O58" s="331">
        <f t="shared" si="8"/>
        <v>225013.41427315166</v>
      </c>
      <c r="P58" s="323"/>
      <c r="Q58" s="331">
        <v>159766</v>
      </c>
      <c r="R58" s="849">
        <v>70190</v>
      </c>
      <c r="S58" s="331">
        <f>SUM(Q58:R58)</f>
        <v>229956</v>
      </c>
      <c r="T58" s="334" t="s">
        <v>53</v>
      </c>
      <c r="U58" s="334" t="s">
        <v>53</v>
      </c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</row>
    <row r="59" spans="1:34" s="330" customFormat="1" ht="30.75" customHeight="1" x14ac:dyDescent="0.2">
      <c r="A59" s="231">
        <v>510655756</v>
      </c>
      <c r="B59" s="1022" t="s">
        <v>3450</v>
      </c>
      <c r="C59" s="331"/>
      <c r="D59" s="323"/>
      <c r="E59" s="331"/>
      <c r="F59" s="849"/>
      <c r="G59" s="331"/>
      <c r="H59" s="323"/>
      <c r="I59" s="331">
        <v>160582</v>
      </c>
      <c r="J59" s="849"/>
      <c r="K59" s="331">
        <f>SUM(I59:J59)</f>
        <v>160582</v>
      </c>
      <c r="L59" s="323"/>
      <c r="M59" s="331">
        <v>220234</v>
      </c>
      <c r="N59" s="849">
        <v>67261.844142868926</v>
      </c>
      <c r="O59" s="331">
        <f>SUM(M59:N59)</f>
        <v>287495.84414286894</v>
      </c>
      <c r="P59" s="323"/>
      <c r="Q59" s="331">
        <v>206119</v>
      </c>
      <c r="R59" s="849">
        <v>90555</v>
      </c>
      <c r="S59" s="331">
        <f t="shared" ref="S59:S103" si="11">SUM(Q59:R59)</f>
        <v>296674</v>
      </c>
      <c r="T59" s="334" t="s">
        <v>53</v>
      </c>
      <c r="U59" s="334" t="s">
        <v>53</v>
      </c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</row>
    <row r="60" spans="1:34" s="330" customFormat="1" ht="51" x14ac:dyDescent="0.2">
      <c r="A60" s="231">
        <v>580200830</v>
      </c>
      <c r="B60" s="1022" t="s">
        <v>3239</v>
      </c>
      <c r="C60" s="331"/>
      <c r="D60" s="323"/>
      <c r="E60" s="331">
        <v>81599</v>
      </c>
      <c r="F60" s="849"/>
      <c r="G60" s="331">
        <f t="shared" ref="G60:G80" si="12">SUM(E60:F60)</f>
        <v>81599</v>
      </c>
      <c r="H60" s="323"/>
      <c r="I60" s="331">
        <v>86806</v>
      </c>
      <c r="J60" s="849"/>
      <c r="K60" s="331">
        <f t="shared" si="7"/>
        <v>86806</v>
      </c>
      <c r="L60" s="323"/>
      <c r="M60" s="331">
        <v>91538</v>
      </c>
      <c r="N60" s="849"/>
      <c r="O60" s="331">
        <f t="shared" ref="O60:O70" si="13">SUM(M60:N60)</f>
        <v>91538</v>
      </c>
      <c r="P60" s="323"/>
      <c r="Q60" s="331">
        <v>95829</v>
      </c>
      <c r="R60" s="849"/>
      <c r="S60" s="331">
        <f t="shared" si="11"/>
        <v>95829</v>
      </c>
      <c r="T60" s="334" t="s">
        <v>1409</v>
      </c>
      <c r="U60" s="334" t="s">
        <v>32</v>
      </c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</row>
    <row r="61" spans="1:34" s="330" customFormat="1" ht="38.25" x14ac:dyDescent="0.2">
      <c r="A61" s="231">
        <v>580154938</v>
      </c>
      <c r="B61" s="865" t="s">
        <v>579</v>
      </c>
      <c r="C61" s="331"/>
      <c r="D61" s="323"/>
      <c r="E61" s="331">
        <v>203999</v>
      </c>
      <c r="F61" s="849"/>
      <c r="G61" s="331">
        <f t="shared" si="12"/>
        <v>203999</v>
      </c>
      <c r="H61" s="323"/>
      <c r="I61" s="331">
        <v>234071</v>
      </c>
      <c r="J61" s="849"/>
      <c r="K61" s="331">
        <f t="shared" si="7"/>
        <v>234071</v>
      </c>
      <c r="L61" s="323"/>
      <c r="M61" s="331">
        <v>266001</v>
      </c>
      <c r="N61" s="849"/>
      <c r="O61" s="331">
        <f t="shared" si="13"/>
        <v>266001</v>
      </c>
      <c r="P61" s="323"/>
      <c r="Q61" s="331">
        <v>248952</v>
      </c>
      <c r="R61" s="849"/>
      <c r="S61" s="331">
        <f t="shared" si="11"/>
        <v>248952</v>
      </c>
      <c r="T61" s="334" t="s">
        <v>655</v>
      </c>
      <c r="U61" s="333" t="s">
        <v>136</v>
      </c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</row>
    <row r="62" spans="1:34" s="330" customFormat="1" ht="25.5" x14ac:dyDescent="0.2">
      <c r="A62" s="231">
        <v>590000659</v>
      </c>
      <c r="B62" s="865" t="s">
        <v>623</v>
      </c>
      <c r="C62" s="331"/>
      <c r="D62" s="323"/>
      <c r="E62" s="331">
        <v>469197</v>
      </c>
      <c r="F62" s="849"/>
      <c r="G62" s="331">
        <f t="shared" si="12"/>
        <v>469197</v>
      </c>
      <c r="H62" s="323"/>
      <c r="I62" s="331">
        <v>509119</v>
      </c>
      <c r="J62" s="849"/>
      <c r="K62" s="331">
        <f t="shared" si="7"/>
        <v>509119</v>
      </c>
      <c r="L62" s="323"/>
      <c r="M62" s="331">
        <v>509368</v>
      </c>
      <c r="N62" s="849"/>
      <c r="O62" s="331">
        <f t="shared" si="13"/>
        <v>509368</v>
      </c>
      <c r="P62" s="323"/>
      <c r="Q62" s="331">
        <v>476721</v>
      </c>
      <c r="R62" s="849"/>
      <c r="S62" s="331">
        <f t="shared" si="11"/>
        <v>476721</v>
      </c>
      <c r="T62" s="334" t="s">
        <v>655</v>
      </c>
      <c r="U62" s="333" t="s">
        <v>136</v>
      </c>
      <c r="W62" s="163"/>
      <c r="X62" s="163"/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</row>
    <row r="63" spans="1:34" s="986" customFormat="1" ht="25.5" x14ac:dyDescent="0.2">
      <c r="A63" s="213">
        <v>580144624</v>
      </c>
      <c r="B63" s="1051" t="s">
        <v>3451</v>
      </c>
      <c r="C63" s="334"/>
      <c r="D63" s="987"/>
      <c r="E63" s="334">
        <v>40800</v>
      </c>
      <c r="F63" s="988"/>
      <c r="G63" s="334">
        <f t="shared" si="12"/>
        <v>40800</v>
      </c>
      <c r="H63" s="987"/>
      <c r="I63" s="334">
        <v>100000</v>
      </c>
      <c r="J63" s="988"/>
      <c r="K63" s="334">
        <f>SUM(I63:J63)</f>
        <v>100000</v>
      </c>
      <c r="L63" s="987"/>
      <c r="M63" s="334">
        <v>100000</v>
      </c>
      <c r="N63" s="988"/>
      <c r="O63" s="334">
        <f>SUM(M63:N63)</f>
        <v>100000</v>
      </c>
      <c r="P63" s="987"/>
      <c r="Q63" s="334">
        <v>150000</v>
      </c>
      <c r="R63" s="988"/>
      <c r="S63" s="334">
        <f>SUM(Q63:R63)</f>
        <v>150000</v>
      </c>
      <c r="T63" s="334" t="s">
        <v>670</v>
      </c>
      <c r="U63" s="334" t="s">
        <v>12</v>
      </c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</row>
    <row r="64" spans="1:34" s="986" customFormat="1" ht="38.25" x14ac:dyDescent="0.2">
      <c r="A64" s="213">
        <v>580144624</v>
      </c>
      <c r="B64" s="1052" t="s">
        <v>3471</v>
      </c>
      <c r="C64" s="334"/>
      <c r="D64" s="987"/>
      <c r="E64" s="334">
        <v>0</v>
      </c>
      <c r="F64" s="988"/>
      <c r="G64" s="334">
        <f t="shared" si="12"/>
        <v>0</v>
      </c>
      <c r="H64" s="987"/>
      <c r="I64" s="334">
        <v>0</v>
      </c>
      <c r="J64" s="988"/>
      <c r="K64" s="334">
        <f>SUM(I64:J64)</f>
        <v>0</v>
      </c>
      <c r="L64" s="987"/>
      <c r="M64" s="334">
        <v>0</v>
      </c>
      <c r="N64" s="988"/>
      <c r="O64" s="334">
        <f>SUM(M64:N64)</f>
        <v>0</v>
      </c>
      <c r="P64" s="987"/>
      <c r="Q64" s="334">
        <v>125755</v>
      </c>
      <c r="R64" s="988"/>
      <c r="S64" s="334">
        <f>SUM(Q64:R64)</f>
        <v>125755</v>
      </c>
      <c r="T64" s="334" t="s">
        <v>670</v>
      </c>
      <c r="U64" s="334" t="s">
        <v>12</v>
      </c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</row>
    <row r="65" spans="1:34" s="986" customFormat="1" ht="25.5" x14ac:dyDescent="0.2">
      <c r="A65" s="213">
        <v>580144624</v>
      </c>
      <c r="B65" s="865" t="s">
        <v>3452</v>
      </c>
      <c r="C65" s="334"/>
      <c r="D65" s="987"/>
      <c r="E65" s="334">
        <v>40800</v>
      </c>
      <c r="F65" s="988"/>
      <c r="G65" s="334">
        <f t="shared" si="12"/>
        <v>40800</v>
      </c>
      <c r="H65" s="987"/>
      <c r="I65" s="334">
        <v>116017.6676227252</v>
      </c>
      <c r="J65" s="988"/>
      <c r="K65" s="334">
        <f t="shared" si="7"/>
        <v>116017.6676227252</v>
      </c>
      <c r="L65" s="987"/>
      <c r="M65" s="334">
        <v>50000</v>
      </c>
      <c r="N65" s="988"/>
      <c r="O65" s="334">
        <f t="shared" si="13"/>
        <v>50000</v>
      </c>
      <c r="P65" s="987"/>
      <c r="Q65" s="334">
        <v>0</v>
      </c>
      <c r="R65" s="988"/>
      <c r="S65" s="334">
        <f t="shared" si="11"/>
        <v>0</v>
      </c>
      <c r="T65" s="334" t="s">
        <v>670</v>
      </c>
      <c r="U65" s="334" t="s">
        <v>12</v>
      </c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</row>
    <row r="66" spans="1:34" s="330" customFormat="1" ht="30" customHeight="1" x14ac:dyDescent="0.2">
      <c r="A66" s="1025">
        <v>580525236</v>
      </c>
      <c r="B66" s="1023" t="s">
        <v>2435</v>
      </c>
      <c r="C66" s="331"/>
      <c r="D66" s="323"/>
      <c r="E66" s="331">
        <v>136169</v>
      </c>
      <c r="F66" s="849"/>
      <c r="G66" s="331">
        <f t="shared" si="12"/>
        <v>136169</v>
      </c>
      <c r="H66" s="323"/>
      <c r="I66" s="331">
        <v>234780</v>
      </c>
      <c r="J66" s="849"/>
      <c r="K66" s="331">
        <f t="shared" si="7"/>
        <v>234780</v>
      </c>
      <c r="L66" s="323"/>
      <c r="M66" s="331">
        <v>234895</v>
      </c>
      <c r="N66" s="849"/>
      <c r="O66" s="331">
        <f t="shared" si="13"/>
        <v>234895</v>
      </c>
      <c r="P66" s="323"/>
      <c r="Q66" s="331">
        <v>219840</v>
      </c>
      <c r="R66" s="849"/>
      <c r="S66" s="331">
        <f t="shared" si="11"/>
        <v>219840</v>
      </c>
      <c r="T66" s="334" t="s">
        <v>400</v>
      </c>
      <c r="U66" s="334" t="s">
        <v>32</v>
      </c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</row>
    <row r="67" spans="1:34" s="330" customFormat="1" ht="30" customHeight="1" x14ac:dyDescent="0.2">
      <c r="A67" s="1025">
        <v>580421378</v>
      </c>
      <c r="B67" s="1023" t="s">
        <v>634</v>
      </c>
      <c r="C67" s="331"/>
      <c r="D67" s="323"/>
      <c r="E67" s="331">
        <v>20400</v>
      </c>
      <c r="F67" s="849"/>
      <c r="G67" s="331">
        <f t="shared" si="12"/>
        <v>20400</v>
      </c>
      <c r="H67" s="323"/>
      <c r="I67" s="331">
        <v>92901</v>
      </c>
      <c r="J67" s="849">
        <v>11606</v>
      </c>
      <c r="K67" s="331">
        <f t="shared" si="7"/>
        <v>104507</v>
      </c>
      <c r="L67" s="323"/>
      <c r="M67" s="331">
        <v>99397</v>
      </c>
      <c r="N67" s="849">
        <v>38912.783392389341</v>
      </c>
      <c r="O67" s="331">
        <f t="shared" si="13"/>
        <v>138309.78339238933</v>
      </c>
      <c r="P67" s="323"/>
      <c r="Q67" s="331">
        <v>0</v>
      </c>
      <c r="R67" s="849">
        <v>0</v>
      </c>
      <c r="S67" s="331">
        <f t="shared" si="11"/>
        <v>0</v>
      </c>
      <c r="T67" s="334" t="s">
        <v>53</v>
      </c>
      <c r="U67" s="334" t="s">
        <v>53</v>
      </c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</row>
    <row r="68" spans="1:34" s="330" customFormat="1" ht="30" customHeight="1" x14ac:dyDescent="0.2">
      <c r="A68" s="1025">
        <v>510542764</v>
      </c>
      <c r="B68" s="317" t="s">
        <v>637</v>
      </c>
      <c r="C68" s="331"/>
      <c r="D68" s="323"/>
      <c r="E68" s="331">
        <v>112199</v>
      </c>
      <c r="F68" s="849"/>
      <c r="G68" s="331">
        <f t="shared" si="12"/>
        <v>112199</v>
      </c>
      <c r="H68" s="323"/>
      <c r="I68" s="331">
        <v>140624</v>
      </c>
      <c r="J68" s="849"/>
      <c r="K68" s="331">
        <f t="shared" si="7"/>
        <v>140624</v>
      </c>
      <c r="L68" s="323"/>
      <c r="M68" s="331">
        <v>148167</v>
      </c>
      <c r="N68" s="849"/>
      <c r="O68" s="331">
        <f t="shared" si="13"/>
        <v>148167</v>
      </c>
      <c r="P68" s="323"/>
      <c r="Q68" s="331">
        <v>142479</v>
      </c>
      <c r="R68" s="849"/>
      <c r="S68" s="331">
        <f t="shared" si="11"/>
        <v>142479</v>
      </c>
      <c r="T68" s="334" t="s">
        <v>701</v>
      </c>
      <c r="U68" s="334" t="s">
        <v>32</v>
      </c>
      <c r="W68" s="163"/>
      <c r="X68" s="163"/>
      <c r="Y68" s="163"/>
      <c r="Z68" s="163"/>
      <c r="AA68" s="163"/>
      <c r="AB68" s="163"/>
      <c r="AC68" s="163"/>
      <c r="AD68" s="163"/>
      <c r="AE68" s="163"/>
      <c r="AF68" s="163"/>
      <c r="AG68" s="163"/>
      <c r="AH68" s="163"/>
    </row>
    <row r="69" spans="1:34" s="330" customFormat="1" ht="25.5" x14ac:dyDescent="0.2">
      <c r="A69" s="1025">
        <v>580370773</v>
      </c>
      <c r="B69" s="1041" t="s">
        <v>681</v>
      </c>
      <c r="C69" s="331"/>
      <c r="D69" s="323"/>
      <c r="E69" s="331">
        <v>51000</v>
      </c>
      <c r="F69" s="849"/>
      <c r="G69" s="331">
        <f t="shared" si="12"/>
        <v>51000</v>
      </c>
      <c r="H69" s="323"/>
      <c r="I69" s="331">
        <v>100000</v>
      </c>
      <c r="J69" s="849"/>
      <c r="K69" s="331">
        <f t="shared" si="7"/>
        <v>100000</v>
      </c>
      <c r="L69" s="323"/>
      <c r="M69" s="331">
        <v>110000</v>
      </c>
      <c r="N69" s="849"/>
      <c r="O69" s="331">
        <f t="shared" si="13"/>
        <v>110000</v>
      </c>
      <c r="P69" s="323"/>
      <c r="Q69" s="331">
        <v>102950</v>
      </c>
      <c r="R69" s="849"/>
      <c r="S69" s="331">
        <f t="shared" si="11"/>
        <v>102950</v>
      </c>
      <c r="T69" s="334" t="s">
        <v>655</v>
      </c>
      <c r="U69" s="333" t="s">
        <v>136</v>
      </c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</row>
    <row r="70" spans="1:34" s="330" customFormat="1" ht="38.25" x14ac:dyDescent="0.2">
      <c r="A70" s="1025">
        <v>514729334</v>
      </c>
      <c r="B70" s="1024" t="s">
        <v>3472</v>
      </c>
      <c r="C70" s="331"/>
      <c r="D70" s="323"/>
      <c r="E70" s="331">
        <v>825175</v>
      </c>
      <c r="F70" s="849"/>
      <c r="G70" s="331">
        <f t="shared" si="12"/>
        <v>825175</v>
      </c>
      <c r="H70" s="323"/>
      <c r="I70" s="331">
        <v>636767</v>
      </c>
      <c r="J70" s="849"/>
      <c r="K70" s="331">
        <f t="shared" si="7"/>
        <v>636767</v>
      </c>
      <c r="L70" s="323"/>
      <c r="M70" s="331">
        <v>637079</v>
      </c>
      <c r="N70" s="849"/>
      <c r="O70" s="331">
        <f t="shared" si="13"/>
        <v>637079</v>
      </c>
      <c r="P70" s="323"/>
      <c r="Q70" s="331">
        <v>596246</v>
      </c>
      <c r="R70" s="849"/>
      <c r="S70" s="331">
        <f t="shared" si="11"/>
        <v>596246</v>
      </c>
      <c r="T70" s="334" t="s">
        <v>461</v>
      </c>
      <c r="U70" s="333" t="s">
        <v>12</v>
      </c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</row>
    <row r="71" spans="1:34" s="330" customFormat="1" ht="38.25" x14ac:dyDescent="0.2">
      <c r="A71" s="1025">
        <v>514729334</v>
      </c>
      <c r="B71" s="1051" t="s">
        <v>3453</v>
      </c>
      <c r="C71" s="331"/>
      <c r="D71" s="323"/>
      <c r="E71" s="331">
        <v>0</v>
      </c>
      <c r="F71" s="849">
        <v>0</v>
      </c>
      <c r="G71" s="331">
        <f t="shared" si="12"/>
        <v>0</v>
      </c>
      <c r="H71" s="323"/>
      <c r="I71" s="331">
        <v>75569</v>
      </c>
      <c r="J71" s="849"/>
      <c r="K71" s="331">
        <f>SUM(I71:J71)</f>
        <v>75569</v>
      </c>
      <c r="L71" s="323"/>
      <c r="M71" s="331">
        <v>97245</v>
      </c>
      <c r="N71" s="849"/>
      <c r="O71" s="331">
        <f>SUM(M71:N71)</f>
        <v>97245</v>
      </c>
      <c r="P71" s="323"/>
      <c r="Q71" s="331">
        <v>91012</v>
      </c>
      <c r="R71" s="849"/>
      <c r="S71" s="331">
        <f t="shared" si="11"/>
        <v>91012</v>
      </c>
      <c r="T71" s="334" t="s">
        <v>461</v>
      </c>
      <c r="U71" s="333" t="s">
        <v>12</v>
      </c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</row>
    <row r="72" spans="1:34" s="330" customFormat="1" ht="38.25" x14ac:dyDescent="0.2">
      <c r="A72" s="1025">
        <v>580181741</v>
      </c>
      <c r="B72" s="1022" t="s">
        <v>3240</v>
      </c>
      <c r="C72" s="331"/>
      <c r="D72" s="323"/>
      <c r="E72" s="331">
        <v>192779</v>
      </c>
      <c r="F72" s="849"/>
      <c r="G72" s="331">
        <f t="shared" si="12"/>
        <v>192779</v>
      </c>
      <c r="H72" s="323"/>
      <c r="I72" s="331">
        <v>185738</v>
      </c>
      <c r="J72" s="849"/>
      <c r="K72" s="331">
        <f t="shared" si="7"/>
        <v>185738</v>
      </c>
      <c r="L72" s="323"/>
      <c r="M72" s="331">
        <v>221510</v>
      </c>
      <c r="N72" s="849"/>
      <c r="O72" s="331">
        <f t="shared" ref="O72:O103" si="14">SUM(M72:N72)</f>
        <v>221510</v>
      </c>
      <c r="P72" s="323"/>
      <c r="Q72" s="331">
        <v>207313</v>
      </c>
      <c r="R72" s="849"/>
      <c r="S72" s="331">
        <f t="shared" si="11"/>
        <v>207313</v>
      </c>
      <c r="T72" s="334" t="s">
        <v>461</v>
      </c>
      <c r="U72" s="333" t="s">
        <v>12</v>
      </c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</row>
    <row r="73" spans="1:34" s="330" customFormat="1" ht="25.5" x14ac:dyDescent="0.2">
      <c r="A73" s="1025">
        <v>580362804</v>
      </c>
      <c r="B73" s="1024" t="s">
        <v>2344</v>
      </c>
      <c r="C73" s="331"/>
      <c r="D73" s="323"/>
      <c r="E73" s="331">
        <v>101999</v>
      </c>
      <c r="F73" s="849">
        <v>85771.11297437847</v>
      </c>
      <c r="G73" s="331">
        <f t="shared" si="12"/>
        <v>187770.11297437845</v>
      </c>
      <c r="H73" s="323"/>
      <c r="I73" s="331">
        <v>105348</v>
      </c>
      <c r="J73" s="849">
        <v>58030</v>
      </c>
      <c r="K73" s="331">
        <f t="shared" si="7"/>
        <v>163378</v>
      </c>
      <c r="L73" s="323"/>
      <c r="M73" s="331">
        <v>121531</v>
      </c>
      <c r="N73" s="849">
        <v>44126.370058680026</v>
      </c>
      <c r="O73" s="331">
        <f t="shared" si="14"/>
        <v>165657.37005868001</v>
      </c>
      <c r="P73" s="323"/>
      <c r="Q73" s="331">
        <v>179255</v>
      </c>
      <c r="R73" s="849">
        <v>49970</v>
      </c>
      <c r="S73" s="331">
        <f t="shared" si="11"/>
        <v>229225</v>
      </c>
      <c r="T73" s="334" t="s">
        <v>53</v>
      </c>
      <c r="U73" s="333" t="s">
        <v>53</v>
      </c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</row>
    <row r="74" spans="1:34" s="330" customFormat="1" ht="27.75" customHeight="1" x14ac:dyDescent="0.2">
      <c r="A74" s="1025">
        <v>580352482</v>
      </c>
      <c r="B74" s="852" t="s">
        <v>2346</v>
      </c>
      <c r="C74" s="331"/>
      <c r="D74" s="323"/>
      <c r="E74" s="331">
        <v>30600</v>
      </c>
      <c r="F74" s="849">
        <v>25731.681629488841</v>
      </c>
      <c r="G74" s="331">
        <f t="shared" si="12"/>
        <v>56331.681629488841</v>
      </c>
      <c r="H74" s="323"/>
      <c r="I74" s="331">
        <v>120000</v>
      </c>
      <c r="J74" s="849">
        <v>17409</v>
      </c>
      <c r="K74" s="331">
        <f t="shared" si="7"/>
        <v>137409</v>
      </c>
      <c r="L74" s="323"/>
      <c r="M74" s="331">
        <v>120000</v>
      </c>
      <c r="N74" s="849">
        <v>50263.549446041718</v>
      </c>
      <c r="O74" s="331">
        <f t="shared" si="14"/>
        <v>170263.54944604172</v>
      </c>
      <c r="P74" s="323"/>
      <c r="Q74" s="331">
        <v>112309</v>
      </c>
      <c r="R74" s="849">
        <v>49341</v>
      </c>
      <c r="S74" s="331">
        <f t="shared" si="11"/>
        <v>161650</v>
      </c>
      <c r="T74" s="334" t="s">
        <v>53</v>
      </c>
      <c r="U74" s="333" t="s">
        <v>53</v>
      </c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</row>
    <row r="75" spans="1:34" s="330" customFormat="1" ht="38.25" x14ac:dyDescent="0.2">
      <c r="A75" s="1025">
        <v>580517845</v>
      </c>
      <c r="B75" s="864" t="s">
        <v>2436</v>
      </c>
      <c r="C75" s="331"/>
      <c r="D75" s="323"/>
      <c r="E75" s="331">
        <v>112199</v>
      </c>
      <c r="F75" s="849"/>
      <c r="G75" s="331">
        <f t="shared" si="12"/>
        <v>112199</v>
      </c>
      <c r="H75" s="323"/>
      <c r="I75" s="331">
        <v>446019</v>
      </c>
      <c r="J75" s="849">
        <v>63833</v>
      </c>
      <c r="K75" s="331">
        <f t="shared" si="7"/>
        <v>509852</v>
      </c>
      <c r="L75" s="323"/>
      <c r="M75" s="331">
        <v>701967</v>
      </c>
      <c r="N75" s="849">
        <v>186820.81716978402</v>
      </c>
      <c r="O75" s="331">
        <f t="shared" si="14"/>
        <v>888787.81716978399</v>
      </c>
      <c r="P75" s="323"/>
      <c r="Q75" s="331">
        <v>1035327</v>
      </c>
      <c r="R75" s="849">
        <v>288631</v>
      </c>
      <c r="S75" s="331">
        <f t="shared" si="11"/>
        <v>1323958</v>
      </c>
      <c r="T75" s="334" t="s">
        <v>53</v>
      </c>
      <c r="U75" s="334" t="s">
        <v>53</v>
      </c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</row>
    <row r="76" spans="1:34" s="330" customFormat="1" ht="38.25" x14ac:dyDescent="0.2">
      <c r="A76" s="1025">
        <v>510623648</v>
      </c>
      <c r="B76" s="864" t="s">
        <v>3354</v>
      </c>
      <c r="C76" s="331"/>
      <c r="D76" s="323"/>
      <c r="E76" s="331">
        <v>51000</v>
      </c>
      <c r="F76" s="849"/>
      <c r="G76" s="331">
        <f t="shared" si="12"/>
        <v>51000</v>
      </c>
      <c r="H76" s="323"/>
      <c r="I76" s="331">
        <v>0</v>
      </c>
      <c r="J76" s="849"/>
      <c r="K76" s="331">
        <f t="shared" si="7"/>
        <v>0</v>
      </c>
      <c r="L76" s="323"/>
      <c r="M76" s="331">
        <v>52808</v>
      </c>
      <c r="N76" s="849"/>
      <c r="O76" s="331">
        <f t="shared" si="14"/>
        <v>52808</v>
      </c>
      <c r="P76" s="323"/>
      <c r="Q76" s="331">
        <f>87419+60000</f>
        <v>147419</v>
      </c>
      <c r="R76" s="849"/>
      <c r="S76" s="331">
        <f t="shared" si="11"/>
        <v>147419</v>
      </c>
      <c r="T76" s="334" t="s">
        <v>679</v>
      </c>
      <c r="U76" s="334" t="s">
        <v>32</v>
      </c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</row>
    <row r="77" spans="1:34" s="330" customFormat="1" ht="25.5" x14ac:dyDescent="0.2">
      <c r="A77" s="1025">
        <v>510658735</v>
      </c>
      <c r="B77" s="864" t="s">
        <v>2507</v>
      </c>
      <c r="C77" s="331"/>
      <c r="D77" s="323"/>
      <c r="E77" s="331">
        <v>40000</v>
      </c>
      <c r="F77" s="849"/>
      <c r="G77" s="331">
        <f t="shared" si="12"/>
        <v>40000</v>
      </c>
      <c r="H77" s="323"/>
      <c r="I77" s="902" t="s">
        <v>3231</v>
      </c>
      <c r="J77" s="849"/>
      <c r="K77" s="331">
        <f t="shared" si="7"/>
        <v>0</v>
      </c>
      <c r="L77" s="323"/>
      <c r="M77" s="902" t="s">
        <v>3231</v>
      </c>
      <c r="N77" s="849"/>
      <c r="O77" s="331">
        <f t="shared" si="14"/>
        <v>0</v>
      </c>
      <c r="P77" s="323"/>
      <c r="Q77" s="902"/>
      <c r="R77" s="849"/>
      <c r="S77" s="331">
        <f t="shared" si="11"/>
        <v>0</v>
      </c>
      <c r="T77" s="334" t="s">
        <v>770</v>
      </c>
      <c r="U77" s="334" t="s">
        <v>32</v>
      </c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</row>
    <row r="78" spans="1:34" s="330" customFormat="1" ht="25.5" x14ac:dyDescent="0.2">
      <c r="A78" s="1025">
        <v>580013167</v>
      </c>
      <c r="B78" s="864" t="s">
        <v>2508</v>
      </c>
      <c r="C78" s="331"/>
      <c r="D78" s="323"/>
      <c r="E78" s="331">
        <v>40800</v>
      </c>
      <c r="F78" s="849"/>
      <c r="G78" s="331">
        <f t="shared" si="12"/>
        <v>40800</v>
      </c>
      <c r="H78" s="323"/>
      <c r="I78" s="331">
        <v>40871</v>
      </c>
      <c r="J78" s="849"/>
      <c r="K78" s="331">
        <f t="shared" si="7"/>
        <v>40871</v>
      </c>
      <c r="L78" s="323"/>
      <c r="M78" s="331">
        <v>61819</v>
      </c>
      <c r="N78" s="849"/>
      <c r="O78" s="331">
        <f t="shared" si="14"/>
        <v>61819</v>
      </c>
      <c r="P78" s="323"/>
      <c r="Q78" s="331">
        <v>100000</v>
      </c>
      <c r="R78" s="849"/>
      <c r="S78" s="331">
        <f t="shared" si="11"/>
        <v>100000</v>
      </c>
      <c r="T78" s="334" t="s">
        <v>655</v>
      </c>
      <c r="U78" s="333" t="s">
        <v>136</v>
      </c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</row>
    <row r="79" spans="1:34" s="330" customFormat="1" ht="25.5" x14ac:dyDescent="0.2">
      <c r="A79" s="1025">
        <v>580186278</v>
      </c>
      <c r="B79" s="864" t="s">
        <v>2509</v>
      </c>
      <c r="C79" s="331"/>
      <c r="D79" s="323"/>
      <c r="E79" s="331">
        <v>30600</v>
      </c>
      <c r="F79" s="849"/>
      <c r="G79" s="331">
        <f t="shared" si="12"/>
        <v>30600</v>
      </c>
      <c r="H79" s="323"/>
      <c r="I79" s="331">
        <v>80791</v>
      </c>
      <c r="J79" s="849"/>
      <c r="K79" s="331">
        <f t="shared" si="7"/>
        <v>80791</v>
      </c>
      <c r="L79" s="323"/>
      <c r="M79" s="331"/>
      <c r="N79" s="849"/>
      <c r="O79" s="331">
        <f t="shared" si="14"/>
        <v>0</v>
      </c>
      <c r="P79" s="323"/>
      <c r="Q79" s="331"/>
      <c r="R79" s="849"/>
      <c r="S79" s="331">
        <f t="shared" si="11"/>
        <v>0</v>
      </c>
      <c r="T79" s="334" t="s">
        <v>655</v>
      </c>
      <c r="U79" s="333" t="s">
        <v>136</v>
      </c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</row>
    <row r="80" spans="1:34" s="330" customFormat="1" ht="25.5" x14ac:dyDescent="0.2">
      <c r="A80" s="1025">
        <v>580241610</v>
      </c>
      <c r="B80" s="864" t="s">
        <v>2511</v>
      </c>
      <c r="C80" s="331"/>
      <c r="D80" s="323"/>
      <c r="E80" s="331">
        <v>51000</v>
      </c>
      <c r="F80" s="849"/>
      <c r="G80" s="331">
        <f t="shared" si="12"/>
        <v>51000</v>
      </c>
      <c r="H80" s="323"/>
      <c r="I80" s="331">
        <v>77796</v>
      </c>
      <c r="J80" s="849"/>
      <c r="K80" s="331">
        <f t="shared" si="7"/>
        <v>77796</v>
      </c>
      <c r="L80" s="323"/>
      <c r="M80" s="331">
        <v>77834</v>
      </c>
      <c r="N80" s="849"/>
      <c r="O80" s="331">
        <f t="shared" si="14"/>
        <v>77834</v>
      </c>
      <c r="P80" s="323"/>
      <c r="Q80" s="331">
        <v>147949</v>
      </c>
      <c r="R80" s="849"/>
      <c r="S80" s="331">
        <f t="shared" si="11"/>
        <v>147949</v>
      </c>
      <c r="T80" s="334" t="s">
        <v>1294</v>
      </c>
      <c r="U80" s="333" t="s">
        <v>9</v>
      </c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</row>
    <row r="81" spans="1:34" s="330" customFormat="1" ht="25.5" x14ac:dyDescent="0.2">
      <c r="A81" s="1025">
        <v>580097210</v>
      </c>
      <c r="B81" s="864" t="s">
        <v>2981</v>
      </c>
      <c r="C81" s="331"/>
      <c r="D81" s="323"/>
      <c r="E81" s="331"/>
      <c r="F81" s="849"/>
      <c r="G81" s="331"/>
      <c r="H81" s="323"/>
      <c r="I81" s="331">
        <v>41021</v>
      </c>
      <c r="J81" s="849"/>
      <c r="K81" s="331">
        <f t="shared" si="7"/>
        <v>41021</v>
      </c>
      <c r="L81" s="323"/>
      <c r="M81" s="331">
        <v>76945</v>
      </c>
      <c r="N81" s="849"/>
      <c r="O81" s="331">
        <f t="shared" si="14"/>
        <v>76945</v>
      </c>
      <c r="P81" s="323"/>
      <c r="Q81" s="331">
        <v>79888</v>
      </c>
      <c r="R81" s="849"/>
      <c r="S81" s="331">
        <f t="shared" si="11"/>
        <v>79888</v>
      </c>
      <c r="T81" s="334" t="s">
        <v>655</v>
      </c>
      <c r="U81" s="333" t="s">
        <v>136</v>
      </c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</row>
    <row r="82" spans="1:34" s="330" customFormat="1" ht="25.5" x14ac:dyDescent="0.2">
      <c r="A82" s="1025">
        <v>580077964</v>
      </c>
      <c r="B82" s="864" t="s">
        <v>2980</v>
      </c>
      <c r="C82" s="331"/>
      <c r="D82" s="323"/>
      <c r="E82" s="331"/>
      <c r="F82" s="849"/>
      <c r="G82" s="331"/>
      <c r="H82" s="323"/>
      <c r="I82" s="331">
        <v>30965</v>
      </c>
      <c r="J82" s="849"/>
      <c r="K82" s="331">
        <f t="shared" si="7"/>
        <v>30965</v>
      </c>
      <c r="L82" s="323"/>
      <c r="M82" s="331"/>
      <c r="N82" s="849"/>
      <c r="O82" s="331">
        <f t="shared" si="14"/>
        <v>0</v>
      </c>
      <c r="P82" s="323"/>
      <c r="Q82" s="331"/>
      <c r="R82" s="849"/>
      <c r="S82" s="331">
        <f t="shared" si="11"/>
        <v>0</v>
      </c>
      <c r="T82" s="1050" t="s">
        <v>924</v>
      </c>
      <c r="U82" s="333" t="s">
        <v>9</v>
      </c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</row>
    <row r="83" spans="1:34" s="330" customFormat="1" ht="25.5" x14ac:dyDescent="0.2">
      <c r="A83" s="1025">
        <v>580227973</v>
      </c>
      <c r="B83" s="864" t="s">
        <v>2982</v>
      </c>
      <c r="C83" s="331"/>
      <c r="D83" s="323"/>
      <c r="E83" s="331"/>
      <c r="F83" s="849"/>
      <c r="G83" s="331"/>
      <c r="H83" s="323"/>
      <c r="I83" s="331">
        <v>54506</v>
      </c>
      <c r="J83" s="849"/>
      <c r="K83" s="331">
        <f t="shared" si="7"/>
        <v>54506</v>
      </c>
      <c r="L83" s="323"/>
      <c r="M83" s="331">
        <v>87521</v>
      </c>
      <c r="N83" s="849"/>
      <c r="O83" s="331">
        <f t="shared" si="14"/>
        <v>87521</v>
      </c>
      <c r="P83" s="323"/>
      <c r="Q83" s="331">
        <v>95601</v>
      </c>
      <c r="R83" s="849"/>
      <c r="S83" s="331">
        <f t="shared" si="11"/>
        <v>95601</v>
      </c>
      <c r="T83" s="1050" t="s">
        <v>2546</v>
      </c>
      <c r="U83" s="333" t="s">
        <v>9</v>
      </c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</row>
    <row r="84" spans="1:34" s="330" customFormat="1" ht="24.75" customHeight="1" x14ac:dyDescent="0.2">
      <c r="A84" s="1025">
        <v>580371045</v>
      </c>
      <c r="B84" s="864" t="s">
        <v>3241</v>
      </c>
      <c r="C84" s="331"/>
      <c r="D84" s="323"/>
      <c r="E84" s="331"/>
      <c r="F84" s="849"/>
      <c r="G84" s="331"/>
      <c r="H84" s="323"/>
      <c r="I84" s="331">
        <v>102138</v>
      </c>
      <c r="J84" s="849"/>
      <c r="K84" s="331">
        <f t="shared" si="7"/>
        <v>102138</v>
      </c>
      <c r="L84" s="323"/>
      <c r="M84" s="331">
        <v>139750</v>
      </c>
      <c r="N84" s="849">
        <v>42781.820110998407</v>
      </c>
      <c r="O84" s="331">
        <f t="shared" si="14"/>
        <v>182531.82011099841</v>
      </c>
      <c r="P84" s="323"/>
      <c r="Q84" s="331">
        <v>135677</v>
      </c>
      <c r="R84" s="849">
        <v>57462</v>
      </c>
      <c r="S84" s="331">
        <f t="shared" si="11"/>
        <v>193139</v>
      </c>
      <c r="T84" s="1050" t="s">
        <v>53</v>
      </c>
      <c r="U84" s="333" t="s">
        <v>53</v>
      </c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</row>
    <row r="85" spans="1:34" s="330" customFormat="1" ht="48.75" customHeight="1" x14ac:dyDescent="0.2">
      <c r="A85" s="1025">
        <v>580455939</v>
      </c>
      <c r="B85" s="864" t="s">
        <v>3242</v>
      </c>
      <c r="C85" s="331"/>
      <c r="D85" s="323"/>
      <c r="E85" s="331"/>
      <c r="F85" s="849"/>
      <c r="G85" s="331"/>
      <c r="H85" s="323"/>
      <c r="I85" s="331">
        <v>21046</v>
      </c>
      <c r="J85" s="849"/>
      <c r="K85" s="331">
        <f t="shared" si="7"/>
        <v>21046</v>
      </c>
      <c r="L85" s="323"/>
      <c r="M85" s="331">
        <v>86029</v>
      </c>
      <c r="N85" s="849"/>
      <c r="O85" s="331">
        <f t="shared" si="14"/>
        <v>86029</v>
      </c>
      <c r="P85" s="323"/>
      <c r="Q85" s="331">
        <v>96217</v>
      </c>
      <c r="R85" s="849"/>
      <c r="S85" s="331">
        <f t="shared" si="11"/>
        <v>96217</v>
      </c>
      <c r="T85" s="334" t="s">
        <v>655</v>
      </c>
      <c r="U85" s="333" t="s">
        <v>136</v>
      </c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</row>
    <row r="86" spans="1:34" s="330" customFormat="1" ht="24.75" customHeight="1" x14ac:dyDescent="0.2">
      <c r="A86" s="1025">
        <v>580469237</v>
      </c>
      <c r="B86" s="864" t="s">
        <v>2550</v>
      </c>
      <c r="C86" s="331"/>
      <c r="D86" s="323"/>
      <c r="E86" s="331"/>
      <c r="F86" s="849"/>
      <c r="G86" s="331"/>
      <c r="H86" s="323"/>
      <c r="I86" s="331">
        <v>44728</v>
      </c>
      <c r="J86" s="849"/>
      <c r="K86" s="331">
        <f t="shared" si="7"/>
        <v>44728</v>
      </c>
      <c r="L86" s="323"/>
      <c r="M86" s="331">
        <v>91395</v>
      </c>
      <c r="N86" s="849"/>
      <c r="O86" s="331">
        <f t="shared" si="14"/>
        <v>91395</v>
      </c>
      <c r="P86" s="323"/>
      <c r="Q86" s="331">
        <v>111433</v>
      </c>
      <c r="R86" s="849"/>
      <c r="S86" s="331">
        <f t="shared" si="11"/>
        <v>111433</v>
      </c>
      <c r="T86" s="1050" t="s">
        <v>2546</v>
      </c>
      <c r="U86" s="333" t="s">
        <v>9</v>
      </c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</row>
    <row r="87" spans="1:34" s="330" customFormat="1" ht="24.75" customHeight="1" x14ac:dyDescent="0.2">
      <c r="A87" s="1025">
        <v>580471118</v>
      </c>
      <c r="B87" s="864" t="s">
        <v>2983</v>
      </c>
      <c r="C87" s="331"/>
      <c r="D87" s="323"/>
      <c r="E87" s="331"/>
      <c r="F87" s="849"/>
      <c r="G87" s="331"/>
      <c r="H87" s="323"/>
      <c r="I87" s="331">
        <v>42119</v>
      </c>
      <c r="J87" s="849"/>
      <c r="K87" s="331">
        <f t="shared" si="7"/>
        <v>42119</v>
      </c>
      <c r="L87" s="323"/>
      <c r="M87" s="331">
        <v>69887</v>
      </c>
      <c r="N87" s="849"/>
      <c r="O87" s="331">
        <f t="shared" si="14"/>
        <v>69887</v>
      </c>
      <c r="P87" s="323"/>
      <c r="Q87" s="331">
        <v>82756</v>
      </c>
      <c r="R87" s="849"/>
      <c r="S87" s="331">
        <f t="shared" si="11"/>
        <v>82756</v>
      </c>
      <c r="T87" s="1050" t="s">
        <v>1206</v>
      </c>
      <c r="U87" s="333" t="s">
        <v>9</v>
      </c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</row>
    <row r="88" spans="1:34" s="330" customFormat="1" ht="25.5" x14ac:dyDescent="0.2">
      <c r="A88" s="1025">
        <v>580600708</v>
      </c>
      <c r="B88" s="993" t="s">
        <v>3243</v>
      </c>
      <c r="C88" s="331"/>
      <c r="D88" s="323"/>
      <c r="E88" s="331"/>
      <c r="F88" s="849"/>
      <c r="G88" s="331"/>
      <c r="H88" s="323"/>
      <c r="I88" s="331">
        <v>80264</v>
      </c>
      <c r="J88" s="849"/>
      <c r="K88" s="331">
        <f t="shared" si="7"/>
        <v>80264</v>
      </c>
      <c r="L88" s="323"/>
      <c r="M88" s="331">
        <v>111697</v>
      </c>
      <c r="N88" s="849"/>
      <c r="O88" s="331">
        <f t="shared" si="14"/>
        <v>111697</v>
      </c>
      <c r="P88" s="323"/>
      <c r="Q88" s="331">
        <v>104538</v>
      </c>
      <c r="R88" s="849"/>
      <c r="S88" s="331">
        <f t="shared" si="11"/>
        <v>104538</v>
      </c>
      <c r="T88" s="1050" t="s">
        <v>43</v>
      </c>
      <c r="U88" s="333" t="s">
        <v>9</v>
      </c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</row>
    <row r="89" spans="1:34" s="330" customFormat="1" ht="38.25" x14ac:dyDescent="0.2">
      <c r="A89" s="1025" t="s">
        <v>3146</v>
      </c>
      <c r="B89" s="992" t="s">
        <v>3244</v>
      </c>
      <c r="C89" s="331"/>
      <c r="D89" s="323"/>
      <c r="E89" s="331"/>
      <c r="F89" s="849"/>
      <c r="G89" s="331"/>
      <c r="H89" s="323"/>
      <c r="I89" s="331"/>
      <c r="J89" s="849"/>
      <c r="K89" s="331"/>
      <c r="L89" s="323"/>
      <c r="M89" s="331">
        <v>80214</v>
      </c>
      <c r="N89" s="849"/>
      <c r="O89" s="331">
        <f t="shared" si="14"/>
        <v>80214</v>
      </c>
      <c r="P89" s="323"/>
      <c r="Q89" s="331">
        <v>136816</v>
      </c>
      <c r="R89" s="849"/>
      <c r="S89" s="331">
        <f t="shared" si="11"/>
        <v>136816</v>
      </c>
      <c r="T89" s="334" t="s">
        <v>1202</v>
      </c>
      <c r="U89" s="333" t="s">
        <v>32</v>
      </c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</row>
    <row r="90" spans="1:34" s="330" customFormat="1" ht="31.5" customHeight="1" x14ac:dyDescent="0.2">
      <c r="A90" s="1025" t="s">
        <v>3147</v>
      </c>
      <c r="B90" s="1065" t="s">
        <v>3148</v>
      </c>
      <c r="C90" s="331"/>
      <c r="D90" s="323"/>
      <c r="E90" s="331"/>
      <c r="F90" s="849"/>
      <c r="G90" s="331"/>
      <c r="H90" s="323"/>
      <c r="I90" s="331"/>
      <c r="J90" s="849"/>
      <c r="K90" s="331"/>
      <c r="L90" s="323"/>
      <c r="M90" s="331">
        <v>82384</v>
      </c>
      <c r="N90" s="849"/>
      <c r="O90" s="331">
        <f t="shared" si="14"/>
        <v>82384</v>
      </c>
      <c r="P90" s="323"/>
      <c r="Q90" s="331">
        <v>167096</v>
      </c>
      <c r="R90" s="849"/>
      <c r="S90" s="331">
        <f t="shared" si="11"/>
        <v>167096</v>
      </c>
      <c r="T90" s="334" t="s">
        <v>655</v>
      </c>
      <c r="U90" s="333" t="s">
        <v>136</v>
      </c>
      <c r="W90" s="163"/>
      <c r="X90" s="163"/>
      <c r="Y90" s="163"/>
      <c r="Z90" s="163"/>
      <c r="AA90" s="163"/>
      <c r="AB90" s="163"/>
      <c r="AC90" s="163"/>
      <c r="AD90" s="163"/>
      <c r="AE90" s="163"/>
      <c r="AF90" s="163"/>
      <c r="AG90" s="163"/>
      <c r="AH90" s="163"/>
    </row>
    <row r="91" spans="1:34" s="330" customFormat="1" ht="38.25" x14ac:dyDescent="0.2">
      <c r="A91" s="1025" t="s">
        <v>3149</v>
      </c>
      <c r="B91" s="1065" t="s">
        <v>3150</v>
      </c>
      <c r="C91" s="331"/>
      <c r="D91" s="323"/>
      <c r="E91" s="331"/>
      <c r="F91" s="849"/>
      <c r="G91" s="331"/>
      <c r="H91" s="323"/>
      <c r="I91" s="331"/>
      <c r="J91" s="849"/>
      <c r="K91" s="331"/>
      <c r="L91" s="323"/>
      <c r="M91" s="331">
        <v>75918</v>
      </c>
      <c r="N91" s="849"/>
      <c r="O91" s="331">
        <f t="shared" si="14"/>
        <v>75918</v>
      </c>
      <c r="P91" s="323"/>
      <c r="Q91" s="331">
        <v>107785</v>
      </c>
      <c r="R91" s="849">
        <v>31216</v>
      </c>
      <c r="S91" s="331">
        <f t="shared" si="11"/>
        <v>139001</v>
      </c>
      <c r="T91" s="334" t="s">
        <v>53</v>
      </c>
      <c r="U91" s="334" t="s">
        <v>53</v>
      </c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</row>
    <row r="92" spans="1:34" s="330" customFormat="1" ht="25.5" x14ac:dyDescent="0.2">
      <c r="A92" s="1025" t="s">
        <v>3151</v>
      </c>
      <c r="B92" s="1065" t="s">
        <v>3152</v>
      </c>
      <c r="C92" s="331"/>
      <c r="D92" s="323"/>
      <c r="E92" s="331"/>
      <c r="F92" s="849"/>
      <c r="G92" s="331"/>
      <c r="H92" s="323"/>
      <c r="I92" s="331"/>
      <c r="J92" s="849"/>
      <c r="K92" s="331"/>
      <c r="L92" s="323"/>
      <c r="M92" s="331">
        <v>98992</v>
      </c>
      <c r="N92" s="849"/>
      <c r="O92" s="331">
        <f t="shared" si="14"/>
        <v>98992</v>
      </c>
      <c r="P92" s="323"/>
      <c r="Q92" s="331">
        <v>94803</v>
      </c>
      <c r="R92" s="849"/>
      <c r="S92" s="331">
        <f t="shared" si="11"/>
        <v>94803</v>
      </c>
      <c r="T92" s="334" t="s">
        <v>2548</v>
      </c>
      <c r="U92" s="334" t="s">
        <v>9</v>
      </c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</row>
    <row r="93" spans="1:34" s="330" customFormat="1" ht="38.25" x14ac:dyDescent="0.2">
      <c r="A93" s="1025" t="s">
        <v>3093</v>
      </c>
      <c r="B93" s="1065" t="s">
        <v>3454</v>
      </c>
      <c r="C93" s="331"/>
      <c r="D93" s="323"/>
      <c r="E93" s="331"/>
      <c r="F93" s="849"/>
      <c r="G93" s="331"/>
      <c r="H93" s="323"/>
      <c r="I93" s="331"/>
      <c r="J93" s="849"/>
      <c r="K93" s="331"/>
      <c r="L93" s="323"/>
      <c r="M93" s="331">
        <v>57254</v>
      </c>
      <c r="N93" s="849"/>
      <c r="O93" s="331">
        <f t="shared" si="14"/>
        <v>57254</v>
      </c>
      <c r="P93" s="323"/>
      <c r="Q93" s="331">
        <v>62730</v>
      </c>
      <c r="R93" s="849"/>
      <c r="S93" s="331">
        <f t="shared" si="11"/>
        <v>62730</v>
      </c>
      <c r="T93" s="334" t="s">
        <v>706</v>
      </c>
      <c r="U93" s="334" t="s">
        <v>12</v>
      </c>
      <c r="W93" s="163"/>
      <c r="X93" s="163"/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</row>
    <row r="94" spans="1:34" s="330" customFormat="1" ht="38.25" customHeight="1" x14ac:dyDescent="0.2">
      <c r="A94" s="1025" t="s">
        <v>3093</v>
      </c>
      <c r="B94" s="1065" t="s">
        <v>3455</v>
      </c>
      <c r="C94" s="331"/>
      <c r="D94" s="323"/>
      <c r="E94" s="331"/>
      <c r="F94" s="849"/>
      <c r="G94" s="331"/>
      <c r="H94" s="323"/>
      <c r="I94" s="331"/>
      <c r="J94" s="849"/>
      <c r="K94" s="331"/>
      <c r="L94" s="323"/>
      <c r="M94" s="331">
        <v>55218</v>
      </c>
      <c r="N94" s="849"/>
      <c r="O94" s="331">
        <f t="shared" si="14"/>
        <v>55218</v>
      </c>
      <c r="P94" s="323"/>
      <c r="Q94" s="331">
        <v>54719</v>
      </c>
      <c r="R94" s="849"/>
      <c r="S94" s="331">
        <f t="shared" si="11"/>
        <v>54719</v>
      </c>
      <c r="T94" s="334" t="s">
        <v>706</v>
      </c>
      <c r="U94" s="334" t="s">
        <v>12</v>
      </c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</row>
    <row r="95" spans="1:34" s="330" customFormat="1" ht="25.5" x14ac:dyDescent="0.2">
      <c r="A95" s="1025" t="s">
        <v>3153</v>
      </c>
      <c r="B95" s="1065" t="s">
        <v>3154</v>
      </c>
      <c r="C95" s="331"/>
      <c r="D95" s="323"/>
      <c r="E95" s="331"/>
      <c r="F95" s="849"/>
      <c r="G95" s="331"/>
      <c r="H95" s="323"/>
      <c r="I95" s="331"/>
      <c r="J95" s="849"/>
      <c r="K95" s="331"/>
      <c r="L95" s="323"/>
      <c r="M95" s="331">
        <v>52620</v>
      </c>
      <c r="N95" s="849"/>
      <c r="O95" s="331">
        <f>SUM(M95:N95)</f>
        <v>52620</v>
      </c>
      <c r="P95" s="323"/>
      <c r="Q95" s="331">
        <v>150706</v>
      </c>
      <c r="R95" s="849">
        <v>21636</v>
      </c>
      <c r="S95" s="331">
        <f t="shared" si="11"/>
        <v>172342</v>
      </c>
      <c r="T95" s="334" t="s">
        <v>53</v>
      </c>
      <c r="U95" s="334" t="s">
        <v>53</v>
      </c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</row>
    <row r="96" spans="1:34" s="330" customFormat="1" ht="25.5" x14ac:dyDescent="0.2">
      <c r="A96" s="1025">
        <v>580322451</v>
      </c>
      <c r="B96" s="1065" t="s">
        <v>3345</v>
      </c>
      <c r="C96" s="331"/>
      <c r="D96" s="323"/>
      <c r="E96" s="331"/>
      <c r="F96" s="849"/>
      <c r="G96" s="331"/>
      <c r="H96" s="323"/>
      <c r="I96" s="331"/>
      <c r="J96" s="849"/>
      <c r="K96" s="331"/>
      <c r="L96" s="323"/>
      <c r="M96" s="331"/>
      <c r="N96" s="849"/>
      <c r="O96" s="331"/>
      <c r="P96" s="323"/>
      <c r="Q96" s="331">
        <v>100000</v>
      </c>
      <c r="R96" s="849"/>
      <c r="S96" s="331">
        <f t="shared" si="11"/>
        <v>100000</v>
      </c>
      <c r="T96" s="334" t="s">
        <v>680</v>
      </c>
      <c r="U96" s="334" t="s">
        <v>32</v>
      </c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</row>
    <row r="97" spans="1:35" s="330" customFormat="1" ht="26.25" customHeight="1" x14ac:dyDescent="0.2">
      <c r="A97" s="1025">
        <v>580085371</v>
      </c>
      <c r="B97" s="1065" t="s">
        <v>3346</v>
      </c>
      <c r="C97" s="331"/>
      <c r="D97" s="323"/>
      <c r="E97" s="331"/>
      <c r="F97" s="849"/>
      <c r="G97" s="331"/>
      <c r="H97" s="323"/>
      <c r="I97" s="331"/>
      <c r="J97" s="849"/>
      <c r="K97" s="331"/>
      <c r="L97" s="323"/>
      <c r="M97" s="331"/>
      <c r="N97" s="849"/>
      <c r="O97" s="331"/>
      <c r="P97" s="323"/>
      <c r="Q97" s="331">
        <v>115470</v>
      </c>
      <c r="R97" s="849"/>
      <c r="S97" s="331">
        <f t="shared" si="11"/>
        <v>115470</v>
      </c>
      <c r="T97" s="334" t="s">
        <v>655</v>
      </c>
      <c r="U97" s="333" t="s">
        <v>136</v>
      </c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</row>
    <row r="98" spans="1:35" s="330" customFormat="1" ht="26.25" customHeight="1" x14ac:dyDescent="0.2">
      <c r="A98" s="1025">
        <v>580450898</v>
      </c>
      <c r="B98" s="1065" t="s">
        <v>3349</v>
      </c>
      <c r="C98" s="331"/>
      <c r="D98" s="323"/>
      <c r="E98" s="331"/>
      <c r="F98" s="849"/>
      <c r="G98" s="331"/>
      <c r="H98" s="323"/>
      <c r="I98" s="331"/>
      <c r="J98" s="849"/>
      <c r="K98" s="331"/>
      <c r="L98" s="323"/>
      <c r="M98" s="331"/>
      <c r="N98" s="849"/>
      <c r="O98" s="331"/>
      <c r="P98" s="323"/>
      <c r="Q98" s="331">
        <v>43305</v>
      </c>
      <c r="R98" s="849"/>
      <c r="S98" s="331">
        <f t="shared" si="11"/>
        <v>43305</v>
      </c>
      <c r="T98" s="334" t="s">
        <v>53</v>
      </c>
      <c r="U98" s="334" t="s">
        <v>53</v>
      </c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</row>
    <row r="99" spans="1:35" s="330" customFormat="1" ht="26.25" customHeight="1" x14ac:dyDescent="0.2">
      <c r="A99" s="1025">
        <v>580557767</v>
      </c>
      <c r="B99" s="1065" t="s">
        <v>3351</v>
      </c>
      <c r="C99" s="331"/>
      <c r="D99" s="323"/>
      <c r="E99" s="331"/>
      <c r="F99" s="849"/>
      <c r="G99" s="331"/>
      <c r="H99" s="323"/>
      <c r="I99" s="331"/>
      <c r="J99" s="849"/>
      <c r="K99" s="331"/>
      <c r="L99" s="323"/>
      <c r="M99" s="331"/>
      <c r="N99" s="849"/>
      <c r="O99" s="331"/>
      <c r="P99" s="323"/>
      <c r="Q99" s="331">
        <v>70898</v>
      </c>
      <c r="R99" s="849"/>
      <c r="S99" s="331">
        <f t="shared" si="11"/>
        <v>70898</v>
      </c>
      <c r="T99" s="334" t="s">
        <v>655</v>
      </c>
      <c r="U99" s="333" t="s">
        <v>136</v>
      </c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</row>
    <row r="100" spans="1:35" s="330" customFormat="1" ht="42" customHeight="1" x14ac:dyDescent="0.2">
      <c r="A100" s="1025">
        <v>580129179</v>
      </c>
      <c r="B100" s="1065" t="s">
        <v>3352</v>
      </c>
      <c r="C100" s="331"/>
      <c r="D100" s="323"/>
      <c r="E100" s="331"/>
      <c r="F100" s="849"/>
      <c r="G100" s="331"/>
      <c r="H100" s="323"/>
      <c r="I100" s="331"/>
      <c r="J100" s="849"/>
      <c r="K100" s="331"/>
      <c r="L100" s="323"/>
      <c r="M100" s="331"/>
      <c r="N100" s="849"/>
      <c r="O100" s="331"/>
      <c r="P100" s="323"/>
      <c r="Q100" s="331">
        <v>175157</v>
      </c>
      <c r="R100" s="849"/>
      <c r="S100" s="331">
        <f t="shared" si="11"/>
        <v>175157</v>
      </c>
      <c r="T100" s="334" t="s">
        <v>3353</v>
      </c>
      <c r="U100" s="333" t="s">
        <v>9</v>
      </c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</row>
    <row r="101" spans="1:35" s="330" customFormat="1" ht="55.5" customHeight="1" x14ac:dyDescent="0.2">
      <c r="A101" s="1025">
        <v>511757114</v>
      </c>
      <c r="B101" s="1065" t="s">
        <v>3356</v>
      </c>
      <c r="C101" s="331"/>
      <c r="D101" s="323"/>
      <c r="E101" s="331"/>
      <c r="F101" s="849"/>
      <c r="G101" s="331"/>
      <c r="H101" s="323"/>
      <c r="I101" s="331"/>
      <c r="J101" s="849"/>
      <c r="K101" s="331"/>
      <c r="L101" s="323"/>
      <c r="M101" s="331"/>
      <c r="N101" s="849"/>
      <c r="O101" s="331"/>
      <c r="P101" s="323"/>
      <c r="Q101" s="331">
        <f>225718+134899+96791</f>
        <v>457408</v>
      </c>
      <c r="R101" s="849"/>
      <c r="S101" s="331">
        <f t="shared" si="11"/>
        <v>457408</v>
      </c>
      <c r="T101" s="334" t="s">
        <v>461</v>
      </c>
      <c r="U101" s="333" t="s">
        <v>12</v>
      </c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</row>
    <row r="102" spans="1:35" s="330" customFormat="1" ht="30.75" customHeight="1" x14ac:dyDescent="0.2">
      <c r="A102" s="1025">
        <v>580308963</v>
      </c>
      <c r="B102" s="1065" t="s">
        <v>3358</v>
      </c>
      <c r="C102" s="331"/>
      <c r="D102" s="323"/>
      <c r="E102" s="331"/>
      <c r="F102" s="849"/>
      <c r="G102" s="331"/>
      <c r="H102" s="323"/>
      <c r="I102" s="331"/>
      <c r="J102" s="849"/>
      <c r="K102" s="331"/>
      <c r="L102" s="323"/>
      <c r="M102" s="331"/>
      <c r="N102" s="849"/>
      <c r="O102" s="331"/>
      <c r="P102" s="323"/>
      <c r="Q102" s="838">
        <v>36494</v>
      </c>
      <c r="R102" s="849"/>
      <c r="S102" s="331">
        <f t="shared" si="11"/>
        <v>36494</v>
      </c>
      <c r="T102" s="334" t="s">
        <v>443</v>
      </c>
      <c r="U102" s="333" t="s">
        <v>136</v>
      </c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</row>
    <row r="103" spans="1:35" s="330" customFormat="1" ht="31.5" customHeight="1" x14ac:dyDescent="0.2">
      <c r="A103" s="1025">
        <v>580533941</v>
      </c>
      <c r="B103" s="853" t="s">
        <v>2348</v>
      </c>
      <c r="C103" s="331"/>
      <c r="D103" s="323"/>
      <c r="E103" s="331">
        <v>20400</v>
      </c>
      <c r="F103" s="849"/>
      <c r="G103" s="331">
        <f>SUM(E103:F103)</f>
        <v>20400</v>
      </c>
      <c r="H103" s="323"/>
      <c r="I103" s="331">
        <v>0</v>
      </c>
      <c r="J103" s="849"/>
      <c r="K103" s="331">
        <f t="shared" si="7"/>
        <v>0</v>
      </c>
      <c r="L103" s="323"/>
      <c r="M103" s="331">
        <v>0</v>
      </c>
      <c r="N103" s="849"/>
      <c r="O103" s="331">
        <f t="shared" si="14"/>
        <v>0</v>
      </c>
      <c r="P103" s="323"/>
      <c r="Q103" s="331"/>
      <c r="R103" s="849"/>
      <c r="S103" s="331">
        <f t="shared" si="11"/>
        <v>0</v>
      </c>
      <c r="T103" s="334" t="s">
        <v>53</v>
      </c>
      <c r="U103" s="334" t="s">
        <v>53</v>
      </c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</row>
    <row r="104" spans="1:35" s="338" customFormat="1" ht="15.75" x14ac:dyDescent="0.25">
      <c r="A104" s="339" t="s">
        <v>475</v>
      </c>
      <c r="B104" s="1053"/>
      <c r="C104" s="340"/>
      <c r="D104" s="323"/>
      <c r="E104" s="340">
        <f>SUM(E105:E133)</f>
        <v>5262571</v>
      </c>
      <c r="F104" s="340">
        <f>SUM(F105:F133)</f>
        <v>0</v>
      </c>
      <c r="G104" s="340">
        <f>SUM(G105:G133)</f>
        <v>5262571</v>
      </c>
      <c r="H104" s="323"/>
      <c r="I104" s="340">
        <f>SUM(I105:I133)</f>
        <v>5685715</v>
      </c>
      <c r="J104" s="340">
        <f>SUM(J105:J133)</f>
        <v>0</v>
      </c>
      <c r="K104" s="340">
        <f>SUM(K105:K133)</f>
        <v>5685715</v>
      </c>
      <c r="L104" s="323"/>
      <c r="M104" s="340">
        <f>SUM(M105:M137)</f>
        <v>6669750</v>
      </c>
      <c r="N104" s="340">
        <f>SUM(N105:N137)</f>
        <v>0</v>
      </c>
      <c r="O104" s="340">
        <f>SUM(O105:O137)</f>
        <v>6669750</v>
      </c>
      <c r="P104" s="323"/>
      <c r="Q104" s="340">
        <f>SUM(Q105:Q137)</f>
        <v>7301733</v>
      </c>
      <c r="R104" s="340">
        <f>SUM(R105:R137)</f>
        <v>0</v>
      </c>
      <c r="S104" s="340">
        <f>SUM(S105:S137)</f>
        <v>7301733</v>
      </c>
      <c r="T104" s="1054"/>
      <c r="U104" s="1054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330"/>
    </row>
    <row r="105" spans="1:35" s="330" customFormat="1" ht="18" customHeight="1" x14ac:dyDescent="0.2">
      <c r="A105" s="341">
        <v>500276001</v>
      </c>
      <c r="B105" s="1041" t="s">
        <v>682</v>
      </c>
      <c r="C105" s="331"/>
      <c r="D105" s="323"/>
      <c r="E105" s="331">
        <v>1723789</v>
      </c>
      <c r="F105" s="331"/>
      <c r="G105" s="331">
        <f t="shared" ref="G105:G133" si="15">SUM(E105:F105)</f>
        <v>1723789</v>
      </c>
      <c r="H105" s="323"/>
      <c r="I105" s="331">
        <v>1749448</v>
      </c>
      <c r="J105" s="331"/>
      <c r="K105" s="331">
        <f t="shared" ref="K105:K133" si="16">SUM(I105:J105)</f>
        <v>1749448</v>
      </c>
      <c r="L105" s="323"/>
      <c r="M105" s="331">
        <v>1750304</v>
      </c>
      <c r="N105" s="331"/>
      <c r="O105" s="331">
        <f t="shared" ref="O105:O133" si="17">SUM(M105:N105)</f>
        <v>1750304</v>
      </c>
      <c r="P105" s="323"/>
      <c r="Q105" s="331">
        <v>1638122</v>
      </c>
      <c r="R105" s="331"/>
      <c r="S105" s="331">
        <f t="shared" ref="S105:S137" si="18">SUM(Q105:R105)</f>
        <v>1638122</v>
      </c>
      <c r="T105" s="334" t="s">
        <v>33</v>
      </c>
      <c r="U105" s="334" t="s">
        <v>9</v>
      </c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338"/>
    </row>
    <row r="106" spans="1:35" s="330" customFormat="1" ht="29.25" customHeight="1" x14ac:dyDescent="0.2">
      <c r="A106" s="231">
        <v>500280003</v>
      </c>
      <c r="B106" s="1041" t="s">
        <v>683</v>
      </c>
      <c r="C106" s="331"/>
      <c r="D106" s="323"/>
      <c r="E106" s="331">
        <v>443697</v>
      </c>
      <c r="F106" s="331"/>
      <c r="G106" s="331">
        <f t="shared" si="15"/>
        <v>443697</v>
      </c>
      <c r="H106" s="323"/>
      <c r="I106" s="331">
        <v>468675</v>
      </c>
      <c r="J106" s="331"/>
      <c r="K106" s="331">
        <f t="shared" si="16"/>
        <v>468675</v>
      </c>
      <c r="L106" s="323"/>
      <c r="M106" s="331">
        <v>531174</v>
      </c>
      <c r="N106" s="331"/>
      <c r="O106" s="331">
        <f t="shared" si="17"/>
        <v>531174</v>
      </c>
      <c r="P106" s="323"/>
      <c r="Q106" s="331">
        <v>497130</v>
      </c>
      <c r="R106" s="331"/>
      <c r="S106" s="331">
        <f t="shared" si="18"/>
        <v>497130</v>
      </c>
      <c r="T106" s="334" t="s">
        <v>294</v>
      </c>
      <c r="U106" s="334" t="s">
        <v>9</v>
      </c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</row>
    <row r="107" spans="1:35" s="330" customFormat="1" ht="27" customHeight="1" x14ac:dyDescent="0.2">
      <c r="A107" s="231">
        <v>500225602</v>
      </c>
      <c r="B107" s="1041" t="s">
        <v>684</v>
      </c>
      <c r="C107" s="331"/>
      <c r="D107" s="323"/>
      <c r="E107" s="331">
        <v>163199</v>
      </c>
      <c r="F107" s="331"/>
      <c r="G107" s="331">
        <f t="shared" si="15"/>
        <v>163199</v>
      </c>
      <c r="H107" s="323"/>
      <c r="I107" s="331">
        <v>168556</v>
      </c>
      <c r="J107" s="331"/>
      <c r="K107" s="331">
        <f t="shared" si="16"/>
        <v>168556</v>
      </c>
      <c r="L107" s="323"/>
      <c r="M107" s="331">
        <v>173736</v>
      </c>
      <c r="N107" s="331"/>
      <c r="O107" s="331">
        <f t="shared" si="17"/>
        <v>173736</v>
      </c>
      <c r="P107" s="323"/>
      <c r="Q107" s="331">
        <v>162601</v>
      </c>
      <c r="R107" s="331"/>
      <c r="S107" s="331">
        <f t="shared" si="18"/>
        <v>162601</v>
      </c>
      <c r="T107" s="334" t="s">
        <v>685</v>
      </c>
      <c r="U107" s="334" t="s">
        <v>32</v>
      </c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</row>
    <row r="108" spans="1:35" s="330" customFormat="1" ht="32.25" customHeight="1" x14ac:dyDescent="0.2">
      <c r="A108" s="231">
        <v>500226006</v>
      </c>
      <c r="B108" s="1022" t="s">
        <v>686</v>
      </c>
      <c r="C108" s="331"/>
      <c r="D108" s="323"/>
      <c r="E108" s="331">
        <v>591596</v>
      </c>
      <c r="F108" s="331"/>
      <c r="G108" s="331">
        <f t="shared" si="15"/>
        <v>591596</v>
      </c>
      <c r="H108" s="323"/>
      <c r="I108" s="331">
        <v>565639</v>
      </c>
      <c r="J108" s="331"/>
      <c r="K108" s="331">
        <f t="shared" si="16"/>
        <v>565639</v>
      </c>
      <c r="L108" s="323"/>
      <c r="M108" s="331">
        <v>565916</v>
      </c>
      <c r="N108" s="331"/>
      <c r="O108" s="331">
        <f t="shared" si="17"/>
        <v>565916</v>
      </c>
      <c r="P108" s="323"/>
      <c r="Q108" s="331">
        <v>529645</v>
      </c>
      <c r="R108" s="331"/>
      <c r="S108" s="331">
        <f t="shared" si="18"/>
        <v>529645</v>
      </c>
      <c r="T108" s="334" t="s">
        <v>672</v>
      </c>
      <c r="U108" s="334" t="s">
        <v>32</v>
      </c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</row>
    <row r="109" spans="1:35" s="330" customFormat="1" ht="27" customHeight="1" x14ac:dyDescent="0.2">
      <c r="A109" s="231">
        <v>500226006</v>
      </c>
      <c r="B109" s="1022" t="s">
        <v>687</v>
      </c>
      <c r="C109" s="331"/>
      <c r="D109" s="323"/>
      <c r="E109" s="331">
        <v>351898</v>
      </c>
      <c r="F109" s="331"/>
      <c r="G109" s="331">
        <f t="shared" si="15"/>
        <v>351898</v>
      </c>
      <c r="H109" s="323"/>
      <c r="I109" s="331">
        <v>337925</v>
      </c>
      <c r="J109" s="331"/>
      <c r="K109" s="331">
        <f t="shared" si="16"/>
        <v>337925</v>
      </c>
      <c r="L109" s="323"/>
      <c r="M109" s="331">
        <v>338090</v>
      </c>
      <c r="N109" s="331"/>
      <c r="O109" s="331">
        <f t="shared" si="17"/>
        <v>338090</v>
      </c>
      <c r="P109" s="323"/>
      <c r="Q109" s="331">
        <v>316421</v>
      </c>
      <c r="R109" s="331"/>
      <c r="S109" s="331">
        <f t="shared" si="18"/>
        <v>316421</v>
      </c>
      <c r="T109" s="334" t="s">
        <v>672</v>
      </c>
      <c r="U109" s="334" t="s">
        <v>32</v>
      </c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</row>
    <row r="110" spans="1:35" s="330" customFormat="1" ht="33" customHeight="1" x14ac:dyDescent="0.2">
      <c r="A110" s="231">
        <v>500221015</v>
      </c>
      <c r="B110" s="1041" t="s">
        <v>688</v>
      </c>
      <c r="C110" s="331"/>
      <c r="D110" s="323"/>
      <c r="E110" s="331">
        <v>300000</v>
      </c>
      <c r="F110" s="331"/>
      <c r="G110" s="331">
        <f t="shared" si="15"/>
        <v>300000</v>
      </c>
      <c r="H110" s="323"/>
      <c r="I110" s="331">
        <v>300000</v>
      </c>
      <c r="J110" s="331"/>
      <c r="K110" s="331">
        <f t="shared" si="16"/>
        <v>300000</v>
      </c>
      <c r="L110" s="323"/>
      <c r="M110" s="331">
        <v>300147</v>
      </c>
      <c r="N110" s="331"/>
      <c r="O110" s="331">
        <f t="shared" si="17"/>
        <v>300147</v>
      </c>
      <c r="P110" s="323"/>
      <c r="Q110" s="331">
        <v>280909</v>
      </c>
      <c r="R110" s="331"/>
      <c r="S110" s="331">
        <f t="shared" si="18"/>
        <v>280909</v>
      </c>
      <c r="T110" s="334" t="s">
        <v>289</v>
      </c>
      <c r="U110" s="334" t="s">
        <v>9</v>
      </c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</row>
    <row r="111" spans="1:35" s="330" customFormat="1" ht="25.5" x14ac:dyDescent="0.2">
      <c r="A111" s="231">
        <v>500221015</v>
      </c>
      <c r="B111" s="1041" t="s">
        <v>689</v>
      </c>
      <c r="C111" s="331"/>
      <c r="D111" s="323"/>
      <c r="E111" s="331">
        <v>100000</v>
      </c>
      <c r="F111" s="331"/>
      <c r="G111" s="331">
        <f t="shared" si="15"/>
        <v>100000</v>
      </c>
      <c r="H111" s="323"/>
      <c r="I111" s="331">
        <v>100000</v>
      </c>
      <c r="J111" s="331"/>
      <c r="K111" s="331">
        <f t="shared" si="16"/>
        <v>100000</v>
      </c>
      <c r="L111" s="323"/>
      <c r="M111" s="331">
        <v>103345</v>
      </c>
      <c r="N111" s="331"/>
      <c r="O111" s="331">
        <f t="shared" si="17"/>
        <v>103345</v>
      </c>
      <c r="P111" s="323"/>
      <c r="Q111" s="331">
        <v>100585</v>
      </c>
      <c r="R111" s="331"/>
      <c r="S111" s="331">
        <f t="shared" si="18"/>
        <v>100585</v>
      </c>
      <c r="T111" s="334" t="s">
        <v>289</v>
      </c>
      <c r="U111" s="334" t="s">
        <v>9</v>
      </c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</row>
    <row r="112" spans="1:35" s="330" customFormat="1" ht="25.5" x14ac:dyDescent="0.2">
      <c r="A112" s="231">
        <v>500262001</v>
      </c>
      <c r="B112" s="1041" t="s">
        <v>690</v>
      </c>
      <c r="C112" s="331"/>
      <c r="D112" s="323"/>
      <c r="E112" s="331">
        <v>295798</v>
      </c>
      <c r="F112" s="331"/>
      <c r="G112" s="331">
        <f t="shared" si="15"/>
        <v>295798</v>
      </c>
      <c r="H112" s="323"/>
      <c r="I112" s="331">
        <v>226101</v>
      </c>
      <c r="J112" s="331"/>
      <c r="K112" s="331">
        <f t="shared" si="16"/>
        <v>226101</v>
      </c>
      <c r="L112" s="323"/>
      <c r="M112" s="331">
        <v>240435</v>
      </c>
      <c r="N112" s="331"/>
      <c r="O112" s="331">
        <f t="shared" si="17"/>
        <v>240435</v>
      </c>
      <c r="P112" s="323"/>
      <c r="Q112" s="331"/>
      <c r="R112" s="331"/>
      <c r="S112" s="331">
        <f t="shared" si="18"/>
        <v>0</v>
      </c>
      <c r="T112" s="334" t="s">
        <v>691</v>
      </c>
      <c r="U112" s="333" t="s">
        <v>136</v>
      </c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</row>
    <row r="113" spans="1:34" s="330" customFormat="1" ht="30.75" customHeight="1" x14ac:dyDescent="0.2">
      <c r="A113" s="231">
        <v>500266002</v>
      </c>
      <c r="B113" s="1041" t="s">
        <v>692</v>
      </c>
      <c r="C113" s="331"/>
      <c r="D113" s="323"/>
      <c r="E113" s="331">
        <v>40800</v>
      </c>
      <c r="F113" s="331"/>
      <c r="G113" s="331">
        <f t="shared" si="15"/>
        <v>40800</v>
      </c>
      <c r="H113" s="323"/>
      <c r="I113" s="331">
        <v>87593</v>
      </c>
      <c r="J113" s="331"/>
      <c r="K113" s="331">
        <f t="shared" si="16"/>
        <v>87593</v>
      </c>
      <c r="L113" s="323"/>
      <c r="M113" s="331">
        <v>138293</v>
      </c>
      <c r="N113" s="331"/>
      <c r="O113" s="331">
        <f t="shared" si="17"/>
        <v>138293</v>
      </c>
      <c r="P113" s="323"/>
      <c r="Q113" s="331">
        <v>198213</v>
      </c>
      <c r="R113" s="331"/>
      <c r="S113" s="331">
        <f t="shared" si="18"/>
        <v>198213</v>
      </c>
      <c r="T113" s="334" t="s">
        <v>426</v>
      </c>
      <c r="U113" s="333" t="s">
        <v>136</v>
      </c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</row>
    <row r="114" spans="1:34" s="330" customFormat="1" ht="25.5" x14ac:dyDescent="0.2">
      <c r="A114" s="231">
        <v>500283007</v>
      </c>
      <c r="B114" s="1041" t="s">
        <v>3473</v>
      </c>
      <c r="C114" s="331"/>
      <c r="D114" s="323"/>
      <c r="E114" s="331">
        <v>203999</v>
      </c>
      <c r="F114" s="331"/>
      <c r="G114" s="331">
        <f t="shared" si="15"/>
        <v>203999</v>
      </c>
      <c r="H114" s="323"/>
      <c r="I114" s="331">
        <v>210695</v>
      </c>
      <c r="J114" s="331"/>
      <c r="K114" s="331">
        <f t="shared" si="16"/>
        <v>210695</v>
      </c>
      <c r="L114" s="323"/>
      <c r="M114" s="331">
        <v>210798</v>
      </c>
      <c r="N114" s="331"/>
      <c r="O114" s="331">
        <f t="shared" si="17"/>
        <v>210798</v>
      </c>
      <c r="P114" s="323"/>
      <c r="Q114" s="331">
        <v>0</v>
      </c>
      <c r="R114" s="331"/>
      <c r="S114" s="331">
        <f t="shared" si="18"/>
        <v>0</v>
      </c>
      <c r="T114" s="334" t="s">
        <v>292</v>
      </c>
      <c r="U114" s="333" t="s">
        <v>136</v>
      </c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</row>
    <row r="115" spans="1:34" s="330" customFormat="1" ht="25.5" x14ac:dyDescent="0.2">
      <c r="A115" s="231">
        <v>500283007</v>
      </c>
      <c r="B115" s="1041" t="s">
        <v>3474</v>
      </c>
      <c r="C115" s="331"/>
      <c r="D115" s="323"/>
      <c r="E115" s="331">
        <v>40800</v>
      </c>
      <c r="F115" s="331"/>
      <c r="G115" s="331">
        <f t="shared" si="15"/>
        <v>40800</v>
      </c>
      <c r="H115" s="323"/>
      <c r="I115" s="331">
        <v>93578</v>
      </c>
      <c r="J115" s="331"/>
      <c r="K115" s="331">
        <f t="shared" si="16"/>
        <v>93578</v>
      </c>
      <c r="L115" s="323"/>
      <c r="M115" s="331">
        <v>135564</v>
      </c>
      <c r="N115" s="331"/>
      <c r="O115" s="331">
        <f t="shared" si="17"/>
        <v>135564</v>
      </c>
      <c r="P115" s="323"/>
      <c r="Q115" s="331">
        <v>208623</v>
      </c>
      <c r="R115" s="331"/>
      <c r="S115" s="331">
        <f t="shared" si="18"/>
        <v>208623</v>
      </c>
      <c r="T115" s="334" t="s">
        <v>292</v>
      </c>
      <c r="U115" s="333" t="s">
        <v>136</v>
      </c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</row>
    <row r="116" spans="1:34" s="330" customFormat="1" ht="25.5" x14ac:dyDescent="0.2">
      <c r="A116" s="231">
        <v>500283007</v>
      </c>
      <c r="B116" s="852" t="s">
        <v>3475</v>
      </c>
      <c r="C116" s="331"/>
      <c r="D116" s="323"/>
      <c r="E116" s="331">
        <v>0</v>
      </c>
      <c r="F116" s="331"/>
      <c r="G116" s="331">
        <f>SUM(E116:F116)</f>
        <v>0</v>
      </c>
      <c r="H116" s="323"/>
      <c r="I116" s="331">
        <v>0</v>
      </c>
      <c r="J116" s="331"/>
      <c r="K116" s="331">
        <f>SUM(I116:J116)</f>
        <v>0</v>
      </c>
      <c r="L116" s="323"/>
      <c r="M116" s="331">
        <v>0</v>
      </c>
      <c r="N116" s="331"/>
      <c r="O116" s="331">
        <f>SUM(M116:N116)</f>
        <v>0</v>
      </c>
      <c r="P116" s="323"/>
      <c r="Q116" s="331">
        <v>100616</v>
      </c>
      <c r="R116" s="331"/>
      <c r="S116" s="331">
        <f>SUM(Q116:R116)</f>
        <v>100616</v>
      </c>
      <c r="T116" s="334" t="s">
        <v>292</v>
      </c>
      <c r="U116" s="333" t="s">
        <v>136</v>
      </c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</row>
    <row r="117" spans="1:34" s="330" customFormat="1" ht="34.5" customHeight="1" x14ac:dyDescent="0.2">
      <c r="A117" s="231">
        <v>500222062</v>
      </c>
      <c r="B117" s="1041" t="s">
        <v>693</v>
      </c>
      <c r="C117" s="331"/>
      <c r="D117" s="323"/>
      <c r="E117" s="331">
        <v>173399</v>
      </c>
      <c r="F117" s="331"/>
      <c r="G117" s="331">
        <f t="shared" si="15"/>
        <v>173399</v>
      </c>
      <c r="H117" s="323"/>
      <c r="I117" s="331">
        <v>193568</v>
      </c>
      <c r="J117" s="331"/>
      <c r="K117" s="331">
        <f t="shared" si="16"/>
        <v>193568</v>
      </c>
      <c r="L117" s="323"/>
      <c r="M117" s="331">
        <v>206266</v>
      </c>
      <c r="N117" s="331"/>
      <c r="O117" s="331">
        <f t="shared" si="17"/>
        <v>206266</v>
      </c>
      <c r="P117" s="323"/>
      <c r="Q117" s="331">
        <v>193046</v>
      </c>
      <c r="R117" s="331"/>
      <c r="S117" s="331">
        <f t="shared" si="18"/>
        <v>193046</v>
      </c>
      <c r="T117" s="334" t="s">
        <v>694</v>
      </c>
      <c r="U117" s="334" t="s">
        <v>9</v>
      </c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</row>
    <row r="118" spans="1:34" s="330" customFormat="1" ht="40.5" customHeight="1" x14ac:dyDescent="0.2">
      <c r="A118" s="231">
        <v>500250006</v>
      </c>
      <c r="B118" s="1041" t="s">
        <v>3348</v>
      </c>
      <c r="C118" s="331"/>
      <c r="D118" s="323"/>
      <c r="E118" s="331">
        <v>28560</v>
      </c>
      <c r="F118" s="331"/>
      <c r="G118" s="331">
        <f t="shared" si="15"/>
        <v>28560</v>
      </c>
      <c r="H118" s="323"/>
      <c r="I118" s="331">
        <v>58423</v>
      </c>
      <c r="J118" s="331"/>
      <c r="K118" s="331">
        <f t="shared" si="16"/>
        <v>58423</v>
      </c>
      <c r="L118" s="323"/>
      <c r="M118" s="331">
        <v>93894</v>
      </c>
      <c r="N118" s="331"/>
      <c r="O118" s="331">
        <f t="shared" si="17"/>
        <v>93894</v>
      </c>
      <c r="P118" s="323"/>
      <c r="Q118" s="331">
        <v>87876</v>
      </c>
      <c r="R118" s="331"/>
      <c r="S118" s="331">
        <f t="shared" si="18"/>
        <v>87876</v>
      </c>
      <c r="T118" s="334" t="s">
        <v>655</v>
      </c>
      <c r="U118" s="333" t="s">
        <v>136</v>
      </c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</row>
    <row r="119" spans="1:34" s="330" customFormat="1" ht="27" customHeight="1" x14ac:dyDescent="0.2">
      <c r="A119" s="231">
        <v>500223094</v>
      </c>
      <c r="B119" s="1041" t="s">
        <v>695</v>
      </c>
      <c r="C119" s="331"/>
      <c r="D119" s="323"/>
      <c r="E119" s="331">
        <v>90000</v>
      </c>
      <c r="F119" s="331"/>
      <c r="G119" s="331">
        <f t="shared" si="15"/>
        <v>90000</v>
      </c>
      <c r="H119" s="323"/>
      <c r="I119" s="331">
        <v>100000</v>
      </c>
      <c r="J119" s="331"/>
      <c r="K119" s="331">
        <f t="shared" si="16"/>
        <v>100000</v>
      </c>
      <c r="L119" s="323"/>
      <c r="M119" s="331">
        <v>150551</v>
      </c>
      <c r="N119" s="331"/>
      <c r="O119" s="331">
        <f t="shared" si="17"/>
        <v>150551</v>
      </c>
      <c r="P119" s="323"/>
      <c r="Q119" s="331">
        <v>200000</v>
      </c>
      <c r="R119" s="331"/>
      <c r="S119" s="331">
        <f t="shared" si="18"/>
        <v>200000</v>
      </c>
      <c r="T119" s="334" t="s">
        <v>696</v>
      </c>
      <c r="U119" s="334" t="s">
        <v>9</v>
      </c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</row>
    <row r="120" spans="1:34" s="330" customFormat="1" ht="26.25" customHeight="1" x14ac:dyDescent="0.2">
      <c r="A120" s="231">
        <v>500230008</v>
      </c>
      <c r="B120" s="852" t="s">
        <v>3476</v>
      </c>
      <c r="C120" s="331"/>
      <c r="D120" s="323"/>
      <c r="E120" s="331"/>
      <c r="F120" s="331"/>
      <c r="G120" s="331">
        <f t="shared" si="15"/>
        <v>0</v>
      </c>
      <c r="H120" s="323"/>
      <c r="I120" s="331">
        <v>61860</v>
      </c>
      <c r="J120" s="331"/>
      <c r="K120" s="331">
        <f t="shared" si="16"/>
        <v>61860</v>
      </c>
      <c r="L120" s="323"/>
      <c r="M120" s="331">
        <v>129594</v>
      </c>
      <c r="N120" s="331"/>
      <c r="O120" s="331">
        <f t="shared" si="17"/>
        <v>129594</v>
      </c>
      <c r="P120" s="323"/>
      <c r="Q120" s="331">
        <v>170000</v>
      </c>
      <c r="R120" s="331"/>
      <c r="S120" s="331">
        <f t="shared" si="18"/>
        <v>170000</v>
      </c>
      <c r="T120" s="334" t="s">
        <v>53</v>
      </c>
      <c r="U120" s="334" t="s">
        <v>53</v>
      </c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</row>
    <row r="121" spans="1:34" s="330" customFormat="1" ht="26.25" customHeight="1" x14ac:dyDescent="0.2">
      <c r="A121" s="231">
        <v>500230009</v>
      </c>
      <c r="B121" s="852" t="s">
        <v>3477</v>
      </c>
      <c r="C121" s="331"/>
      <c r="D121" s="323"/>
      <c r="E121" s="331"/>
      <c r="F121" s="331"/>
      <c r="G121" s="331"/>
      <c r="H121" s="323"/>
      <c r="I121" s="331"/>
      <c r="J121" s="331"/>
      <c r="K121" s="331"/>
      <c r="L121" s="323"/>
      <c r="M121" s="331">
        <v>72579</v>
      </c>
      <c r="N121" s="331"/>
      <c r="O121" s="331">
        <f>SUM(M121:N121)</f>
        <v>72579</v>
      </c>
      <c r="P121" s="323"/>
      <c r="Q121" s="331">
        <v>105251</v>
      </c>
      <c r="R121" s="331"/>
      <c r="S121" s="331">
        <f t="shared" si="18"/>
        <v>105251</v>
      </c>
      <c r="T121" s="334" t="s">
        <v>53</v>
      </c>
      <c r="U121" s="334" t="s">
        <v>53</v>
      </c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</row>
    <row r="122" spans="1:34" s="330" customFormat="1" ht="25.5" x14ac:dyDescent="0.2">
      <c r="A122" s="231">
        <v>500226402</v>
      </c>
      <c r="B122" s="1041" t="s">
        <v>620</v>
      </c>
      <c r="C122" s="331"/>
      <c r="D122" s="323"/>
      <c r="E122" s="331">
        <v>81599</v>
      </c>
      <c r="F122" s="331"/>
      <c r="G122" s="331">
        <f t="shared" si="15"/>
        <v>81599</v>
      </c>
      <c r="H122" s="323"/>
      <c r="I122" s="331">
        <v>146585</v>
      </c>
      <c r="J122" s="331"/>
      <c r="K122" s="331">
        <f t="shared" si="16"/>
        <v>146585</v>
      </c>
      <c r="L122" s="323"/>
      <c r="M122" s="331">
        <v>146657</v>
      </c>
      <c r="N122" s="331"/>
      <c r="O122" s="331">
        <f t="shared" si="17"/>
        <v>146657</v>
      </c>
      <c r="P122" s="323"/>
      <c r="Q122" s="331">
        <v>145584</v>
      </c>
      <c r="R122" s="331"/>
      <c r="S122" s="331">
        <f t="shared" si="18"/>
        <v>145584</v>
      </c>
      <c r="T122" s="334" t="s">
        <v>93</v>
      </c>
      <c r="U122" s="334" t="s">
        <v>12</v>
      </c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</row>
    <row r="123" spans="1:34" s="330" customFormat="1" ht="20.25" customHeight="1" x14ac:dyDescent="0.2">
      <c r="A123" s="231">
        <v>500226403</v>
      </c>
      <c r="B123" s="1041" t="s">
        <v>3144</v>
      </c>
      <c r="C123" s="331"/>
      <c r="D123" s="323"/>
      <c r="E123" s="331"/>
      <c r="F123" s="331"/>
      <c r="G123" s="331"/>
      <c r="H123" s="323"/>
      <c r="I123" s="331"/>
      <c r="J123" s="331"/>
      <c r="K123" s="331"/>
      <c r="L123" s="323"/>
      <c r="M123" s="331">
        <v>75401</v>
      </c>
      <c r="N123" s="331"/>
      <c r="O123" s="331">
        <f t="shared" si="17"/>
        <v>75401</v>
      </c>
      <c r="P123" s="323"/>
      <c r="Q123" s="331">
        <v>70568</v>
      </c>
      <c r="R123" s="331"/>
      <c r="S123" s="331">
        <f t="shared" si="18"/>
        <v>70568</v>
      </c>
      <c r="T123" s="334" t="s">
        <v>93</v>
      </c>
      <c r="U123" s="334" t="s">
        <v>12</v>
      </c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</row>
    <row r="124" spans="1:34" s="330" customFormat="1" ht="25.5" x14ac:dyDescent="0.2">
      <c r="A124" s="231">
        <v>500213046</v>
      </c>
      <c r="B124" s="1041" t="s">
        <v>697</v>
      </c>
      <c r="C124" s="331"/>
      <c r="D124" s="323"/>
      <c r="E124" s="331">
        <v>71400</v>
      </c>
      <c r="F124" s="331"/>
      <c r="G124" s="331">
        <f t="shared" si="15"/>
        <v>71400</v>
      </c>
      <c r="H124" s="323"/>
      <c r="I124" s="331">
        <v>73522</v>
      </c>
      <c r="J124" s="331"/>
      <c r="K124" s="331">
        <f t="shared" si="16"/>
        <v>73522</v>
      </c>
      <c r="L124" s="323"/>
      <c r="M124" s="331">
        <v>81637</v>
      </c>
      <c r="N124" s="331"/>
      <c r="O124" s="331">
        <f t="shared" si="17"/>
        <v>81637</v>
      </c>
      <c r="P124" s="323"/>
      <c r="Q124" s="331">
        <v>132149</v>
      </c>
      <c r="R124" s="331"/>
      <c r="S124" s="331">
        <f t="shared" si="18"/>
        <v>132149</v>
      </c>
      <c r="T124" s="334" t="s">
        <v>698</v>
      </c>
      <c r="U124" s="334" t="s">
        <v>12</v>
      </c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</row>
    <row r="125" spans="1:34" s="330" customFormat="1" ht="24" customHeight="1" x14ac:dyDescent="0.2">
      <c r="A125" s="231">
        <v>500213517</v>
      </c>
      <c r="B125" s="1022" t="s">
        <v>2345</v>
      </c>
      <c r="C125" s="331"/>
      <c r="D125" s="323"/>
      <c r="E125" s="331">
        <v>142799</v>
      </c>
      <c r="F125" s="331"/>
      <c r="G125" s="331">
        <f t="shared" si="15"/>
        <v>142799</v>
      </c>
      <c r="H125" s="323"/>
      <c r="I125" s="331">
        <v>145900</v>
      </c>
      <c r="J125" s="331"/>
      <c r="K125" s="331">
        <f t="shared" si="16"/>
        <v>145900</v>
      </c>
      <c r="L125" s="323"/>
      <c r="M125" s="331">
        <v>151517</v>
      </c>
      <c r="N125" s="331"/>
      <c r="O125" s="331">
        <f t="shared" si="17"/>
        <v>151517</v>
      </c>
      <c r="P125" s="323"/>
      <c r="Q125" s="331">
        <v>232204</v>
      </c>
      <c r="R125" s="331"/>
      <c r="S125" s="331">
        <f t="shared" si="18"/>
        <v>232204</v>
      </c>
      <c r="T125" s="336" t="s">
        <v>700</v>
      </c>
      <c r="U125" s="334" t="s">
        <v>12</v>
      </c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</row>
    <row r="126" spans="1:34" s="330" customFormat="1" ht="25.5" x14ac:dyDescent="0.2">
      <c r="A126" s="231">
        <v>500213517</v>
      </c>
      <c r="B126" s="852" t="s">
        <v>2347</v>
      </c>
      <c r="C126" s="331"/>
      <c r="D126" s="323"/>
      <c r="E126" s="331">
        <v>30600</v>
      </c>
      <c r="F126" s="331"/>
      <c r="G126" s="331">
        <f t="shared" si="15"/>
        <v>30600</v>
      </c>
      <c r="H126" s="323"/>
      <c r="I126" s="331">
        <v>47565</v>
      </c>
      <c r="J126" s="331"/>
      <c r="K126" s="331">
        <f t="shared" si="16"/>
        <v>47565</v>
      </c>
      <c r="L126" s="323"/>
      <c r="M126" s="331">
        <v>64404</v>
      </c>
      <c r="N126" s="331"/>
      <c r="O126" s="331">
        <f t="shared" si="17"/>
        <v>64404</v>
      </c>
      <c r="P126" s="323"/>
      <c r="Q126" s="331">
        <v>114609</v>
      </c>
      <c r="R126" s="331"/>
      <c r="S126" s="331">
        <f t="shared" si="18"/>
        <v>114609</v>
      </c>
      <c r="T126" s="336" t="s">
        <v>700</v>
      </c>
      <c r="U126" s="334" t="s">
        <v>12</v>
      </c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</row>
    <row r="127" spans="1:34" s="330" customFormat="1" ht="30.75" customHeight="1" x14ac:dyDescent="0.2">
      <c r="A127" s="231">
        <v>500223136</v>
      </c>
      <c r="B127" s="1022" t="s">
        <v>702</v>
      </c>
      <c r="C127" s="331"/>
      <c r="D127" s="323"/>
      <c r="E127" s="331">
        <v>50000</v>
      </c>
      <c r="F127" s="331"/>
      <c r="G127" s="331">
        <f t="shared" si="15"/>
        <v>50000</v>
      </c>
      <c r="H127" s="323"/>
      <c r="I127" s="331">
        <v>161609</v>
      </c>
      <c r="J127" s="331"/>
      <c r="K127" s="331">
        <f t="shared" si="16"/>
        <v>161609</v>
      </c>
      <c r="L127" s="323"/>
      <c r="M127" s="331">
        <v>296753</v>
      </c>
      <c r="N127" s="331"/>
      <c r="O127" s="331">
        <f t="shared" si="17"/>
        <v>296753</v>
      </c>
      <c r="P127" s="323"/>
      <c r="Q127" s="331">
        <v>364511</v>
      </c>
      <c r="R127" s="331"/>
      <c r="S127" s="331">
        <f t="shared" si="18"/>
        <v>364511</v>
      </c>
      <c r="T127" s="334" t="s">
        <v>703</v>
      </c>
      <c r="U127" s="334" t="s">
        <v>9</v>
      </c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</row>
    <row r="128" spans="1:34" s="330" customFormat="1" ht="30.75" customHeight="1" x14ac:dyDescent="0.2">
      <c r="A128" s="231">
        <v>500284005</v>
      </c>
      <c r="B128" s="1022" t="s">
        <v>2434</v>
      </c>
      <c r="C128" s="331"/>
      <c r="D128" s="323"/>
      <c r="E128" s="331">
        <v>122399</v>
      </c>
      <c r="F128" s="331"/>
      <c r="G128" s="331">
        <f t="shared" si="15"/>
        <v>122399</v>
      </c>
      <c r="H128" s="323"/>
      <c r="I128" s="331">
        <v>200000</v>
      </c>
      <c r="J128" s="331"/>
      <c r="K128" s="331">
        <f t="shared" si="16"/>
        <v>200000</v>
      </c>
      <c r="L128" s="323"/>
      <c r="M128" s="331">
        <v>200000</v>
      </c>
      <c r="N128" s="331"/>
      <c r="O128" s="331">
        <f t="shared" si="17"/>
        <v>200000</v>
      </c>
      <c r="P128" s="323"/>
      <c r="Q128" s="331">
        <v>250515</v>
      </c>
      <c r="R128" s="331"/>
      <c r="S128" s="331">
        <f t="shared" si="18"/>
        <v>250515</v>
      </c>
      <c r="T128" s="334" t="s">
        <v>327</v>
      </c>
      <c r="U128" s="334" t="s">
        <v>12</v>
      </c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</row>
    <row r="129" spans="1:34" s="330" customFormat="1" ht="30.75" customHeight="1" x14ac:dyDescent="0.2">
      <c r="A129" s="231">
        <v>500269006</v>
      </c>
      <c r="B129" s="852" t="s">
        <v>3430</v>
      </c>
      <c r="C129" s="331"/>
      <c r="D129" s="323"/>
      <c r="E129" s="331">
        <v>20400</v>
      </c>
      <c r="F129" s="331"/>
      <c r="G129" s="331">
        <f t="shared" si="15"/>
        <v>20400</v>
      </c>
      <c r="H129" s="323"/>
      <c r="I129" s="331">
        <v>41552</v>
      </c>
      <c r="J129" s="331"/>
      <c r="K129" s="331">
        <f t="shared" si="16"/>
        <v>41552</v>
      </c>
      <c r="L129" s="323"/>
      <c r="M129" s="331">
        <v>80000</v>
      </c>
      <c r="N129" s="331"/>
      <c r="O129" s="331">
        <f t="shared" si="17"/>
        <v>80000</v>
      </c>
      <c r="P129" s="323"/>
      <c r="Q129" s="331">
        <v>92269</v>
      </c>
      <c r="R129" s="331"/>
      <c r="S129" s="331">
        <f t="shared" si="18"/>
        <v>92269</v>
      </c>
      <c r="T129" s="334" t="s">
        <v>706</v>
      </c>
      <c r="U129" s="334" t="s">
        <v>12</v>
      </c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</row>
    <row r="130" spans="1:34" s="330" customFormat="1" ht="25.5" x14ac:dyDescent="0.2">
      <c r="A130" s="231">
        <v>500221023</v>
      </c>
      <c r="B130" s="1022" t="s">
        <v>3431</v>
      </c>
      <c r="C130" s="331"/>
      <c r="D130" s="323"/>
      <c r="E130" s="994">
        <v>0</v>
      </c>
      <c r="F130" s="331"/>
      <c r="G130" s="331">
        <f t="shared" si="15"/>
        <v>0</v>
      </c>
      <c r="H130" s="323"/>
      <c r="I130" s="331">
        <v>0</v>
      </c>
      <c r="J130" s="331"/>
      <c r="K130" s="331">
        <f t="shared" si="16"/>
        <v>0</v>
      </c>
      <c r="L130" s="323"/>
      <c r="M130" s="331">
        <v>106142</v>
      </c>
      <c r="N130" s="331"/>
      <c r="O130" s="331">
        <f t="shared" si="17"/>
        <v>106142</v>
      </c>
      <c r="P130" s="323"/>
      <c r="Q130" s="331">
        <v>150000</v>
      </c>
      <c r="R130" s="331"/>
      <c r="S130" s="331">
        <f t="shared" si="18"/>
        <v>150000</v>
      </c>
      <c r="T130" s="334" t="s">
        <v>1573</v>
      </c>
      <c r="U130" s="334" t="s">
        <v>9</v>
      </c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</row>
    <row r="131" spans="1:34" s="330" customFormat="1" ht="32.25" customHeight="1" x14ac:dyDescent="0.2">
      <c r="A131" s="231" t="s">
        <v>2284</v>
      </c>
      <c r="B131" s="1022" t="s">
        <v>3143</v>
      </c>
      <c r="C131" s="331"/>
      <c r="D131" s="323"/>
      <c r="E131" s="994"/>
      <c r="F131" s="331"/>
      <c r="G131" s="331"/>
      <c r="H131" s="323"/>
      <c r="I131" s="331"/>
      <c r="J131" s="331"/>
      <c r="K131" s="331"/>
      <c r="L131" s="323"/>
      <c r="M131" s="331">
        <v>58932</v>
      </c>
      <c r="N131" s="331"/>
      <c r="O131" s="331">
        <f t="shared" si="17"/>
        <v>58932</v>
      </c>
      <c r="P131" s="323"/>
      <c r="Q131" s="331">
        <v>85078</v>
      </c>
      <c r="R131" s="331"/>
      <c r="S131" s="331">
        <f t="shared" si="18"/>
        <v>85078</v>
      </c>
      <c r="T131" s="334" t="s">
        <v>1549</v>
      </c>
      <c r="U131" s="334" t="s">
        <v>12</v>
      </c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</row>
    <row r="132" spans="1:34" s="330" customFormat="1" ht="32.25" customHeight="1" x14ac:dyDescent="0.2">
      <c r="A132" s="231" t="s">
        <v>2821</v>
      </c>
      <c r="B132" s="1065" t="s">
        <v>3145</v>
      </c>
      <c r="C132" s="331"/>
      <c r="D132" s="323"/>
      <c r="E132" s="994"/>
      <c r="F132" s="331"/>
      <c r="G132" s="331"/>
      <c r="H132" s="323"/>
      <c r="I132" s="331"/>
      <c r="J132" s="331"/>
      <c r="K132" s="331"/>
      <c r="L132" s="323"/>
      <c r="M132" s="331">
        <v>67523</v>
      </c>
      <c r="N132" s="331"/>
      <c r="O132" s="331">
        <f t="shared" si="17"/>
        <v>67523</v>
      </c>
      <c r="P132" s="323"/>
      <c r="Q132" s="331">
        <v>100000</v>
      </c>
      <c r="R132" s="331"/>
      <c r="S132" s="331">
        <f t="shared" si="18"/>
        <v>100000</v>
      </c>
      <c r="T132" s="334" t="s">
        <v>400</v>
      </c>
      <c r="U132" s="334" t="s">
        <v>32</v>
      </c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</row>
    <row r="133" spans="1:34" s="330" customFormat="1" ht="25.5" x14ac:dyDescent="0.2">
      <c r="A133" s="231">
        <v>500210638</v>
      </c>
      <c r="B133" s="1041" t="s">
        <v>707</v>
      </c>
      <c r="C133" s="331"/>
      <c r="D133" s="323"/>
      <c r="E133" s="331">
        <v>195839</v>
      </c>
      <c r="F133" s="331"/>
      <c r="G133" s="331">
        <f t="shared" si="15"/>
        <v>195839</v>
      </c>
      <c r="H133" s="323"/>
      <c r="I133" s="331">
        <v>146921</v>
      </c>
      <c r="J133" s="331"/>
      <c r="K133" s="331">
        <f t="shared" si="16"/>
        <v>146921</v>
      </c>
      <c r="L133" s="323"/>
      <c r="M133" s="995" t="s">
        <v>3246</v>
      </c>
      <c r="N133" s="331"/>
      <c r="O133" s="331">
        <f t="shared" si="17"/>
        <v>0</v>
      </c>
      <c r="P133" s="323"/>
      <c r="Q133" s="995">
        <v>0</v>
      </c>
      <c r="R133" s="331"/>
      <c r="S133" s="331">
        <f t="shared" si="18"/>
        <v>0</v>
      </c>
      <c r="T133" s="334" t="s">
        <v>708</v>
      </c>
      <c r="U133" s="334" t="s">
        <v>9</v>
      </c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</row>
    <row r="134" spans="1:34" s="330" customFormat="1" ht="25.5" x14ac:dyDescent="0.2">
      <c r="A134" s="231">
        <v>500210638</v>
      </c>
      <c r="B134" s="1041" t="s">
        <v>3245</v>
      </c>
      <c r="C134" s="331"/>
      <c r="D134" s="323"/>
      <c r="E134" s="331"/>
      <c r="F134" s="331"/>
      <c r="G134" s="331"/>
      <c r="H134" s="323"/>
      <c r="I134" s="331"/>
      <c r="J134" s="331"/>
      <c r="K134" s="331"/>
      <c r="L134" s="323"/>
      <c r="M134" s="331">
        <v>200098</v>
      </c>
      <c r="N134" s="331"/>
      <c r="O134" s="331">
        <f>SUM(M134:N134)</f>
        <v>200098</v>
      </c>
      <c r="P134" s="323"/>
      <c r="Q134" s="331">
        <v>187273</v>
      </c>
      <c r="R134" s="331"/>
      <c r="S134" s="331">
        <f>SUM(Q134:R134)</f>
        <v>187273</v>
      </c>
      <c r="T134" s="334" t="s">
        <v>708</v>
      </c>
      <c r="U134" s="334" t="s">
        <v>9</v>
      </c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</row>
    <row r="135" spans="1:34" s="330" customFormat="1" ht="26.25" customHeight="1" x14ac:dyDescent="0.2">
      <c r="A135" s="231">
        <v>500285002</v>
      </c>
      <c r="B135" s="1041" t="s">
        <v>3350</v>
      </c>
      <c r="C135" s="331"/>
      <c r="D135" s="323"/>
      <c r="E135" s="331"/>
      <c r="F135" s="331"/>
      <c r="G135" s="331"/>
      <c r="H135" s="323"/>
      <c r="I135" s="331"/>
      <c r="J135" s="331"/>
      <c r="K135" s="331"/>
      <c r="L135" s="323"/>
      <c r="M135" s="995"/>
      <c r="N135" s="331"/>
      <c r="O135" s="331"/>
      <c r="P135" s="323"/>
      <c r="Q135" s="995">
        <v>187181</v>
      </c>
      <c r="R135" s="331"/>
      <c r="S135" s="331">
        <f t="shared" si="18"/>
        <v>187181</v>
      </c>
      <c r="T135" s="334" t="s">
        <v>11</v>
      </c>
      <c r="U135" s="334" t="s">
        <v>12</v>
      </c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</row>
    <row r="136" spans="1:34" s="330" customFormat="1" ht="26.25" customHeight="1" x14ac:dyDescent="0.2">
      <c r="A136" s="231">
        <v>500273727</v>
      </c>
      <c r="B136" s="1041" t="s">
        <v>3355</v>
      </c>
      <c r="C136" s="331"/>
      <c r="D136" s="323"/>
      <c r="E136" s="331"/>
      <c r="F136" s="331"/>
      <c r="G136" s="331"/>
      <c r="H136" s="323"/>
      <c r="I136" s="331"/>
      <c r="J136" s="331"/>
      <c r="K136" s="331"/>
      <c r="L136" s="323"/>
      <c r="M136" s="995"/>
      <c r="N136" s="331"/>
      <c r="O136" s="331"/>
      <c r="P136" s="323"/>
      <c r="Q136" s="995">
        <v>101723</v>
      </c>
      <c r="R136" s="331"/>
      <c r="S136" s="331">
        <f t="shared" si="18"/>
        <v>101723</v>
      </c>
      <c r="T136" s="334" t="s">
        <v>1510</v>
      </c>
      <c r="U136" s="334" t="s">
        <v>282</v>
      </c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</row>
    <row r="137" spans="1:34" s="330" customFormat="1" ht="26.25" customHeight="1" x14ac:dyDescent="0.2">
      <c r="A137" s="231">
        <v>500273008</v>
      </c>
      <c r="B137" s="1041" t="s">
        <v>3357</v>
      </c>
      <c r="C137" s="331"/>
      <c r="D137" s="323"/>
      <c r="E137" s="331"/>
      <c r="F137" s="331"/>
      <c r="G137" s="331"/>
      <c r="H137" s="323"/>
      <c r="I137" s="331"/>
      <c r="J137" s="331"/>
      <c r="K137" s="331"/>
      <c r="L137" s="323"/>
      <c r="M137" s="995"/>
      <c r="N137" s="331"/>
      <c r="O137" s="331"/>
      <c r="P137" s="323"/>
      <c r="Q137" s="995">
        <v>299031</v>
      </c>
      <c r="R137" s="331"/>
      <c r="S137" s="331">
        <f t="shared" si="18"/>
        <v>299031</v>
      </c>
      <c r="T137" s="334" t="s">
        <v>13</v>
      </c>
      <c r="U137" s="334" t="s">
        <v>9</v>
      </c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</row>
    <row r="138" spans="1:34" x14ac:dyDescent="0.2">
      <c r="B138" s="1055"/>
      <c r="G138" s="424"/>
      <c r="K138" s="424"/>
      <c r="O138" s="424"/>
      <c r="S138" s="424"/>
    </row>
    <row r="139" spans="1:34" x14ac:dyDescent="0.2">
      <c r="B139" s="1055"/>
    </row>
    <row r="140" spans="1:34" x14ac:dyDescent="0.2">
      <c r="B140" s="1055"/>
    </row>
    <row r="141" spans="1:34" x14ac:dyDescent="0.2">
      <c r="B141" s="1055"/>
    </row>
    <row r="142" spans="1:34" x14ac:dyDescent="0.2">
      <c r="B142" s="1055"/>
    </row>
    <row r="143" spans="1:34" x14ac:dyDescent="0.2">
      <c r="B143" s="1055"/>
    </row>
    <row r="144" spans="1:34" x14ac:dyDescent="0.2">
      <c r="B144" s="1055"/>
    </row>
    <row r="145" spans="2:2" x14ac:dyDescent="0.2">
      <c r="B145" s="1055"/>
    </row>
    <row r="146" spans="2:2" x14ac:dyDescent="0.2">
      <c r="B146" s="1055"/>
    </row>
    <row r="147" spans="2:2" x14ac:dyDescent="0.2">
      <c r="B147" s="1055"/>
    </row>
    <row r="148" spans="2:2" x14ac:dyDescent="0.2">
      <c r="B148" s="1055"/>
    </row>
  </sheetData>
  <mergeCells count="12">
    <mergeCell ref="I31:K31"/>
    <mergeCell ref="Q1:S1"/>
    <mergeCell ref="A4:B4"/>
    <mergeCell ref="M1:O1"/>
    <mergeCell ref="E1:G1"/>
    <mergeCell ref="I1:K1"/>
    <mergeCell ref="I18:K18"/>
    <mergeCell ref="Q24:R24"/>
    <mergeCell ref="I26:J26"/>
    <mergeCell ref="M26:N26"/>
    <mergeCell ref="Q26:R26"/>
    <mergeCell ref="I28:K28"/>
  </mergeCells>
  <pageMargins left="0" right="0.19685039370078741" top="1.1417322834645669" bottom="0.35433070866141736" header="0.82677165354330717" footer="0.11811023622047245"/>
  <pageSetup paperSize="9" scale="69" fitToHeight="11" orientation="landscape" r:id="rId1"/>
  <headerFooter alignWithMargins="0">
    <oddHeader>&amp;L&amp;D&amp;Cמינהל תרבות
&amp;"Arial,מודגש"&amp;11תקציב על שינויו 2016-2019 בש"ח בהתאם להחלטת ועדת התמיכות&amp;R&amp;"Arial,מודגש"&amp;16תקנה 42-02-26- פסטיבלים</oddHeader>
    <oddFooter>&amp;L&amp;F&amp;C&amp;P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A1:J36"/>
  <sheetViews>
    <sheetView rightToLeft="1" zoomScaleNormal="100" workbookViewId="0">
      <pane xSplit="3" ySplit="2" topLeftCell="D3" activePane="bottomRight" state="frozen"/>
      <selection activeCell="S19" sqref="S19"/>
      <selection pane="topRight" activeCell="S19" sqref="S19"/>
      <selection pane="bottomLeft" activeCell="S19" sqref="S19"/>
      <selection pane="bottomRight" activeCell="I1" sqref="I1:J1048576"/>
    </sheetView>
  </sheetViews>
  <sheetFormatPr defaultRowHeight="12.75" x14ac:dyDescent="0.2"/>
  <cols>
    <col min="1" max="1" width="0.7109375" customWidth="1"/>
    <col min="2" max="2" width="17.5703125" customWidth="1"/>
    <col min="3" max="3" width="19" style="39" customWidth="1"/>
    <col min="4" max="4" width="0.5703125" style="825" customWidth="1"/>
    <col min="5" max="8" width="12.5703125" customWidth="1"/>
    <col min="9" max="10" width="0" style="826" hidden="1" customWidth="1"/>
    <col min="257" max="257" width="0.7109375" customWidth="1"/>
    <col min="258" max="259" width="19" customWidth="1"/>
    <col min="260" max="260" width="0.5703125" customWidth="1"/>
    <col min="261" max="264" width="12.5703125" customWidth="1"/>
    <col min="513" max="513" width="0.7109375" customWidth="1"/>
    <col min="514" max="515" width="19" customWidth="1"/>
    <col min="516" max="516" width="0.5703125" customWidth="1"/>
    <col min="517" max="520" width="12.5703125" customWidth="1"/>
    <col min="769" max="769" width="0.7109375" customWidth="1"/>
    <col min="770" max="771" width="19" customWidth="1"/>
    <col min="772" max="772" width="0.5703125" customWidth="1"/>
    <col min="773" max="776" width="12.5703125" customWidth="1"/>
    <col min="1025" max="1025" width="0.7109375" customWidth="1"/>
    <col min="1026" max="1027" width="19" customWidth="1"/>
    <col min="1028" max="1028" width="0.5703125" customWidth="1"/>
    <col min="1029" max="1032" width="12.5703125" customWidth="1"/>
    <col min="1281" max="1281" width="0.7109375" customWidth="1"/>
    <col min="1282" max="1283" width="19" customWidth="1"/>
    <col min="1284" max="1284" width="0.5703125" customWidth="1"/>
    <col min="1285" max="1288" width="12.5703125" customWidth="1"/>
    <col min="1537" max="1537" width="0.7109375" customWidth="1"/>
    <col min="1538" max="1539" width="19" customWidth="1"/>
    <col min="1540" max="1540" width="0.5703125" customWidth="1"/>
    <col min="1541" max="1544" width="12.5703125" customWidth="1"/>
    <col min="1793" max="1793" width="0.7109375" customWidth="1"/>
    <col min="1794" max="1795" width="19" customWidth="1"/>
    <col min="1796" max="1796" width="0.5703125" customWidth="1"/>
    <col min="1797" max="1800" width="12.5703125" customWidth="1"/>
    <col min="2049" max="2049" width="0.7109375" customWidth="1"/>
    <col min="2050" max="2051" width="19" customWidth="1"/>
    <col min="2052" max="2052" width="0.5703125" customWidth="1"/>
    <col min="2053" max="2056" width="12.5703125" customWidth="1"/>
    <col min="2305" max="2305" width="0.7109375" customWidth="1"/>
    <col min="2306" max="2307" width="19" customWidth="1"/>
    <col min="2308" max="2308" width="0.5703125" customWidth="1"/>
    <col min="2309" max="2312" width="12.5703125" customWidth="1"/>
    <col min="2561" max="2561" width="0.7109375" customWidth="1"/>
    <col min="2562" max="2563" width="19" customWidth="1"/>
    <col min="2564" max="2564" width="0.5703125" customWidth="1"/>
    <col min="2565" max="2568" width="12.5703125" customWidth="1"/>
    <col min="2817" max="2817" width="0.7109375" customWidth="1"/>
    <col min="2818" max="2819" width="19" customWidth="1"/>
    <col min="2820" max="2820" width="0.5703125" customWidth="1"/>
    <col min="2821" max="2824" width="12.5703125" customWidth="1"/>
    <col min="3073" max="3073" width="0.7109375" customWidth="1"/>
    <col min="3074" max="3075" width="19" customWidth="1"/>
    <col min="3076" max="3076" width="0.5703125" customWidth="1"/>
    <col min="3077" max="3080" width="12.5703125" customWidth="1"/>
    <col min="3329" max="3329" width="0.7109375" customWidth="1"/>
    <col min="3330" max="3331" width="19" customWidth="1"/>
    <col min="3332" max="3332" width="0.5703125" customWidth="1"/>
    <col min="3333" max="3336" width="12.5703125" customWidth="1"/>
    <col min="3585" max="3585" width="0.7109375" customWidth="1"/>
    <col min="3586" max="3587" width="19" customWidth="1"/>
    <col min="3588" max="3588" width="0.5703125" customWidth="1"/>
    <col min="3589" max="3592" width="12.5703125" customWidth="1"/>
    <col min="3841" max="3841" width="0.7109375" customWidth="1"/>
    <col min="3842" max="3843" width="19" customWidth="1"/>
    <col min="3844" max="3844" width="0.5703125" customWidth="1"/>
    <col min="3845" max="3848" width="12.5703125" customWidth="1"/>
    <col min="4097" max="4097" width="0.7109375" customWidth="1"/>
    <col min="4098" max="4099" width="19" customWidth="1"/>
    <col min="4100" max="4100" width="0.5703125" customWidth="1"/>
    <col min="4101" max="4104" width="12.5703125" customWidth="1"/>
    <col min="4353" max="4353" width="0.7109375" customWidth="1"/>
    <col min="4354" max="4355" width="19" customWidth="1"/>
    <col min="4356" max="4356" width="0.5703125" customWidth="1"/>
    <col min="4357" max="4360" width="12.5703125" customWidth="1"/>
    <col min="4609" max="4609" width="0.7109375" customWidth="1"/>
    <col min="4610" max="4611" width="19" customWidth="1"/>
    <col min="4612" max="4612" width="0.5703125" customWidth="1"/>
    <col min="4613" max="4616" width="12.5703125" customWidth="1"/>
    <col min="4865" max="4865" width="0.7109375" customWidth="1"/>
    <col min="4866" max="4867" width="19" customWidth="1"/>
    <col min="4868" max="4868" width="0.5703125" customWidth="1"/>
    <col min="4869" max="4872" width="12.5703125" customWidth="1"/>
    <col min="5121" max="5121" width="0.7109375" customWidth="1"/>
    <col min="5122" max="5123" width="19" customWidth="1"/>
    <col min="5124" max="5124" width="0.5703125" customWidth="1"/>
    <col min="5125" max="5128" width="12.5703125" customWidth="1"/>
    <col min="5377" max="5377" width="0.7109375" customWidth="1"/>
    <col min="5378" max="5379" width="19" customWidth="1"/>
    <col min="5380" max="5380" width="0.5703125" customWidth="1"/>
    <col min="5381" max="5384" width="12.5703125" customWidth="1"/>
    <col min="5633" max="5633" width="0.7109375" customWidth="1"/>
    <col min="5634" max="5635" width="19" customWidth="1"/>
    <col min="5636" max="5636" width="0.5703125" customWidth="1"/>
    <col min="5637" max="5640" width="12.5703125" customWidth="1"/>
    <col min="5889" max="5889" width="0.7109375" customWidth="1"/>
    <col min="5890" max="5891" width="19" customWidth="1"/>
    <col min="5892" max="5892" width="0.5703125" customWidth="1"/>
    <col min="5893" max="5896" width="12.5703125" customWidth="1"/>
    <col min="6145" max="6145" width="0.7109375" customWidth="1"/>
    <col min="6146" max="6147" width="19" customWidth="1"/>
    <col min="6148" max="6148" width="0.5703125" customWidth="1"/>
    <col min="6149" max="6152" width="12.5703125" customWidth="1"/>
    <col min="6401" max="6401" width="0.7109375" customWidth="1"/>
    <col min="6402" max="6403" width="19" customWidth="1"/>
    <col min="6404" max="6404" width="0.5703125" customWidth="1"/>
    <col min="6405" max="6408" width="12.5703125" customWidth="1"/>
    <col min="6657" max="6657" width="0.7109375" customWidth="1"/>
    <col min="6658" max="6659" width="19" customWidth="1"/>
    <col min="6660" max="6660" width="0.5703125" customWidth="1"/>
    <col min="6661" max="6664" width="12.5703125" customWidth="1"/>
    <col min="6913" max="6913" width="0.7109375" customWidth="1"/>
    <col min="6914" max="6915" width="19" customWidth="1"/>
    <col min="6916" max="6916" width="0.5703125" customWidth="1"/>
    <col min="6917" max="6920" width="12.5703125" customWidth="1"/>
    <col min="7169" max="7169" width="0.7109375" customWidth="1"/>
    <col min="7170" max="7171" width="19" customWidth="1"/>
    <col min="7172" max="7172" width="0.5703125" customWidth="1"/>
    <col min="7173" max="7176" width="12.5703125" customWidth="1"/>
    <col min="7425" max="7425" width="0.7109375" customWidth="1"/>
    <col min="7426" max="7427" width="19" customWidth="1"/>
    <col min="7428" max="7428" width="0.5703125" customWidth="1"/>
    <col min="7429" max="7432" width="12.5703125" customWidth="1"/>
    <col min="7681" max="7681" width="0.7109375" customWidth="1"/>
    <col min="7682" max="7683" width="19" customWidth="1"/>
    <col min="7684" max="7684" width="0.5703125" customWidth="1"/>
    <col min="7685" max="7688" width="12.5703125" customWidth="1"/>
    <col min="7937" max="7937" width="0.7109375" customWidth="1"/>
    <col min="7938" max="7939" width="19" customWidth="1"/>
    <col min="7940" max="7940" width="0.5703125" customWidth="1"/>
    <col min="7941" max="7944" width="12.5703125" customWidth="1"/>
    <col min="8193" max="8193" width="0.7109375" customWidth="1"/>
    <col min="8194" max="8195" width="19" customWidth="1"/>
    <col min="8196" max="8196" width="0.5703125" customWidth="1"/>
    <col min="8197" max="8200" width="12.5703125" customWidth="1"/>
    <col min="8449" max="8449" width="0.7109375" customWidth="1"/>
    <col min="8450" max="8451" width="19" customWidth="1"/>
    <col min="8452" max="8452" width="0.5703125" customWidth="1"/>
    <col min="8453" max="8456" width="12.5703125" customWidth="1"/>
    <col min="8705" max="8705" width="0.7109375" customWidth="1"/>
    <col min="8706" max="8707" width="19" customWidth="1"/>
    <col min="8708" max="8708" width="0.5703125" customWidth="1"/>
    <col min="8709" max="8712" width="12.5703125" customWidth="1"/>
    <col min="8961" max="8961" width="0.7109375" customWidth="1"/>
    <col min="8962" max="8963" width="19" customWidth="1"/>
    <col min="8964" max="8964" width="0.5703125" customWidth="1"/>
    <col min="8965" max="8968" width="12.5703125" customWidth="1"/>
    <col min="9217" max="9217" width="0.7109375" customWidth="1"/>
    <col min="9218" max="9219" width="19" customWidth="1"/>
    <col min="9220" max="9220" width="0.5703125" customWidth="1"/>
    <col min="9221" max="9224" width="12.5703125" customWidth="1"/>
    <col min="9473" max="9473" width="0.7109375" customWidth="1"/>
    <col min="9474" max="9475" width="19" customWidth="1"/>
    <col min="9476" max="9476" width="0.5703125" customWidth="1"/>
    <col min="9477" max="9480" width="12.5703125" customWidth="1"/>
    <col min="9729" max="9729" width="0.7109375" customWidth="1"/>
    <col min="9730" max="9731" width="19" customWidth="1"/>
    <col min="9732" max="9732" width="0.5703125" customWidth="1"/>
    <col min="9733" max="9736" width="12.5703125" customWidth="1"/>
    <col min="9985" max="9985" width="0.7109375" customWidth="1"/>
    <col min="9986" max="9987" width="19" customWidth="1"/>
    <col min="9988" max="9988" width="0.5703125" customWidth="1"/>
    <col min="9989" max="9992" width="12.5703125" customWidth="1"/>
    <col min="10241" max="10241" width="0.7109375" customWidth="1"/>
    <col min="10242" max="10243" width="19" customWidth="1"/>
    <col min="10244" max="10244" width="0.5703125" customWidth="1"/>
    <col min="10245" max="10248" width="12.5703125" customWidth="1"/>
    <col min="10497" max="10497" width="0.7109375" customWidth="1"/>
    <col min="10498" max="10499" width="19" customWidth="1"/>
    <col min="10500" max="10500" width="0.5703125" customWidth="1"/>
    <col min="10501" max="10504" width="12.5703125" customWidth="1"/>
    <col min="10753" max="10753" width="0.7109375" customWidth="1"/>
    <col min="10754" max="10755" width="19" customWidth="1"/>
    <col min="10756" max="10756" width="0.5703125" customWidth="1"/>
    <col min="10757" max="10760" width="12.5703125" customWidth="1"/>
    <col min="11009" max="11009" width="0.7109375" customWidth="1"/>
    <col min="11010" max="11011" width="19" customWidth="1"/>
    <col min="11012" max="11012" width="0.5703125" customWidth="1"/>
    <col min="11013" max="11016" width="12.5703125" customWidth="1"/>
    <col min="11265" max="11265" width="0.7109375" customWidth="1"/>
    <col min="11266" max="11267" width="19" customWidth="1"/>
    <col min="11268" max="11268" width="0.5703125" customWidth="1"/>
    <col min="11269" max="11272" width="12.5703125" customWidth="1"/>
    <col min="11521" max="11521" width="0.7109375" customWidth="1"/>
    <col min="11522" max="11523" width="19" customWidth="1"/>
    <col min="11524" max="11524" width="0.5703125" customWidth="1"/>
    <col min="11525" max="11528" width="12.5703125" customWidth="1"/>
    <col min="11777" max="11777" width="0.7109375" customWidth="1"/>
    <col min="11778" max="11779" width="19" customWidth="1"/>
    <col min="11780" max="11780" width="0.5703125" customWidth="1"/>
    <col min="11781" max="11784" width="12.5703125" customWidth="1"/>
    <col min="12033" max="12033" width="0.7109375" customWidth="1"/>
    <col min="12034" max="12035" width="19" customWidth="1"/>
    <col min="12036" max="12036" width="0.5703125" customWidth="1"/>
    <col min="12037" max="12040" width="12.5703125" customWidth="1"/>
    <col min="12289" max="12289" width="0.7109375" customWidth="1"/>
    <col min="12290" max="12291" width="19" customWidth="1"/>
    <col min="12292" max="12292" width="0.5703125" customWidth="1"/>
    <col min="12293" max="12296" width="12.5703125" customWidth="1"/>
    <col min="12545" max="12545" width="0.7109375" customWidth="1"/>
    <col min="12546" max="12547" width="19" customWidth="1"/>
    <col min="12548" max="12548" width="0.5703125" customWidth="1"/>
    <col min="12549" max="12552" width="12.5703125" customWidth="1"/>
    <col min="12801" max="12801" width="0.7109375" customWidth="1"/>
    <col min="12802" max="12803" width="19" customWidth="1"/>
    <col min="12804" max="12804" width="0.5703125" customWidth="1"/>
    <col min="12805" max="12808" width="12.5703125" customWidth="1"/>
    <col min="13057" max="13057" width="0.7109375" customWidth="1"/>
    <col min="13058" max="13059" width="19" customWidth="1"/>
    <col min="13060" max="13060" width="0.5703125" customWidth="1"/>
    <col min="13061" max="13064" width="12.5703125" customWidth="1"/>
    <col min="13313" max="13313" width="0.7109375" customWidth="1"/>
    <col min="13314" max="13315" width="19" customWidth="1"/>
    <col min="13316" max="13316" width="0.5703125" customWidth="1"/>
    <col min="13317" max="13320" width="12.5703125" customWidth="1"/>
    <col min="13569" max="13569" width="0.7109375" customWidth="1"/>
    <col min="13570" max="13571" width="19" customWidth="1"/>
    <col min="13572" max="13572" width="0.5703125" customWidth="1"/>
    <col min="13573" max="13576" width="12.5703125" customWidth="1"/>
    <col min="13825" max="13825" width="0.7109375" customWidth="1"/>
    <col min="13826" max="13827" width="19" customWidth="1"/>
    <col min="13828" max="13828" width="0.5703125" customWidth="1"/>
    <col min="13829" max="13832" width="12.5703125" customWidth="1"/>
    <col min="14081" max="14081" width="0.7109375" customWidth="1"/>
    <col min="14082" max="14083" width="19" customWidth="1"/>
    <col min="14084" max="14084" width="0.5703125" customWidth="1"/>
    <col min="14085" max="14088" width="12.5703125" customWidth="1"/>
    <col min="14337" max="14337" width="0.7109375" customWidth="1"/>
    <col min="14338" max="14339" width="19" customWidth="1"/>
    <col min="14340" max="14340" width="0.5703125" customWidth="1"/>
    <col min="14341" max="14344" width="12.5703125" customWidth="1"/>
    <col min="14593" max="14593" width="0.7109375" customWidth="1"/>
    <col min="14594" max="14595" width="19" customWidth="1"/>
    <col min="14596" max="14596" width="0.5703125" customWidth="1"/>
    <col min="14597" max="14600" width="12.5703125" customWidth="1"/>
    <col min="14849" max="14849" width="0.7109375" customWidth="1"/>
    <col min="14850" max="14851" width="19" customWidth="1"/>
    <col min="14852" max="14852" width="0.5703125" customWidth="1"/>
    <col min="14853" max="14856" width="12.5703125" customWidth="1"/>
    <col min="15105" max="15105" width="0.7109375" customWidth="1"/>
    <col min="15106" max="15107" width="19" customWidth="1"/>
    <col min="15108" max="15108" width="0.5703125" customWidth="1"/>
    <col min="15109" max="15112" width="12.5703125" customWidth="1"/>
    <col min="15361" max="15361" width="0.7109375" customWidth="1"/>
    <col min="15362" max="15363" width="19" customWidth="1"/>
    <col min="15364" max="15364" width="0.5703125" customWidth="1"/>
    <col min="15365" max="15368" width="12.5703125" customWidth="1"/>
    <col min="15617" max="15617" width="0.7109375" customWidth="1"/>
    <col min="15618" max="15619" width="19" customWidth="1"/>
    <col min="15620" max="15620" width="0.5703125" customWidth="1"/>
    <col min="15621" max="15624" width="12.5703125" customWidth="1"/>
    <col min="15873" max="15873" width="0.7109375" customWidth="1"/>
    <col min="15874" max="15875" width="19" customWidth="1"/>
    <col min="15876" max="15876" width="0.5703125" customWidth="1"/>
    <col min="15877" max="15880" width="12.5703125" customWidth="1"/>
    <col min="16129" max="16129" width="0.7109375" customWidth="1"/>
    <col min="16130" max="16131" width="19" customWidth="1"/>
    <col min="16132" max="16132" width="0.5703125" customWidth="1"/>
    <col min="16133" max="16136" width="12.5703125" customWidth="1"/>
  </cols>
  <sheetData>
    <row r="1" spans="1:10" ht="20.25" hidden="1" customHeight="1" x14ac:dyDescent="0.2"/>
    <row r="2" spans="1:10" ht="60" customHeight="1" x14ac:dyDescent="0.2">
      <c r="A2" s="827"/>
      <c r="B2" s="113" t="s">
        <v>272</v>
      </c>
      <c r="C2" s="113" t="s">
        <v>1</v>
      </c>
      <c r="E2" s="113" t="s">
        <v>2437</v>
      </c>
      <c r="F2" s="113" t="s">
        <v>2922</v>
      </c>
      <c r="G2" s="113" t="s">
        <v>3062</v>
      </c>
      <c r="H2" s="113" t="s">
        <v>3263</v>
      </c>
      <c r="I2" s="113" t="s">
        <v>340</v>
      </c>
      <c r="J2" s="113" t="s">
        <v>6</v>
      </c>
    </row>
    <row r="3" spans="1:10" ht="20.25" x14ac:dyDescent="0.3">
      <c r="A3" s="828" t="s">
        <v>2248</v>
      </c>
    </row>
    <row r="5" spans="1:10" ht="63" customHeight="1" x14ac:dyDescent="0.2">
      <c r="B5" s="829">
        <v>520025800</v>
      </c>
      <c r="C5" s="830" t="s">
        <v>2249</v>
      </c>
      <c r="E5" s="36">
        <v>6949996</v>
      </c>
      <c r="F5" s="36">
        <v>11900000</v>
      </c>
      <c r="G5" s="36">
        <v>7399995</v>
      </c>
      <c r="H5" s="36">
        <v>11716996</v>
      </c>
      <c r="I5" s="831" t="s">
        <v>53</v>
      </c>
      <c r="J5" s="831"/>
    </row>
    <row r="7" spans="1:10" ht="20.25" x14ac:dyDescent="0.3">
      <c r="A7" s="828" t="s">
        <v>2250</v>
      </c>
    </row>
    <row r="9" spans="1:10" ht="65.25" customHeight="1" x14ac:dyDescent="0.2">
      <c r="B9" s="829">
        <v>500500160</v>
      </c>
      <c r="C9" s="830" t="s">
        <v>2251</v>
      </c>
      <c r="E9" s="832">
        <v>11945600</v>
      </c>
      <c r="F9" s="832">
        <v>11000000</v>
      </c>
      <c r="G9" s="832">
        <v>11000000</v>
      </c>
      <c r="H9" s="832">
        <v>11249000</v>
      </c>
      <c r="I9" s="831" t="s">
        <v>53</v>
      </c>
      <c r="J9" s="831"/>
    </row>
    <row r="11" spans="1:10" ht="20.25" x14ac:dyDescent="0.3">
      <c r="A11" s="828" t="s">
        <v>2252</v>
      </c>
    </row>
    <row r="13" spans="1:10" ht="20.25" x14ac:dyDescent="0.3">
      <c r="A13" s="828" t="s">
        <v>2253</v>
      </c>
    </row>
    <row r="15" spans="1:10" ht="50.25" customHeight="1" x14ac:dyDescent="0.2">
      <c r="B15" s="829">
        <v>500500251</v>
      </c>
      <c r="C15" s="830" t="s">
        <v>2254</v>
      </c>
      <c r="E15" s="832">
        <v>1099332</v>
      </c>
      <c r="F15" s="832">
        <v>1100000</v>
      </c>
      <c r="G15" s="832">
        <v>1100000</v>
      </c>
      <c r="H15" s="832">
        <v>1400000</v>
      </c>
      <c r="I15" s="831" t="s">
        <v>53</v>
      </c>
      <c r="J15" s="831"/>
    </row>
    <row r="17" spans="1:10" ht="20.25" x14ac:dyDescent="0.3">
      <c r="A17" s="828" t="s">
        <v>2255</v>
      </c>
    </row>
    <row r="18" spans="1:10" ht="25.5" x14ac:dyDescent="0.2">
      <c r="B18" s="829">
        <v>500500400</v>
      </c>
      <c r="C18" s="830" t="s">
        <v>2256</v>
      </c>
      <c r="E18" s="832">
        <v>999998</v>
      </c>
      <c r="F18" s="832">
        <v>1100000</v>
      </c>
      <c r="G18" s="832">
        <v>999331</v>
      </c>
      <c r="H18" s="832">
        <v>1020000</v>
      </c>
      <c r="I18" s="831" t="s">
        <v>280</v>
      </c>
      <c r="J18" s="831"/>
    </row>
    <row r="19" spans="1:10" ht="15" x14ac:dyDescent="0.2">
      <c r="C19" s="833"/>
    </row>
    <row r="20" spans="1:10" ht="20.25" x14ac:dyDescent="0.3">
      <c r="A20" s="828"/>
      <c r="B20" s="828" t="s">
        <v>2257</v>
      </c>
    </row>
    <row r="21" spans="1:10" ht="72.75" customHeight="1" x14ac:dyDescent="0.2">
      <c r="B21" s="834">
        <v>510327885</v>
      </c>
      <c r="C21" s="830" t="s">
        <v>2258</v>
      </c>
      <c r="E21" s="36">
        <v>8000000</v>
      </c>
      <c r="F21" s="36">
        <v>8400000</v>
      </c>
      <c r="G21" s="36">
        <v>8000000</v>
      </c>
      <c r="H21" s="956">
        <f>8003062+3754000</f>
        <v>11757062</v>
      </c>
      <c r="I21" s="831" t="s">
        <v>280</v>
      </c>
      <c r="J21" s="831"/>
    </row>
    <row r="23" spans="1:10" ht="20.25" x14ac:dyDescent="0.3">
      <c r="A23" s="828"/>
      <c r="B23" s="828" t="s">
        <v>2259</v>
      </c>
    </row>
    <row r="24" spans="1:10" ht="22.5" customHeight="1" x14ac:dyDescent="0.2">
      <c r="B24" s="834">
        <v>500500996</v>
      </c>
      <c r="C24" s="830" t="s">
        <v>2260</v>
      </c>
      <c r="E24" s="832">
        <v>1450000</v>
      </c>
      <c r="F24" s="832">
        <v>1450000</v>
      </c>
      <c r="G24" s="832">
        <v>1700000</v>
      </c>
      <c r="H24" s="832">
        <v>1750265</v>
      </c>
      <c r="I24" s="831" t="s">
        <v>2261</v>
      </c>
      <c r="J24" s="831"/>
    </row>
    <row r="26" spans="1:10" ht="20.25" x14ac:dyDescent="0.3">
      <c r="A26" s="828"/>
      <c r="B26" s="828" t="s">
        <v>2262</v>
      </c>
    </row>
    <row r="27" spans="1:10" ht="22.5" customHeight="1" x14ac:dyDescent="0.2">
      <c r="B27" s="834">
        <v>500501051</v>
      </c>
      <c r="C27" s="830" t="s">
        <v>2263</v>
      </c>
      <c r="E27" s="832">
        <v>2600000</v>
      </c>
      <c r="F27" s="832">
        <v>5550000</v>
      </c>
      <c r="G27" s="956">
        <v>3327000</v>
      </c>
      <c r="H27" s="832">
        <v>4505668</v>
      </c>
      <c r="I27" s="831" t="s">
        <v>53</v>
      </c>
      <c r="J27" s="831"/>
    </row>
    <row r="30" spans="1:10" ht="20.25" x14ac:dyDescent="0.3">
      <c r="B30" s="828" t="s">
        <v>3386</v>
      </c>
      <c r="E30" s="1036"/>
      <c r="F30" s="1036"/>
      <c r="G30" s="1036"/>
      <c r="H30" s="1036"/>
    </row>
    <row r="31" spans="1:10" ht="29.25" customHeight="1" x14ac:dyDescent="0.2">
      <c r="B31" s="834">
        <v>500501911</v>
      </c>
      <c r="C31" s="830" t="s">
        <v>3387</v>
      </c>
      <c r="E31" s="832"/>
      <c r="F31" s="832"/>
      <c r="G31" s="832"/>
      <c r="H31" s="956">
        <v>33500000</v>
      </c>
      <c r="I31" s="831" t="s">
        <v>3388</v>
      </c>
      <c r="J31" s="831"/>
    </row>
    <row r="33" spans="2:10" s="1036" customFormat="1" ht="20.25" x14ac:dyDescent="0.3">
      <c r="B33" s="828" t="s">
        <v>3390</v>
      </c>
      <c r="C33" s="39"/>
      <c r="D33" s="825"/>
      <c r="I33" s="826"/>
      <c r="J33" s="826"/>
    </row>
    <row r="34" spans="2:10" s="1036" customFormat="1" ht="29.25" customHeight="1" x14ac:dyDescent="0.2">
      <c r="B34" s="834">
        <v>500501945</v>
      </c>
      <c r="C34" s="830" t="s">
        <v>3389</v>
      </c>
      <c r="D34" s="825"/>
      <c r="E34" s="832"/>
      <c r="F34" s="832"/>
      <c r="G34" s="832"/>
      <c r="H34" s="956">
        <v>2715530</v>
      </c>
      <c r="I34" s="831" t="s">
        <v>280</v>
      </c>
      <c r="J34" s="831"/>
    </row>
    <row r="36" spans="2:10" x14ac:dyDescent="0.2">
      <c r="H36" s="835"/>
    </row>
  </sheetData>
  <pageMargins left="0.19685039370078741" right="1.0236220472440944" top="0.74803149606299213" bottom="0.98425196850393704" header="0.11811023622047245" footer="0.51181102362204722"/>
  <pageSetup paperSize="9" scale="91" orientation="portrait" r:id="rId1"/>
  <headerFooter alignWithMargins="0">
    <oddHeader xml:space="preserve">&amp;L&amp;D&amp;C&amp;"Arial,מודגש"מינהל תרבות
&amp;12תקציב על שינויו 2016-2019 </oddHeader>
    <oddFooter>&amp;L&amp;F&amp;C&amp;P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A1:Y37"/>
  <sheetViews>
    <sheetView rightToLeft="1" topLeftCell="B1" zoomScale="90" zoomScaleNormal="90" workbookViewId="0">
      <pane xSplit="2" ySplit="3" topLeftCell="L4" activePane="bottomRight" state="frozen"/>
      <selection activeCell="S19" sqref="S19"/>
      <selection pane="topRight" activeCell="S19" sqref="S19"/>
      <selection pane="bottomLeft" activeCell="S19" sqref="S19"/>
      <selection pane="bottomRight" activeCell="X1" sqref="X1:Y1048576"/>
    </sheetView>
  </sheetViews>
  <sheetFormatPr defaultRowHeight="12.75" x14ac:dyDescent="0.2"/>
  <cols>
    <col min="1" max="1" width="1.140625" style="163" customWidth="1"/>
    <col min="2" max="2" width="11.140625" style="163" bestFit="1" customWidth="1"/>
    <col min="3" max="3" width="42.7109375" style="163" customWidth="1"/>
    <col min="4" max="4" width="0.5703125" style="201" customWidth="1"/>
    <col min="5" max="5" width="12.140625" style="163" customWidth="1"/>
    <col min="6" max="6" width="12.42578125" style="163" customWidth="1"/>
    <col min="7" max="7" width="9.7109375" style="163" customWidth="1"/>
    <col min="8" max="8" width="11.7109375" style="163" customWidth="1"/>
    <col min="9" max="9" width="0.5703125" style="201" customWidth="1"/>
    <col min="10" max="10" width="12.140625" style="163" customWidth="1"/>
    <col min="11" max="11" width="12.42578125" style="163" customWidth="1"/>
    <col min="12" max="12" width="9.7109375" style="163" customWidth="1"/>
    <col min="13" max="13" width="11.7109375" style="163" customWidth="1"/>
    <col min="14" max="14" width="0.5703125" style="201" customWidth="1"/>
    <col min="15" max="15" width="12.140625" style="163" customWidth="1"/>
    <col min="16" max="16" width="12.42578125" style="163" customWidth="1"/>
    <col min="17" max="17" width="9.7109375" style="163" customWidth="1"/>
    <col min="18" max="18" width="11.7109375" style="163" customWidth="1"/>
    <col min="19" max="19" width="0.5703125" style="201" customWidth="1"/>
    <col min="20" max="20" width="12.140625" style="163" customWidth="1"/>
    <col min="21" max="21" width="12.42578125" style="163" customWidth="1"/>
    <col min="22" max="22" width="9.7109375" style="163" customWidth="1"/>
    <col min="23" max="23" width="14.140625" style="163" customWidth="1"/>
    <col min="24" max="25" width="11" style="163" hidden="1" customWidth="1"/>
    <col min="26" max="250" width="9.140625" style="163"/>
    <col min="251" max="251" width="1.140625" style="163" customWidth="1"/>
    <col min="252" max="252" width="14.140625" style="163" bestFit="1" customWidth="1"/>
    <col min="253" max="253" width="42.7109375" style="163" customWidth="1"/>
    <col min="254" max="254" width="0.5703125" style="163" customWidth="1"/>
    <col min="255" max="255" width="12.140625" style="163" customWidth="1"/>
    <col min="256" max="258" width="9.7109375" style="163" customWidth="1"/>
    <col min="259" max="259" width="11.7109375" style="163" customWidth="1"/>
    <col min="260" max="260" width="0.5703125" style="163" customWidth="1"/>
    <col min="261" max="261" width="12.140625" style="163" customWidth="1"/>
    <col min="262" max="262" width="12.42578125" style="163" customWidth="1"/>
    <col min="263" max="263" width="9.7109375" style="163" customWidth="1"/>
    <col min="264" max="265" width="11.7109375" style="163" customWidth="1"/>
    <col min="266" max="266" width="0.5703125" style="163" customWidth="1"/>
    <col min="267" max="267" width="12.140625" style="163" customWidth="1"/>
    <col min="268" max="268" width="12.42578125" style="163" customWidth="1"/>
    <col min="269" max="269" width="10.140625" style="163" bestFit="1" customWidth="1"/>
    <col min="270" max="270" width="9.7109375" style="163" customWidth="1"/>
    <col min="271" max="272" width="11.7109375" style="163" customWidth="1"/>
    <col min="273" max="273" width="0.5703125" style="163" customWidth="1"/>
    <col min="274" max="274" width="12.140625" style="163" customWidth="1"/>
    <col min="275" max="275" width="12.42578125" style="163" customWidth="1"/>
    <col min="276" max="276" width="10.140625" style="163" bestFit="1" customWidth="1"/>
    <col min="277" max="277" width="9.7109375" style="163" customWidth="1"/>
    <col min="278" max="279" width="11.7109375" style="163" customWidth="1"/>
    <col min="280" max="281" width="11" style="163" customWidth="1"/>
    <col min="282" max="506" width="9.140625" style="163"/>
    <col min="507" max="507" width="1.140625" style="163" customWidth="1"/>
    <col min="508" max="508" width="14.140625" style="163" bestFit="1" customWidth="1"/>
    <col min="509" max="509" width="42.7109375" style="163" customWidth="1"/>
    <col min="510" max="510" width="0.5703125" style="163" customWidth="1"/>
    <col min="511" max="511" width="12.140625" style="163" customWidth="1"/>
    <col min="512" max="514" width="9.7109375" style="163" customWidth="1"/>
    <col min="515" max="515" width="11.7109375" style="163" customWidth="1"/>
    <col min="516" max="516" width="0.5703125" style="163" customWidth="1"/>
    <col min="517" max="517" width="12.140625" style="163" customWidth="1"/>
    <col min="518" max="518" width="12.42578125" style="163" customWidth="1"/>
    <col min="519" max="519" width="9.7109375" style="163" customWidth="1"/>
    <col min="520" max="521" width="11.7109375" style="163" customWidth="1"/>
    <col min="522" max="522" width="0.5703125" style="163" customWidth="1"/>
    <col min="523" max="523" width="12.140625" style="163" customWidth="1"/>
    <col min="524" max="524" width="12.42578125" style="163" customWidth="1"/>
    <col min="525" max="525" width="10.140625" style="163" bestFit="1" customWidth="1"/>
    <col min="526" max="526" width="9.7109375" style="163" customWidth="1"/>
    <col min="527" max="528" width="11.7109375" style="163" customWidth="1"/>
    <col min="529" max="529" width="0.5703125" style="163" customWidth="1"/>
    <col min="530" max="530" width="12.140625" style="163" customWidth="1"/>
    <col min="531" max="531" width="12.42578125" style="163" customWidth="1"/>
    <col min="532" max="532" width="10.140625" style="163" bestFit="1" customWidth="1"/>
    <col min="533" max="533" width="9.7109375" style="163" customWidth="1"/>
    <col min="534" max="535" width="11.7109375" style="163" customWidth="1"/>
    <col min="536" max="537" width="11" style="163" customWidth="1"/>
    <col min="538" max="762" width="9.140625" style="163"/>
    <col min="763" max="763" width="1.140625" style="163" customWidth="1"/>
    <col min="764" max="764" width="14.140625" style="163" bestFit="1" customWidth="1"/>
    <col min="765" max="765" width="42.7109375" style="163" customWidth="1"/>
    <col min="766" max="766" width="0.5703125" style="163" customWidth="1"/>
    <col min="767" max="767" width="12.140625" style="163" customWidth="1"/>
    <col min="768" max="770" width="9.7109375" style="163" customWidth="1"/>
    <col min="771" max="771" width="11.7109375" style="163" customWidth="1"/>
    <col min="772" max="772" width="0.5703125" style="163" customWidth="1"/>
    <col min="773" max="773" width="12.140625" style="163" customWidth="1"/>
    <col min="774" max="774" width="12.42578125" style="163" customWidth="1"/>
    <col min="775" max="775" width="9.7109375" style="163" customWidth="1"/>
    <col min="776" max="777" width="11.7109375" style="163" customWidth="1"/>
    <col min="778" max="778" width="0.5703125" style="163" customWidth="1"/>
    <col min="779" max="779" width="12.140625" style="163" customWidth="1"/>
    <col min="780" max="780" width="12.42578125" style="163" customWidth="1"/>
    <col min="781" max="781" width="10.140625" style="163" bestFit="1" customWidth="1"/>
    <col min="782" max="782" width="9.7109375" style="163" customWidth="1"/>
    <col min="783" max="784" width="11.7109375" style="163" customWidth="1"/>
    <col min="785" max="785" width="0.5703125" style="163" customWidth="1"/>
    <col min="786" max="786" width="12.140625" style="163" customWidth="1"/>
    <col min="787" max="787" width="12.42578125" style="163" customWidth="1"/>
    <col min="788" max="788" width="10.140625" style="163" bestFit="1" customWidth="1"/>
    <col min="789" max="789" width="9.7109375" style="163" customWidth="1"/>
    <col min="790" max="791" width="11.7109375" style="163" customWidth="1"/>
    <col min="792" max="793" width="11" style="163" customWidth="1"/>
    <col min="794" max="1018" width="9.140625" style="163"/>
    <col min="1019" max="1019" width="1.140625" style="163" customWidth="1"/>
    <col min="1020" max="1020" width="14.140625" style="163" bestFit="1" customWidth="1"/>
    <col min="1021" max="1021" width="42.7109375" style="163" customWidth="1"/>
    <col min="1022" max="1022" width="0.5703125" style="163" customWidth="1"/>
    <col min="1023" max="1023" width="12.140625" style="163" customWidth="1"/>
    <col min="1024" max="1026" width="9.7109375" style="163" customWidth="1"/>
    <col min="1027" max="1027" width="11.7109375" style="163" customWidth="1"/>
    <col min="1028" max="1028" width="0.5703125" style="163" customWidth="1"/>
    <col min="1029" max="1029" width="12.140625" style="163" customWidth="1"/>
    <col min="1030" max="1030" width="12.42578125" style="163" customWidth="1"/>
    <col min="1031" max="1031" width="9.7109375" style="163" customWidth="1"/>
    <col min="1032" max="1033" width="11.7109375" style="163" customWidth="1"/>
    <col min="1034" max="1034" width="0.5703125" style="163" customWidth="1"/>
    <col min="1035" max="1035" width="12.140625" style="163" customWidth="1"/>
    <col min="1036" max="1036" width="12.42578125" style="163" customWidth="1"/>
    <col min="1037" max="1037" width="10.140625" style="163" bestFit="1" customWidth="1"/>
    <col min="1038" max="1038" width="9.7109375" style="163" customWidth="1"/>
    <col min="1039" max="1040" width="11.7109375" style="163" customWidth="1"/>
    <col min="1041" max="1041" width="0.5703125" style="163" customWidth="1"/>
    <col min="1042" max="1042" width="12.140625" style="163" customWidth="1"/>
    <col min="1043" max="1043" width="12.42578125" style="163" customWidth="1"/>
    <col min="1044" max="1044" width="10.140625" style="163" bestFit="1" customWidth="1"/>
    <col min="1045" max="1045" width="9.7109375" style="163" customWidth="1"/>
    <col min="1046" max="1047" width="11.7109375" style="163" customWidth="1"/>
    <col min="1048" max="1049" width="11" style="163" customWidth="1"/>
    <col min="1050" max="1274" width="9.140625" style="163"/>
    <col min="1275" max="1275" width="1.140625" style="163" customWidth="1"/>
    <col min="1276" max="1276" width="14.140625" style="163" bestFit="1" customWidth="1"/>
    <col min="1277" max="1277" width="42.7109375" style="163" customWidth="1"/>
    <col min="1278" max="1278" width="0.5703125" style="163" customWidth="1"/>
    <col min="1279" max="1279" width="12.140625" style="163" customWidth="1"/>
    <col min="1280" max="1282" width="9.7109375" style="163" customWidth="1"/>
    <col min="1283" max="1283" width="11.7109375" style="163" customWidth="1"/>
    <col min="1284" max="1284" width="0.5703125" style="163" customWidth="1"/>
    <col min="1285" max="1285" width="12.140625" style="163" customWidth="1"/>
    <col min="1286" max="1286" width="12.42578125" style="163" customWidth="1"/>
    <col min="1287" max="1287" width="9.7109375" style="163" customWidth="1"/>
    <col min="1288" max="1289" width="11.7109375" style="163" customWidth="1"/>
    <col min="1290" max="1290" width="0.5703125" style="163" customWidth="1"/>
    <col min="1291" max="1291" width="12.140625" style="163" customWidth="1"/>
    <col min="1292" max="1292" width="12.42578125" style="163" customWidth="1"/>
    <col min="1293" max="1293" width="10.140625" style="163" bestFit="1" customWidth="1"/>
    <col min="1294" max="1294" width="9.7109375" style="163" customWidth="1"/>
    <col min="1295" max="1296" width="11.7109375" style="163" customWidth="1"/>
    <col min="1297" max="1297" width="0.5703125" style="163" customWidth="1"/>
    <col min="1298" max="1298" width="12.140625" style="163" customWidth="1"/>
    <col min="1299" max="1299" width="12.42578125" style="163" customWidth="1"/>
    <col min="1300" max="1300" width="10.140625" style="163" bestFit="1" customWidth="1"/>
    <col min="1301" max="1301" width="9.7109375" style="163" customWidth="1"/>
    <col min="1302" max="1303" width="11.7109375" style="163" customWidth="1"/>
    <col min="1304" max="1305" width="11" style="163" customWidth="1"/>
    <col min="1306" max="1530" width="9.140625" style="163"/>
    <col min="1531" max="1531" width="1.140625" style="163" customWidth="1"/>
    <col min="1532" max="1532" width="14.140625" style="163" bestFit="1" customWidth="1"/>
    <col min="1533" max="1533" width="42.7109375" style="163" customWidth="1"/>
    <col min="1534" max="1534" width="0.5703125" style="163" customWidth="1"/>
    <col min="1535" max="1535" width="12.140625" style="163" customWidth="1"/>
    <col min="1536" max="1538" width="9.7109375" style="163" customWidth="1"/>
    <col min="1539" max="1539" width="11.7109375" style="163" customWidth="1"/>
    <col min="1540" max="1540" width="0.5703125" style="163" customWidth="1"/>
    <col min="1541" max="1541" width="12.140625" style="163" customWidth="1"/>
    <col min="1542" max="1542" width="12.42578125" style="163" customWidth="1"/>
    <col min="1543" max="1543" width="9.7109375" style="163" customWidth="1"/>
    <col min="1544" max="1545" width="11.7109375" style="163" customWidth="1"/>
    <col min="1546" max="1546" width="0.5703125" style="163" customWidth="1"/>
    <col min="1547" max="1547" width="12.140625" style="163" customWidth="1"/>
    <col min="1548" max="1548" width="12.42578125" style="163" customWidth="1"/>
    <col min="1549" max="1549" width="10.140625" style="163" bestFit="1" customWidth="1"/>
    <col min="1550" max="1550" width="9.7109375" style="163" customWidth="1"/>
    <col min="1551" max="1552" width="11.7109375" style="163" customWidth="1"/>
    <col min="1553" max="1553" width="0.5703125" style="163" customWidth="1"/>
    <col min="1554" max="1554" width="12.140625" style="163" customWidth="1"/>
    <col min="1555" max="1555" width="12.42578125" style="163" customWidth="1"/>
    <col min="1556" max="1556" width="10.140625" style="163" bestFit="1" customWidth="1"/>
    <col min="1557" max="1557" width="9.7109375" style="163" customWidth="1"/>
    <col min="1558" max="1559" width="11.7109375" style="163" customWidth="1"/>
    <col min="1560" max="1561" width="11" style="163" customWidth="1"/>
    <col min="1562" max="1786" width="9.140625" style="163"/>
    <col min="1787" max="1787" width="1.140625" style="163" customWidth="1"/>
    <col min="1788" max="1788" width="14.140625" style="163" bestFit="1" customWidth="1"/>
    <col min="1789" max="1789" width="42.7109375" style="163" customWidth="1"/>
    <col min="1790" max="1790" width="0.5703125" style="163" customWidth="1"/>
    <col min="1791" max="1791" width="12.140625" style="163" customWidth="1"/>
    <col min="1792" max="1794" width="9.7109375" style="163" customWidth="1"/>
    <col min="1795" max="1795" width="11.7109375" style="163" customWidth="1"/>
    <col min="1796" max="1796" width="0.5703125" style="163" customWidth="1"/>
    <col min="1797" max="1797" width="12.140625" style="163" customWidth="1"/>
    <col min="1798" max="1798" width="12.42578125" style="163" customWidth="1"/>
    <col min="1799" max="1799" width="9.7109375" style="163" customWidth="1"/>
    <col min="1800" max="1801" width="11.7109375" style="163" customWidth="1"/>
    <col min="1802" max="1802" width="0.5703125" style="163" customWidth="1"/>
    <col min="1803" max="1803" width="12.140625" style="163" customWidth="1"/>
    <col min="1804" max="1804" width="12.42578125" style="163" customWidth="1"/>
    <col min="1805" max="1805" width="10.140625" style="163" bestFit="1" customWidth="1"/>
    <col min="1806" max="1806" width="9.7109375" style="163" customWidth="1"/>
    <col min="1807" max="1808" width="11.7109375" style="163" customWidth="1"/>
    <col min="1809" max="1809" width="0.5703125" style="163" customWidth="1"/>
    <col min="1810" max="1810" width="12.140625" style="163" customWidth="1"/>
    <col min="1811" max="1811" width="12.42578125" style="163" customWidth="1"/>
    <col min="1812" max="1812" width="10.140625" style="163" bestFit="1" customWidth="1"/>
    <col min="1813" max="1813" width="9.7109375" style="163" customWidth="1"/>
    <col min="1814" max="1815" width="11.7109375" style="163" customWidth="1"/>
    <col min="1816" max="1817" width="11" style="163" customWidth="1"/>
    <col min="1818" max="2042" width="9.140625" style="163"/>
    <col min="2043" max="2043" width="1.140625" style="163" customWidth="1"/>
    <col min="2044" max="2044" width="14.140625" style="163" bestFit="1" customWidth="1"/>
    <col min="2045" max="2045" width="42.7109375" style="163" customWidth="1"/>
    <col min="2046" max="2046" width="0.5703125" style="163" customWidth="1"/>
    <col min="2047" max="2047" width="12.140625" style="163" customWidth="1"/>
    <col min="2048" max="2050" width="9.7109375" style="163" customWidth="1"/>
    <col min="2051" max="2051" width="11.7109375" style="163" customWidth="1"/>
    <col min="2052" max="2052" width="0.5703125" style="163" customWidth="1"/>
    <col min="2053" max="2053" width="12.140625" style="163" customWidth="1"/>
    <col min="2054" max="2054" width="12.42578125" style="163" customWidth="1"/>
    <col min="2055" max="2055" width="9.7109375" style="163" customWidth="1"/>
    <col min="2056" max="2057" width="11.7109375" style="163" customWidth="1"/>
    <col min="2058" max="2058" width="0.5703125" style="163" customWidth="1"/>
    <col min="2059" max="2059" width="12.140625" style="163" customWidth="1"/>
    <col min="2060" max="2060" width="12.42578125" style="163" customWidth="1"/>
    <col min="2061" max="2061" width="10.140625" style="163" bestFit="1" customWidth="1"/>
    <col min="2062" max="2062" width="9.7109375" style="163" customWidth="1"/>
    <col min="2063" max="2064" width="11.7109375" style="163" customWidth="1"/>
    <col min="2065" max="2065" width="0.5703125" style="163" customWidth="1"/>
    <col min="2066" max="2066" width="12.140625" style="163" customWidth="1"/>
    <col min="2067" max="2067" width="12.42578125" style="163" customWidth="1"/>
    <col min="2068" max="2068" width="10.140625" style="163" bestFit="1" customWidth="1"/>
    <col min="2069" max="2069" width="9.7109375" style="163" customWidth="1"/>
    <col min="2070" max="2071" width="11.7109375" style="163" customWidth="1"/>
    <col min="2072" max="2073" width="11" style="163" customWidth="1"/>
    <col min="2074" max="2298" width="9.140625" style="163"/>
    <col min="2299" max="2299" width="1.140625" style="163" customWidth="1"/>
    <col min="2300" max="2300" width="14.140625" style="163" bestFit="1" customWidth="1"/>
    <col min="2301" max="2301" width="42.7109375" style="163" customWidth="1"/>
    <col min="2302" max="2302" width="0.5703125" style="163" customWidth="1"/>
    <col min="2303" max="2303" width="12.140625" style="163" customWidth="1"/>
    <col min="2304" max="2306" width="9.7109375" style="163" customWidth="1"/>
    <col min="2307" max="2307" width="11.7109375" style="163" customWidth="1"/>
    <col min="2308" max="2308" width="0.5703125" style="163" customWidth="1"/>
    <col min="2309" max="2309" width="12.140625" style="163" customWidth="1"/>
    <col min="2310" max="2310" width="12.42578125" style="163" customWidth="1"/>
    <col min="2311" max="2311" width="9.7109375" style="163" customWidth="1"/>
    <col min="2312" max="2313" width="11.7109375" style="163" customWidth="1"/>
    <col min="2314" max="2314" width="0.5703125" style="163" customWidth="1"/>
    <col min="2315" max="2315" width="12.140625" style="163" customWidth="1"/>
    <col min="2316" max="2316" width="12.42578125" style="163" customWidth="1"/>
    <col min="2317" max="2317" width="10.140625" style="163" bestFit="1" customWidth="1"/>
    <col min="2318" max="2318" width="9.7109375" style="163" customWidth="1"/>
    <col min="2319" max="2320" width="11.7109375" style="163" customWidth="1"/>
    <col min="2321" max="2321" width="0.5703125" style="163" customWidth="1"/>
    <col min="2322" max="2322" width="12.140625" style="163" customWidth="1"/>
    <col min="2323" max="2323" width="12.42578125" style="163" customWidth="1"/>
    <col min="2324" max="2324" width="10.140625" style="163" bestFit="1" customWidth="1"/>
    <col min="2325" max="2325" width="9.7109375" style="163" customWidth="1"/>
    <col min="2326" max="2327" width="11.7109375" style="163" customWidth="1"/>
    <col min="2328" max="2329" width="11" style="163" customWidth="1"/>
    <col min="2330" max="2554" width="9.140625" style="163"/>
    <col min="2555" max="2555" width="1.140625" style="163" customWidth="1"/>
    <col min="2556" max="2556" width="14.140625" style="163" bestFit="1" customWidth="1"/>
    <col min="2557" max="2557" width="42.7109375" style="163" customWidth="1"/>
    <col min="2558" max="2558" width="0.5703125" style="163" customWidth="1"/>
    <col min="2559" max="2559" width="12.140625" style="163" customWidth="1"/>
    <col min="2560" max="2562" width="9.7109375" style="163" customWidth="1"/>
    <col min="2563" max="2563" width="11.7109375" style="163" customWidth="1"/>
    <col min="2564" max="2564" width="0.5703125" style="163" customWidth="1"/>
    <col min="2565" max="2565" width="12.140625" style="163" customWidth="1"/>
    <col min="2566" max="2566" width="12.42578125" style="163" customWidth="1"/>
    <col min="2567" max="2567" width="9.7109375" style="163" customWidth="1"/>
    <col min="2568" max="2569" width="11.7109375" style="163" customWidth="1"/>
    <col min="2570" max="2570" width="0.5703125" style="163" customWidth="1"/>
    <col min="2571" max="2571" width="12.140625" style="163" customWidth="1"/>
    <col min="2572" max="2572" width="12.42578125" style="163" customWidth="1"/>
    <col min="2573" max="2573" width="10.140625" style="163" bestFit="1" customWidth="1"/>
    <col min="2574" max="2574" width="9.7109375" style="163" customWidth="1"/>
    <col min="2575" max="2576" width="11.7109375" style="163" customWidth="1"/>
    <col min="2577" max="2577" width="0.5703125" style="163" customWidth="1"/>
    <col min="2578" max="2578" width="12.140625" style="163" customWidth="1"/>
    <col min="2579" max="2579" width="12.42578125" style="163" customWidth="1"/>
    <col min="2580" max="2580" width="10.140625" style="163" bestFit="1" customWidth="1"/>
    <col min="2581" max="2581" width="9.7109375" style="163" customWidth="1"/>
    <col min="2582" max="2583" width="11.7109375" style="163" customWidth="1"/>
    <col min="2584" max="2585" width="11" style="163" customWidth="1"/>
    <col min="2586" max="2810" width="9.140625" style="163"/>
    <col min="2811" max="2811" width="1.140625" style="163" customWidth="1"/>
    <col min="2812" max="2812" width="14.140625" style="163" bestFit="1" customWidth="1"/>
    <col min="2813" max="2813" width="42.7109375" style="163" customWidth="1"/>
    <col min="2814" max="2814" width="0.5703125" style="163" customWidth="1"/>
    <col min="2815" max="2815" width="12.140625" style="163" customWidth="1"/>
    <col min="2816" max="2818" width="9.7109375" style="163" customWidth="1"/>
    <col min="2819" max="2819" width="11.7109375" style="163" customWidth="1"/>
    <col min="2820" max="2820" width="0.5703125" style="163" customWidth="1"/>
    <col min="2821" max="2821" width="12.140625" style="163" customWidth="1"/>
    <col min="2822" max="2822" width="12.42578125" style="163" customWidth="1"/>
    <col min="2823" max="2823" width="9.7109375" style="163" customWidth="1"/>
    <col min="2824" max="2825" width="11.7109375" style="163" customWidth="1"/>
    <col min="2826" max="2826" width="0.5703125" style="163" customWidth="1"/>
    <col min="2827" max="2827" width="12.140625" style="163" customWidth="1"/>
    <col min="2828" max="2828" width="12.42578125" style="163" customWidth="1"/>
    <col min="2829" max="2829" width="10.140625" style="163" bestFit="1" customWidth="1"/>
    <col min="2830" max="2830" width="9.7109375" style="163" customWidth="1"/>
    <col min="2831" max="2832" width="11.7109375" style="163" customWidth="1"/>
    <col min="2833" max="2833" width="0.5703125" style="163" customWidth="1"/>
    <col min="2834" max="2834" width="12.140625" style="163" customWidth="1"/>
    <col min="2835" max="2835" width="12.42578125" style="163" customWidth="1"/>
    <col min="2836" max="2836" width="10.140625" style="163" bestFit="1" customWidth="1"/>
    <col min="2837" max="2837" width="9.7109375" style="163" customWidth="1"/>
    <col min="2838" max="2839" width="11.7109375" style="163" customWidth="1"/>
    <col min="2840" max="2841" width="11" style="163" customWidth="1"/>
    <col min="2842" max="3066" width="9.140625" style="163"/>
    <col min="3067" max="3067" width="1.140625" style="163" customWidth="1"/>
    <col min="3068" max="3068" width="14.140625" style="163" bestFit="1" customWidth="1"/>
    <col min="3069" max="3069" width="42.7109375" style="163" customWidth="1"/>
    <col min="3070" max="3070" width="0.5703125" style="163" customWidth="1"/>
    <col min="3071" max="3071" width="12.140625" style="163" customWidth="1"/>
    <col min="3072" max="3074" width="9.7109375" style="163" customWidth="1"/>
    <col min="3075" max="3075" width="11.7109375" style="163" customWidth="1"/>
    <col min="3076" max="3076" width="0.5703125" style="163" customWidth="1"/>
    <col min="3077" max="3077" width="12.140625" style="163" customWidth="1"/>
    <col min="3078" max="3078" width="12.42578125" style="163" customWidth="1"/>
    <col min="3079" max="3079" width="9.7109375" style="163" customWidth="1"/>
    <col min="3080" max="3081" width="11.7109375" style="163" customWidth="1"/>
    <col min="3082" max="3082" width="0.5703125" style="163" customWidth="1"/>
    <col min="3083" max="3083" width="12.140625" style="163" customWidth="1"/>
    <col min="3084" max="3084" width="12.42578125" style="163" customWidth="1"/>
    <col min="3085" max="3085" width="10.140625" style="163" bestFit="1" customWidth="1"/>
    <col min="3086" max="3086" width="9.7109375" style="163" customWidth="1"/>
    <col min="3087" max="3088" width="11.7109375" style="163" customWidth="1"/>
    <col min="3089" max="3089" width="0.5703125" style="163" customWidth="1"/>
    <col min="3090" max="3090" width="12.140625" style="163" customWidth="1"/>
    <col min="3091" max="3091" width="12.42578125" style="163" customWidth="1"/>
    <col min="3092" max="3092" width="10.140625" style="163" bestFit="1" customWidth="1"/>
    <col min="3093" max="3093" width="9.7109375" style="163" customWidth="1"/>
    <col min="3094" max="3095" width="11.7109375" style="163" customWidth="1"/>
    <col min="3096" max="3097" width="11" style="163" customWidth="1"/>
    <col min="3098" max="3322" width="9.140625" style="163"/>
    <col min="3323" max="3323" width="1.140625" style="163" customWidth="1"/>
    <col min="3324" max="3324" width="14.140625" style="163" bestFit="1" customWidth="1"/>
    <col min="3325" max="3325" width="42.7109375" style="163" customWidth="1"/>
    <col min="3326" max="3326" width="0.5703125" style="163" customWidth="1"/>
    <col min="3327" max="3327" width="12.140625" style="163" customWidth="1"/>
    <col min="3328" max="3330" width="9.7109375" style="163" customWidth="1"/>
    <col min="3331" max="3331" width="11.7109375" style="163" customWidth="1"/>
    <col min="3332" max="3332" width="0.5703125" style="163" customWidth="1"/>
    <col min="3333" max="3333" width="12.140625" style="163" customWidth="1"/>
    <col min="3334" max="3334" width="12.42578125" style="163" customWidth="1"/>
    <col min="3335" max="3335" width="9.7109375" style="163" customWidth="1"/>
    <col min="3336" max="3337" width="11.7109375" style="163" customWidth="1"/>
    <col min="3338" max="3338" width="0.5703125" style="163" customWidth="1"/>
    <col min="3339" max="3339" width="12.140625" style="163" customWidth="1"/>
    <col min="3340" max="3340" width="12.42578125" style="163" customWidth="1"/>
    <col min="3341" max="3341" width="10.140625" style="163" bestFit="1" customWidth="1"/>
    <col min="3342" max="3342" width="9.7109375" style="163" customWidth="1"/>
    <col min="3343" max="3344" width="11.7109375" style="163" customWidth="1"/>
    <col min="3345" max="3345" width="0.5703125" style="163" customWidth="1"/>
    <col min="3346" max="3346" width="12.140625" style="163" customWidth="1"/>
    <col min="3347" max="3347" width="12.42578125" style="163" customWidth="1"/>
    <col min="3348" max="3348" width="10.140625" style="163" bestFit="1" customWidth="1"/>
    <col min="3349" max="3349" width="9.7109375" style="163" customWidth="1"/>
    <col min="3350" max="3351" width="11.7109375" style="163" customWidth="1"/>
    <col min="3352" max="3353" width="11" style="163" customWidth="1"/>
    <col min="3354" max="3578" width="9.140625" style="163"/>
    <col min="3579" max="3579" width="1.140625" style="163" customWidth="1"/>
    <col min="3580" max="3580" width="14.140625" style="163" bestFit="1" customWidth="1"/>
    <col min="3581" max="3581" width="42.7109375" style="163" customWidth="1"/>
    <col min="3582" max="3582" width="0.5703125" style="163" customWidth="1"/>
    <col min="3583" max="3583" width="12.140625" style="163" customWidth="1"/>
    <col min="3584" max="3586" width="9.7109375" style="163" customWidth="1"/>
    <col min="3587" max="3587" width="11.7109375" style="163" customWidth="1"/>
    <col min="3588" max="3588" width="0.5703125" style="163" customWidth="1"/>
    <col min="3589" max="3589" width="12.140625" style="163" customWidth="1"/>
    <col min="3590" max="3590" width="12.42578125" style="163" customWidth="1"/>
    <col min="3591" max="3591" width="9.7109375" style="163" customWidth="1"/>
    <col min="3592" max="3593" width="11.7109375" style="163" customWidth="1"/>
    <col min="3594" max="3594" width="0.5703125" style="163" customWidth="1"/>
    <col min="3595" max="3595" width="12.140625" style="163" customWidth="1"/>
    <col min="3596" max="3596" width="12.42578125" style="163" customWidth="1"/>
    <col min="3597" max="3597" width="10.140625" style="163" bestFit="1" customWidth="1"/>
    <col min="3598" max="3598" width="9.7109375" style="163" customWidth="1"/>
    <col min="3599" max="3600" width="11.7109375" style="163" customWidth="1"/>
    <col min="3601" max="3601" width="0.5703125" style="163" customWidth="1"/>
    <col min="3602" max="3602" width="12.140625" style="163" customWidth="1"/>
    <col min="3603" max="3603" width="12.42578125" style="163" customWidth="1"/>
    <col min="3604" max="3604" width="10.140625" style="163" bestFit="1" customWidth="1"/>
    <col min="3605" max="3605" width="9.7109375" style="163" customWidth="1"/>
    <col min="3606" max="3607" width="11.7109375" style="163" customWidth="1"/>
    <col min="3608" max="3609" width="11" style="163" customWidth="1"/>
    <col min="3610" max="3834" width="9.140625" style="163"/>
    <col min="3835" max="3835" width="1.140625" style="163" customWidth="1"/>
    <col min="3836" max="3836" width="14.140625" style="163" bestFit="1" customWidth="1"/>
    <col min="3837" max="3837" width="42.7109375" style="163" customWidth="1"/>
    <col min="3838" max="3838" width="0.5703125" style="163" customWidth="1"/>
    <col min="3839" max="3839" width="12.140625" style="163" customWidth="1"/>
    <col min="3840" max="3842" width="9.7109375" style="163" customWidth="1"/>
    <col min="3843" max="3843" width="11.7109375" style="163" customWidth="1"/>
    <col min="3844" max="3844" width="0.5703125" style="163" customWidth="1"/>
    <col min="3845" max="3845" width="12.140625" style="163" customWidth="1"/>
    <col min="3846" max="3846" width="12.42578125" style="163" customWidth="1"/>
    <col min="3847" max="3847" width="9.7109375" style="163" customWidth="1"/>
    <col min="3848" max="3849" width="11.7109375" style="163" customWidth="1"/>
    <col min="3850" max="3850" width="0.5703125" style="163" customWidth="1"/>
    <col min="3851" max="3851" width="12.140625" style="163" customWidth="1"/>
    <col min="3852" max="3852" width="12.42578125" style="163" customWidth="1"/>
    <col min="3853" max="3853" width="10.140625" style="163" bestFit="1" customWidth="1"/>
    <col min="3854" max="3854" width="9.7109375" style="163" customWidth="1"/>
    <col min="3855" max="3856" width="11.7109375" style="163" customWidth="1"/>
    <col min="3857" max="3857" width="0.5703125" style="163" customWidth="1"/>
    <col min="3858" max="3858" width="12.140625" style="163" customWidth="1"/>
    <col min="3859" max="3859" width="12.42578125" style="163" customWidth="1"/>
    <col min="3860" max="3860" width="10.140625" style="163" bestFit="1" customWidth="1"/>
    <col min="3861" max="3861" width="9.7109375" style="163" customWidth="1"/>
    <col min="3862" max="3863" width="11.7109375" style="163" customWidth="1"/>
    <col min="3864" max="3865" width="11" style="163" customWidth="1"/>
    <col min="3866" max="4090" width="9.140625" style="163"/>
    <col min="4091" max="4091" width="1.140625" style="163" customWidth="1"/>
    <col min="4092" max="4092" width="14.140625" style="163" bestFit="1" customWidth="1"/>
    <col min="4093" max="4093" width="42.7109375" style="163" customWidth="1"/>
    <col min="4094" max="4094" width="0.5703125" style="163" customWidth="1"/>
    <col min="4095" max="4095" width="12.140625" style="163" customWidth="1"/>
    <col min="4096" max="4098" width="9.7109375" style="163" customWidth="1"/>
    <col min="4099" max="4099" width="11.7109375" style="163" customWidth="1"/>
    <col min="4100" max="4100" width="0.5703125" style="163" customWidth="1"/>
    <col min="4101" max="4101" width="12.140625" style="163" customWidth="1"/>
    <col min="4102" max="4102" width="12.42578125" style="163" customWidth="1"/>
    <col min="4103" max="4103" width="9.7109375" style="163" customWidth="1"/>
    <col min="4104" max="4105" width="11.7109375" style="163" customWidth="1"/>
    <col min="4106" max="4106" width="0.5703125" style="163" customWidth="1"/>
    <col min="4107" max="4107" width="12.140625" style="163" customWidth="1"/>
    <col min="4108" max="4108" width="12.42578125" style="163" customWidth="1"/>
    <col min="4109" max="4109" width="10.140625" style="163" bestFit="1" customWidth="1"/>
    <col min="4110" max="4110" width="9.7109375" style="163" customWidth="1"/>
    <col min="4111" max="4112" width="11.7109375" style="163" customWidth="1"/>
    <col min="4113" max="4113" width="0.5703125" style="163" customWidth="1"/>
    <col min="4114" max="4114" width="12.140625" style="163" customWidth="1"/>
    <col min="4115" max="4115" width="12.42578125" style="163" customWidth="1"/>
    <col min="4116" max="4116" width="10.140625" style="163" bestFit="1" customWidth="1"/>
    <col min="4117" max="4117" width="9.7109375" style="163" customWidth="1"/>
    <col min="4118" max="4119" width="11.7109375" style="163" customWidth="1"/>
    <col min="4120" max="4121" width="11" style="163" customWidth="1"/>
    <col min="4122" max="4346" width="9.140625" style="163"/>
    <col min="4347" max="4347" width="1.140625" style="163" customWidth="1"/>
    <col min="4348" max="4348" width="14.140625" style="163" bestFit="1" customWidth="1"/>
    <col min="4349" max="4349" width="42.7109375" style="163" customWidth="1"/>
    <col min="4350" max="4350" width="0.5703125" style="163" customWidth="1"/>
    <col min="4351" max="4351" width="12.140625" style="163" customWidth="1"/>
    <col min="4352" max="4354" width="9.7109375" style="163" customWidth="1"/>
    <col min="4355" max="4355" width="11.7109375" style="163" customWidth="1"/>
    <col min="4356" max="4356" width="0.5703125" style="163" customWidth="1"/>
    <col min="4357" max="4357" width="12.140625" style="163" customWidth="1"/>
    <col min="4358" max="4358" width="12.42578125" style="163" customWidth="1"/>
    <col min="4359" max="4359" width="9.7109375" style="163" customWidth="1"/>
    <col min="4360" max="4361" width="11.7109375" style="163" customWidth="1"/>
    <col min="4362" max="4362" width="0.5703125" style="163" customWidth="1"/>
    <col min="4363" max="4363" width="12.140625" style="163" customWidth="1"/>
    <col min="4364" max="4364" width="12.42578125" style="163" customWidth="1"/>
    <col min="4365" max="4365" width="10.140625" style="163" bestFit="1" customWidth="1"/>
    <col min="4366" max="4366" width="9.7109375" style="163" customWidth="1"/>
    <col min="4367" max="4368" width="11.7109375" style="163" customWidth="1"/>
    <col min="4369" max="4369" width="0.5703125" style="163" customWidth="1"/>
    <col min="4370" max="4370" width="12.140625" style="163" customWidth="1"/>
    <col min="4371" max="4371" width="12.42578125" style="163" customWidth="1"/>
    <col min="4372" max="4372" width="10.140625" style="163" bestFit="1" customWidth="1"/>
    <col min="4373" max="4373" width="9.7109375" style="163" customWidth="1"/>
    <col min="4374" max="4375" width="11.7109375" style="163" customWidth="1"/>
    <col min="4376" max="4377" width="11" style="163" customWidth="1"/>
    <col min="4378" max="4602" width="9.140625" style="163"/>
    <col min="4603" max="4603" width="1.140625" style="163" customWidth="1"/>
    <col min="4604" max="4604" width="14.140625" style="163" bestFit="1" customWidth="1"/>
    <col min="4605" max="4605" width="42.7109375" style="163" customWidth="1"/>
    <col min="4606" max="4606" width="0.5703125" style="163" customWidth="1"/>
    <col min="4607" max="4607" width="12.140625" style="163" customWidth="1"/>
    <col min="4608" max="4610" width="9.7109375" style="163" customWidth="1"/>
    <col min="4611" max="4611" width="11.7109375" style="163" customWidth="1"/>
    <col min="4612" max="4612" width="0.5703125" style="163" customWidth="1"/>
    <col min="4613" max="4613" width="12.140625" style="163" customWidth="1"/>
    <col min="4614" max="4614" width="12.42578125" style="163" customWidth="1"/>
    <col min="4615" max="4615" width="9.7109375" style="163" customWidth="1"/>
    <col min="4616" max="4617" width="11.7109375" style="163" customWidth="1"/>
    <col min="4618" max="4618" width="0.5703125" style="163" customWidth="1"/>
    <col min="4619" max="4619" width="12.140625" style="163" customWidth="1"/>
    <col min="4620" max="4620" width="12.42578125" style="163" customWidth="1"/>
    <col min="4621" max="4621" width="10.140625" style="163" bestFit="1" customWidth="1"/>
    <col min="4622" max="4622" width="9.7109375" style="163" customWidth="1"/>
    <col min="4623" max="4624" width="11.7109375" style="163" customWidth="1"/>
    <col min="4625" max="4625" width="0.5703125" style="163" customWidth="1"/>
    <col min="4626" max="4626" width="12.140625" style="163" customWidth="1"/>
    <col min="4627" max="4627" width="12.42578125" style="163" customWidth="1"/>
    <col min="4628" max="4628" width="10.140625" style="163" bestFit="1" customWidth="1"/>
    <col min="4629" max="4629" width="9.7109375" style="163" customWidth="1"/>
    <col min="4630" max="4631" width="11.7109375" style="163" customWidth="1"/>
    <col min="4632" max="4633" width="11" style="163" customWidth="1"/>
    <col min="4634" max="4858" width="9.140625" style="163"/>
    <col min="4859" max="4859" width="1.140625" style="163" customWidth="1"/>
    <col min="4860" max="4860" width="14.140625" style="163" bestFit="1" customWidth="1"/>
    <col min="4861" max="4861" width="42.7109375" style="163" customWidth="1"/>
    <col min="4862" max="4862" width="0.5703125" style="163" customWidth="1"/>
    <col min="4863" max="4863" width="12.140625" style="163" customWidth="1"/>
    <col min="4864" max="4866" width="9.7109375" style="163" customWidth="1"/>
    <col min="4867" max="4867" width="11.7109375" style="163" customWidth="1"/>
    <col min="4868" max="4868" width="0.5703125" style="163" customWidth="1"/>
    <col min="4869" max="4869" width="12.140625" style="163" customWidth="1"/>
    <col min="4870" max="4870" width="12.42578125" style="163" customWidth="1"/>
    <col min="4871" max="4871" width="9.7109375" style="163" customWidth="1"/>
    <col min="4872" max="4873" width="11.7109375" style="163" customWidth="1"/>
    <col min="4874" max="4874" width="0.5703125" style="163" customWidth="1"/>
    <col min="4875" max="4875" width="12.140625" style="163" customWidth="1"/>
    <col min="4876" max="4876" width="12.42578125" style="163" customWidth="1"/>
    <col min="4877" max="4877" width="10.140625" style="163" bestFit="1" customWidth="1"/>
    <col min="4878" max="4878" width="9.7109375" style="163" customWidth="1"/>
    <col min="4879" max="4880" width="11.7109375" style="163" customWidth="1"/>
    <col min="4881" max="4881" width="0.5703125" style="163" customWidth="1"/>
    <col min="4882" max="4882" width="12.140625" style="163" customWidth="1"/>
    <col min="4883" max="4883" width="12.42578125" style="163" customWidth="1"/>
    <col min="4884" max="4884" width="10.140625" style="163" bestFit="1" customWidth="1"/>
    <col min="4885" max="4885" width="9.7109375" style="163" customWidth="1"/>
    <col min="4886" max="4887" width="11.7109375" style="163" customWidth="1"/>
    <col min="4888" max="4889" width="11" style="163" customWidth="1"/>
    <col min="4890" max="5114" width="9.140625" style="163"/>
    <col min="5115" max="5115" width="1.140625" style="163" customWidth="1"/>
    <col min="5116" max="5116" width="14.140625" style="163" bestFit="1" customWidth="1"/>
    <col min="5117" max="5117" width="42.7109375" style="163" customWidth="1"/>
    <col min="5118" max="5118" width="0.5703125" style="163" customWidth="1"/>
    <col min="5119" max="5119" width="12.140625" style="163" customWidth="1"/>
    <col min="5120" max="5122" width="9.7109375" style="163" customWidth="1"/>
    <col min="5123" max="5123" width="11.7109375" style="163" customWidth="1"/>
    <col min="5124" max="5124" width="0.5703125" style="163" customWidth="1"/>
    <col min="5125" max="5125" width="12.140625" style="163" customWidth="1"/>
    <col min="5126" max="5126" width="12.42578125" style="163" customWidth="1"/>
    <col min="5127" max="5127" width="9.7109375" style="163" customWidth="1"/>
    <col min="5128" max="5129" width="11.7109375" style="163" customWidth="1"/>
    <col min="5130" max="5130" width="0.5703125" style="163" customWidth="1"/>
    <col min="5131" max="5131" width="12.140625" style="163" customWidth="1"/>
    <col min="5132" max="5132" width="12.42578125" style="163" customWidth="1"/>
    <col min="5133" max="5133" width="10.140625" style="163" bestFit="1" customWidth="1"/>
    <col min="5134" max="5134" width="9.7109375" style="163" customWidth="1"/>
    <col min="5135" max="5136" width="11.7109375" style="163" customWidth="1"/>
    <col min="5137" max="5137" width="0.5703125" style="163" customWidth="1"/>
    <col min="5138" max="5138" width="12.140625" style="163" customWidth="1"/>
    <col min="5139" max="5139" width="12.42578125" style="163" customWidth="1"/>
    <col min="5140" max="5140" width="10.140625" style="163" bestFit="1" customWidth="1"/>
    <col min="5141" max="5141" width="9.7109375" style="163" customWidth="1"/>
    <col min="5142" max="5143" width="11.7109375" style="163" customWidth="1"/>
    <col min="5144" max="5145" width="11" style="163" customWidth="1"/>
    <col min="5146" max="5370" width="9.140625" style="163"/>
    <col min="5371" max="5371" width="1.140625" style="163" customWidth="1"/>
    <col min="5372" max="5372" width="14.140625" style="163" bestFit="1" customWidth="1"/>
    <col min="5373" max="5373" width="42.7109375" style="163" customWidth="1"/>
    <col min="5374" max="5374" width="0.5703125" style="163" customWidth="1"/>
    <col min="5375" max="5375" width="12.140625" style="163" customWidth="1"/>
    <col min="5376" max="5378" width="9.7109375" style="163" customWidth="1"/>
    <col min="5379" max="5379" width="11.7109375" style="163" customWidth="1"/>
    <col min="5380" max="5380" width="0.5703125" style="163" customWidth="1"/>
    <col min="5381" max="5381" width="12.140625" style="163" customWidth="1"/>
    <col min="5382" max="5382" width="12.42578125" style="163" customWidth="1"/>
    <col min="5383" max="5383" width="9.7109375" style="163" customWidth="1"/>
    <col min="5384" max="5385" width="11.7109375" style="163" customWidth="1"/>
    <col min="5386" max="5386" width="0.5703125" style="163" customWidth="1"/>
    <col min="5387" max="5387" width="12.140625" style="163" customWidth="1"/>
    <col min="5388" max="5388" width="12.42578125" style="163" customWidth="1"/>
    <col min="5389" max="5389" width="10.140625" style="163" bestFit="1" customWidth="1"/>
    <col min="5390" max="5390" width="9.7109375" style="163" customWidth="1"/>
    <col min="5391" max="5392" width="11.7109375" style="163" customWidth="1"/>
    <col min="5393" max="5393" width="0.5703125" style="163" customWidth="1"/>
    <col min="5394" max="5394" width="12.140625" style="163" customWidth="1"/>
    <col min="5395" max="5395" width="12.42578125" style="163" customWidth="1"/>
    <col min="5396" max="5396" width="10.140625" style="163" bestFit="1" customWidth="1"/>
    <col min="5397" max="5397" width="9.7109375" style="163" customWidth="1"/>
    <col min="5398" max="5399" width="11.7109375" style="163" customWidth="1"/>
    <col min="5400" max="5401" width="11" style="163" customWidth="1"/>
    <col min="5402" max="5626" width="9.140625" style="163"/>
    <col min="5627" max="5627" width="1.140625" style="163" customWidth="1"/>
    <col min="5628" max="5628" width="14.140625" style="163" bestFit="1" customWidth="1"/>
    <col min="5629" max="5629" width="42.7109375" style="163" customWidth="1"/>
    <col min="5630" max="5630" width="0.5703125" style="163" customWidth="1"/>
    <col min="5631" max="5631" width="12.140625" style="163" customWidth="1"/>
    <col min="5632" max="5634" width="9.7109375" style="163" customWidth="1"/>
    <col min="5635" max="5635" width="11.7109375" style="163" customWidth="1"/>
    <col min="5636" max="5636" width="0.5703125" style="163" customWidth="1"/>
    <col min="5637" max="5637" width="12.140625" style="163" customWidth="1"/>
    <col min="5638" max="5638" width="12.42578125" style="163" customWidth="1"/>
    <col min="5639" max="5639" width="9.7109375" style="163" customWidth="1"/>
    <col min="5640" max="5641" width="11.7109375" style="163" customWidth="1"/>
    <col min="5642" max="5642" width="0.5703125" style="163" customWidth="1"/>
    <col min="5643" max="5643" width="12.140625" style="163" customWidth="1"/>
    <col min="5644" max="5644" width="12.42578125" style="163" customWidth="1"/>
    <col min="5645" max="5645" width="10.140625" style="163" bestFit="1" customWidth="1"/>
    <col min="5646" max="5646" width="9.7109375" style="163" customWidth="1"/>
    <col min="5647" max="5648" width="11.7109375" style="163" customWidth="1"/>
    <col min="5649" max="5649" width="0.5703125" style="163" customWidth="1"/>
    <col min="5650" max="5650" width="12.140625" style="163" customWidth="1"/>
    <col min="5651" max="5651" width="12.42578125" style="163" customWidth="1"/>
    <col min="5652" max="5652" width="10.140625" style="163" bestFit="1" customWidth="1"/>
    <col min="5653" max="5653" width="9.7109375" style="163" customWidth="1"/>
    <col min="5654" max="5655" width="11.7109375" style="163" customWidth="1"/>
    <col min="5656" max="5657" width="11" style="163" customWidth="1"/>
    <col min="5658" max="5882" width="9.140625" style="163"/>
    <col min="5883" max="5883" width="1.140625" style="163" customWidth="1"/>
    <col min="5884" max="5884" width="14.140625" style="163" bestFit="1" customWidth="1"/>
    <col min="5885" max="5885" width="42.7109375" style="163" customWidth="1"/>
    <col min="5886" max="5886" width="0.5703125" style="163" customWidth="1"/>
    <col min="5887" max="5887" width="12.140625" style="163" customWidth="1"/>
    <col min="5888" max="5890" width="9.7109375" style="163" customWidth="1"/>
    <col min="5891" max="5891" width="11.7109375" style="163" customWidth="1"/>
    <col min="5892" max="5892" width="0.5703125" style="163" customWidth="1"/>
    <col min="5893" max="5893" width="12.140625" style="163" customWidth="1"/>
    <col min="5894" max="5894" width="12.42578125" style="163" customWidth="1"/>
    <col min="5895" max="5895" width="9.7109375" style="163" customWidth="1"/>
    <col min="5896" max="5897" width="11.7109375" style="163" customWidth="1"/>
    <col min="5898" max="5898" width="0.5703125" style="163" customWidth="1"/>
    <col min="5899" max="5899" width="12.140625" style="163" customWidth="1"/>
    <col min="5900" max="5900" width="12.42578125" style="163" customWidth="1"/>
    <col min="5901" max="5901" width="10.140625" style="163" bestFit="1" customWidth="1"/>
    <col min="5902" max="5902" width="9.7109375" style="163" customWidth="1"/>
    <col min="5903" max="5904" width="11.7109375" style="163" customWidth="1"/>
    <col min="5905" max="5905" width="0.5703125" style="163" customWidth="1"/>
    <col min="5906" max="5906" width="12.140625" style="163" customWidth="1"/>
    <col min="5907" max="5907" width="12.42578125" style="163" customWidth="1"/>
    <col min="5908" max="5908" width="10.140625" style="163" bestFit="1" customWidth="1"/>
    <col min="5909" max="5909" width="9.7109375" style="163" customWidth="1"/>
    <col min="5910" max="5911" width="11.7109375" style="163" customWidth="1"/>
    <col min="5912" max="5913" width="11" style="163" customWidth="1"/>
    <col min="5914" max="6138" width="9.140625" style="163"/>
    <col min="6139" max="6139" width="1.140625" style="163" customWidth="1"/>
    <col min="6140" max="6140" width="14.140625" style="163" bestFit="1" customWidth="1"/>
    <col min="6141" max="6141" width="42.7109375" style="163" customWidth="1"/>
    <col min="6142" max="6142" width="0.5703125" style="163" customWidth="1"/>
    <col min="6143" max="6143" width="12.140625" style="163" customWidth="1"/>
    <col min="6144" max="6146" width="9.7109375" style="163" customWidth="1"/>
    <col min="6147" max="6147" width="11.7109375" style="163" customWidth="1"/>
    <col min="6148" max="6148" width="0.5703125" style="163" customWidth="1"/>
    <col min="6149" max="6149" width="12.140625" style="163" customWidth="1"/>
    <col min="6150" max="6150" width="12.42578125" style="163" customWidth="1"/>
    <col min="6151" max="6151" width="9.7109375" style="163" customWidth="1"/>
    <col min="6152" max="6153" width="11.7109375" style="163" customWidth="1"/>
    <col min="6154" max="6154" width="0.5703125" style="163" customWidth="1"/>
    <col min="6155" max="6155" width="12.140625" style="163" customWidth="1"/>
    <col min="6156" max="6156" width="12.42578125" style="163" customWidth="1"/>
    <col min="6157" max="6157" width="10.140625" style="163" bestFit="1" customWidth="1"/>
    <col min="6158" max="6158" width="9.7109375" style="163" customWidth="1"/>
    <col min="6159" max="6160" width="11.7109375" style="163" customWidth="1"/>
    <col min="6161" max="6161" width="0.5703125" style="163" customWidth="1"/>
    <col min="6162" max="6162" width="12.140625" style="163" customWidth="1"/>
    <col min="6163" max="6163" width="12.42578125" style="163" customWidth="1"/>
    <col min="6164" max="6164" width="10.140625" style="163" bestFit="1" customWidth="1"/>
    <col min="6165" max="6165" width="9.7109375" style="163" customWidth="1"/>
    <col min="6166" max="6167" width="11.7109375" style="163" customWidth="1"/>
    <col min="6168" max="6169" width="11" style="163" customWidth="1"/>
    <col min="6170" max="6394" width="9.140625" style="163"/>
    <col min="6395" max="6395" width="1.140625" style="163" customWidth="1"/>
    <col min="6396" max="6396" width="14.140625" style="163" bestFit="1" customWidth="1"/>
    <col min="6397" max="6397" width="42.7109375" style="163" customWidth="1"/>
    <col min="6398" max="6398" width="0.5703125" style="163" customWidth="1"/>
    <col min="6399" max="6399" width="12.140625" style="163" customWidth="1"/>
    <col min="6400" max="6402" width="9.7109375" style="163" customWidth="1"/>
    <col min="6403" max="6403" width="11.7109375" style="163" customWidth="1"/>
    <col min="6404" max="6404" width="0.5703125" style="163" customWidth="1"/>
    <col min="6405" max="6405" width="12.140625" style="163" customWidth="1"/>
    <col min="6406" max="6406" width="12.42578125" style="163" customWidth="1"/>
    <col min="6407" max="6407" width="9.7109375" style="163" customWidth="1"/>
    <col min="6408" max="6409" width="11.7109375" style="163" customWidth="1"/>
    <col min="6410" max="6410" width="0.5703125" style="163" customWidth="1"/>
    <col min="6411" max="6411" width="12.140625" style="163" customWidth="1"/>
    <col min="6412" max="6412" width="12.42578125" style="163" customWidth="1"/>
    <col min="6413" max="6413" width="10.140625" style="163" bestFit="1" customWidth="1"/>
    <col min="6414" max="6414" width="9.7109375" style="163" customWidth="1"/>
    <col min="6415" max="6416" width="11.7109375" style="163" customWidth="1"/>
    <col min="6417" max="6417" width="0.5703125" style="163" customWidth="1"/>
    <col min="6418" max="6418" width="12.140625" style="163" customWidth="1"/>
    <col min="6419" max="6419" width="12.42578125" style="163" customWidth="1"/>
    <col min="6420" max="6420" width="10.140625" style="163" bestFit="1" customWidth="1"/>
    <col min="6421" max="6421" width="9.7109375" style="163" customWidth="1"/>
    <col min="6422" max="6423" width="11.7109375" style="163" customWidth="1"/>
    <col min="6424" max="6425" width="11" style="163" customWidth="1"/>
    <col min="6426" max="6650" width="9.140625" style="163"/>
    <col min="6651" max="6651" width="1.140625" style="163" customWidth="1"/>
    <col min="6652" max="6652" width="14.140625" style="163" bestFit="1" customWidth="1"/>
    <col min="6653" max="6653" width="42.7109375" style="163" customWidth="1"/>
    <col min="6654" max="6654" width="0.5703125" style="163" customWidth="1"/>
    <col min="6655" max="6655" width="12.140625" style="163" customWidth="1"/>
    <col min="6656" max="6658" width="9.7109375" style="163" customWidth="1"/>
    <col min="6659" max="6659" width="11.7109375" style="163" customWidth="1"/>
    <col min="6660" max="6660" width="0.5703125" style="163" customWidth="1"/>
    <col min="6661" max="6661" width="12.140625" style="163" customWidth="1"/>
    <col min="6662" max="6662" width="12.42578125" style="163" customWidth="1"/>
    <col min="6663" max="6663" width="9.7109375" style="163" customWidth="1"/>
    <col min="6664" max="6665" width="11.7109375" style="163" customWidth="1"/>
    <col min="6666" max="6666" width="0.5703125" style="163" customWidth="1"/>
    <col min="6667" max="6667" width="12.140625" style="163" customWidth="1"/>
    <col min="6668" max="6668" width="12.42578125" style="163" customWidth="1"/>
    <col min="6669" max="6669" width="10.140625" style="163" bestFit="1" customWidth="1"/>
    <col min="6670" max="6670" width="9.7109375" style="163" customWidth="1"/>
    <col min="6671" max="6672" width="11.7109375" style="163" customWidth="1"/>
    <col min="6673" max="6673" width="0.5703125" style="163" customWidth="1"/>
    <col min="6674" max="6674" width="12.140625" style="163" customWidth="1"/>
    <col min="6675" max="6675" width="12.42578125" style="163" customWidth="1"/>
    <col min="6676" max="6676" width="10.140625" style="163" bestFit="1" customWidth="1"/>
    <col min="6677" max="6677" width="9.7109375" style="163" customWidth="1"/>
    <col min="6678" max="6679" width="11.7109375" style="163" customWidth="1"/>
    <col min="6680" max="6681" width="11" style="163" customWidth="1"/>
    <col min="6682" max="6906" width="9.140625" style="163"/>
    <col min="6907" max="6907" width="1.140625" style="163" customWidth="1"/>
    <col min="6908" max="6908" width="14.140625" style="163" bestFit="1" customWidth="1"/>
    <col min="6909" max="6909" width="42.7109375" style="163" customWidth="1"/>
    <col min="6910" max="6910" width="0.5703125" style="163" customWidth="1"/>
    <col min="6911" max="6911" width="12.140625" style="163" customWidth="1"/>
    <col min="6912" max="6914" width="9.7109375" style="163" customWidth="1"/>
    <col min="6915" max="6915" width="11.7109375" style="163" customWidth="1"/>
    <col min="6916" max="6916" width="0.5703125" style="163" customWidth="1"/>
    <col min="6917" max="6917" width="12.140625" style="163" customWidth="1"/>
    <col min="6918" max="6918" width="12.42578125" style="163" customWidth="1"/>
    <col min="6919" max="6919" width="9.7109375" style="163" customWidth="1"/>
    <col min="6920" max="6921" width="11.7109375" style="163" customWidth="1"/>
    <col min="6922" max="6922" width="0.5703125" style="163" customWidth="1"/>
    <col min="6923" max="6923" width="12.140625" style="163" customWidth="1"/>
    <col min="6924" max="6924" width="12.42578125" style="163" customWidth="1"/>
    <col min="6925" max="6925" width="10.140625" style="163" bestFit="1" customWidth="1"/>
    <col min="6926" max="6926" width="9.7109375" style="163" customWidth="1"/>
    <col min="6927" max="6928" width="11.7109375" style="163" customWidth="1"/>
    <col min="6929" max="6929" width="0.5703125" style="163" customWidth="1"/>
    <col min="6930" max="6930" width="12.140625" style="163" customWidth="1"/>
    <col min="6931" max="6931" width="12.42578125" style="163" customWidth="1"/>
    <col min="6932" max="6932" width="10.140625" style="163" bestFit="1" customWidth="1"/>
    <col min="6933" max="6933" width="9.7109375" style="163" customWidth="1"/>
    <col min="6934" max="6935" width="11.7109375" style="163" customWidth="1"/>
    <col min="6936" max="6937" width="11" style="163" customWidth="1"/>
    <col min="6938" max="7162" width="9.140625" style="163"/>
    <col min="7163" max="7163" width="1.140625" style="163" customWidth="1"/>
    <col min="7164" max="7164" width="14.140625" style="163" bestFit="1" customWidth="1"/>
    <col min="7165" max="7165" width="42.7109375" style="163" customWidth="1"/>
    <col min="7166" max="7166" width="0.5703125" style="163" customWidth="1"/>
    <col min="7167" max="7167" width="12.140625" style="163" customWidth="1"/>
    <col min="7168" max="7170" width="9.7109375" style="163" customWidth="1"/>
    <col min="7171" max="7171" width="11.7109375" style="163" customWidth="1"/>
    <col min="7172" max="7172" width="0.5703125" style="163" customWidth="1"/>
    <col min="7173" max="7173" width="12.140625" style="163" customWidth="1"/>
    <col min="7174" max="7174" width="12.42578125" style="163" customWidth="1"/>
    <col min="7175" max="7175" width="9.7109375" style="163" customWidth="1"/>
    <col min="7176" max="7177" width="11.7109375" style="163" customWidth="1"/>
    <col min="7178" max="7178" width="0.5703125" style="163" customWidth="1"/>
    <col min="7179" max="7179" width="12.140625" style="163" customWidth="1"/>
    <col min="7180" max="7180" width="12.42578125" style="163" customWidth="1"/>
    <col min="7181" max="7181" width="10.140625" style="163" bestFit="1" customWidth="1"/>
    <col min="7182" max="7182" width="9.7109375" style="163" customWidth="1"/>
    <col min="7183" max="7184" width="11.7109375" style="163" customWidth="1"/>
    <col min="7185" max="7185" width="0.5703125" style="163" customWidth="1"/>
    <col min="7186" max="7186" width="12.140625" style="163" customWidth="1"/>
    <col min="7187" max="7187" width="12.42578125" style="163" customWidth="1"/>
    <col min="7188" max="7188" width="10.140625" style="163" bestFit="1" customWidth="1"/>
    <col min="7189" max="7189" width="9.7109375" style="163" customWidth="1"/>
    <col min="7190" max="7191" width="11.7109375" style="163" customWidth="1"/>
    <col min="7192" max="7193" width="11" style="163" customWidth="1"/>
    <col min="7194" max="7418" width="9.140625" style="163"/>
    <col min="7419" max="7419" width="1.140625" style="163" customWidth="1"/>
    <col min="7420" max="7420" width="14.140625" style="163" bestFit="1" customWidth="1"/>
    <col min="7421" max="7421" width="42.7109375" style="163" customWidth="1"/>
    <col min="7422" max="7422" width="0.5703125" style="163" customWidth="1"/>
    <col min="7423" max="7423" width="12.140625" style="163" customWidth="1"/>
    <col min="7424" max="7426" width="9.7109375" style="163" customWidth="1"/>
    <col min="7427" max="7427" width="11.7109375" style="163" customWidth="1"/>
    <col min="7428" max="7428" width="0.5703125" style="163" customWidth="1"/>
    <col min="7429" max="7429" width="12.140625" style="163" customWidth="1"/>
    <col min="7430" max="7430" width="12.42578125" style="163" customWidth="1"/>
    <col min="7431" max="7431" width="9.7109375" style="163" customWidth="1"/>
    <col min="7432" max="7433" width="11.7109375" style="163" customWidth="1"/>
    <col min="7434" max="7434" width="0.5703125" style="163" customWidth="1"/>
    <col min="7435" max="7435" width="12.140625" style="163" customWidth="1"/>
    <col min="7436" max="7436" width="12.42578125" style="163" customWidth="1"/>
    <col min="7437" max="7437" width="10.140625" style="163" bestFit="1" customWidth="1"/>
    <col min="7438" max="7438" width="9.7109375" style="163" customWidth="1"/>
    <col min="7439" max="7440" width="11.7109375" style="163" customWidth="1"/>
    <col min="7441" max="7441" width="0.5703125" style="163" customWidth="1"/>
    <col min="7442" max="7442" width="12.140625" style="163" customWidth="1"/>
    <col min="7443" max="7443" width="12.42578125" style="163" customWidth="1"/>
    <col min="7444" max="7444" width="10.140625" style="163" bestFit="1" customWidth="1"/>
    <col min="7445" max="7445" width="9.7109375" style="163" customWidth="1"/>
    <col min="7446" max="7447" width="11.7109375" style="163" customWidth="1"/>
    <col min="7448" max="7449" width="11" style="163" customWidth="1"/>
    <col min="7450" max="7674" width="9.140625" style="163"/>
    <col min="7675" max="7675" width="1.140625" style="163" customWidth="1"/>
    <col min="7676" max="7676" width="14.140625" style="163" bestFit="1" customWidth="1"/>
    <col min="7677" max="7677" width="42.7109375" style="163" customWidth="1"/>
    <col min="7678" max="7678" width="0.5703125" style="163" customWidth="1"/>
    <col min="7679" max="7679" width="12.140625" style="163" customWidth="1"/>
    <col min="7680" max="7682" width="9.7109375" style="163" customWidth="1"/>
    <col min="7683" max="7683" width="11.7109375" style="163" customWidth="1"/>
    <col min="7684" max="7684" width="0.5703125" style="163" customWidth="1"/>
    <col min="7685" max="7685" width="12.140625" style="163" customWidth="1"/>
    <col min="7686" max="7686" width="12.42578125" style="163" customWidth="1"/>
    <col min="7687" max="7687" width="9.7109375" style="163" customWidth="1"/>
    <col min="7688" max="7689" width="11.7109375" style="163" customWidth="1"/>
    <col min="7690" max="7690" width="0.5703125" style="163" customWidth="1"/>
    <col min="7691" max="7691" width="12.140625" style="163" customWidth="1"/>
    <col min="7692" max="7692" width="12.42578125" style="163" customWidth="1"/>
    <col min="7693" max="7693" width="10.140625" style="163" bestFit="1" customWidth="1"/>
    <col min="7694" max="7694" width="9.7109375" style="163" customWidth="1"/>
    <col min="7695" max="7696" width="11.7109375" style="163" customWidth="1"/>
    <col min="7697" max="7697" width="0.5703125" style="163" customWidth="1"/>
    <col min="7698" max="7698" width="12.140625" style="163" customWidth="1"/>
    <col min="7699" max="7699" width="12.42578125" style="163" customWidth="1"/>
    <col min="7700" max="7700" width="10.140625" style="163" bestFit="1" customWidth="1"/>
    <col min="7701" max="7701" width="9.7109375" style="163" customWidth="1"/>
    <col min="7702" max="7703" width="11.7109375" style="163" customWidth="1"/>
    <col min="7704" max="7705" width="11" style="163" customWidth="1"/>
    <col min="7706" max="7930" width="9.140625" style="163"/>
    <col min="7931" max="7931" width="1.140625" style="163" customWidth="1"/>
    <col min="7932" max="7932" width="14.140625" style="163" bestFit="1" customWidth="1"/>
    <col min="7933" max="7933" width="42.7109375" style="163" customWidth="1"/>
    <col min="7934" max="7934" width="0.5703125" style="163" customWidth="1"/>
    <col min="7935" max="7935" width="12.140625" style="163" customWidth="1"/>
    <col min="7936" max="7938" width="9.7109375" style="163" customWidth="1"/>
    <col min="7939" max="7939" width="11.7109375" style="163" customWidth="1"/>
    <col min="7940" max="7940" width="0.5703125" style="163" customWidth="1"/>
    <col min="7941" max="7941" width="12.140625" style="163" customWidth="1"/>
    <col min="7942" max="7942" width="12.42578125" style="163" customWidth="1"/>
    <col min="7943" max="7943" width="9.7109375" style="163" customWidth="1"/>
    <col min="7944" max="7945" width="11.7109375" style="163" customWidth="1"/>
    <col min="7946" max="7946" width="0.5703125" style="163" customWidth="1"/>
    <col min="7947" max="7947" width="12.140625" style="163" customWidth="1"/>
    <col min="7948" max="7948" width="12.42578125" style="163" customWidth="1"/>
    <col min="7949" max="7949" width="10.140625" style="163" bestFit="1" customWidth="1"/>
    <col min="7950" max="7950" width="9.7109375" style="163" customWidth="1"/>
    <col min="7951" max="7952" width="11.7109375" style="163" customWidth="1"/>
    <col min="7953" max="7953" width="0.5703125" style="163" customWidth="1"/>
    <col min="7954" max="7954" width="12.140625" style="163" customWidth="1"/>
    <col min="7955" max="7955" width="12.42578125" style="163" customWidth="1"/>
    <col min="7956" max="7956" width="10.140625" style="163" bestFit="1" customWidth="1"/>
    <col min="7957" max="7957" width="9.7109375" style="163" customWidth="1"/>
    <col min="7958" max="7959" width="11.7109375" style="163" customWidth="1"/>
    <col min="7960" max="7961" width="11" style="163" customWidth="1"/>
    <col min="7962" max="8186" width="9.140625" style="163"/>
    <col min="8187" max="8187" width="1.140625" style="163" customWidth="1"/>
    <col min="8188" max="8188" width="14.140625" style="163" bestFit="1" customWidth="1"/>
    <col min="8189" max="8189" width="42.7109375" style="163" customWidth="1"/>
    <col min="8190" max="8190" width="0.5703125" style="163" customWidth="1"/>
    <col min="8191" max="8191" width="12.140625" style="163" customWidth="1"/>
    <col min="8192" max="8194" width="9.7109375" style="163" customWidth="1"/>
    <col min="8195" max="8195" width="11.7109375" style="163" customWidth="1"/>
    <col min="8196" max="8196" width="0.5703125" style="163" customWidth="1"/>
    <col min="8197" max="8197" width="12.140625" style="163" customWidth="1"/>
    <col min="8198" max="8198" width="12.42578125" style="163" customWidth="1"/>
    <col min="8199" max="8199" width="9.7109375" style="163" customWidth="1"/>
    <col min="8200" max="8201" width="11.7109375" style="163" customWidth="1"/>
    <col min="8202" max="8202" width="0.5703125" style="163" customWidth="1"/>
    <col min="8203" max="8203" width="12.140625" style="163" customWidth="1"/>
    <col min="8204" max="8204" width="12.42578125" style="163" customWidth="1"/>
    <col min="8205" max="8205" width="10.140625" style="163" bestFit="1" customWidth="1"/>
    <col min="8206" max="8206" width="9.7109375" style="163" customWidth="1"/>
    <col min="8207" max="8208" width="11.7109375" style="163" customWidth="1"/>
    <col min="8209" max="8209" width="0.5703125" style="163" customWidth="1"/>
    <col min="8210" max="8210" width="12.140625" style="163" customWidth="1"/>
    <col min="8211" max="8211" width="12.42578125" style="163" customWidth="1"/>
    <col min="8212" max="8212" width="10.140625" style="163" bestFit="1" customWidth="1"/>
    <col min="8213" max="8213" width="9.7109375" style="163" customWidth="1"/>
    <col min="8214" max="8215" width="11.7109375" style="163" customWidth="1"/>
    <col min="8216" max="8217" width="11" style="163" customWidth="1"/>
    <col min="8218" max="8442" width="9.140625" style="163"/>
    <col min="8443" max="8443" width="1.140625" style="163" customWidth="1"/>
    <col min="8444" max="8444" width="14.140625" style="163" bestFit="1" customWidth="1"/>
    <col min="8445" max="8445" width="42.7109375" style="163" customWidth="1"/>
    <col min="8446" max="8446" width="0.5703125" style="163" customWidth="1"/>
    <col min="8447" max="8447" width="12.140625" style="163" customWidth="1"/>
    <col min="8448" max="8450" width="9.7109375" style="163" customWidth="1"/>
    <col min="8451" max="8451" width="11.7109375" style="163" customWidth="1"/>
    <col min="8452" max="8452" width="0.5703125" style="163" customWidth="1"/>
    <col min="8453" max="8453" width="12.140625" style="163" customWidth="1"/>
    <col min="8454" max="8454" width="12.42578125" style="163" customWidth="1"/>
    <col min="8455" max="8455" width="9.7109375" style="163" customWidth="1"/>
    <col min="8456" max="8457" width="11.7109375" style="163" customWidth="1"/>
    <col min="8458" max="8458" width="0.5703125" style="163" customWidth="1"/>
    <col min="8459" max="8459" width="12.140625" style="163" customWidth="1"/>
    <col min="8460" max="8460" width="12.42578125" style="163" customWidth="1"/>
    <col min="8461" max="8461" width="10.140625" style="163" bestFit="1" customWidth="1"/>
    <col min="8462" max="8462" width="9.7109375" style="163" customWidth="1"/>
    <col min="8463" max="8464" width="11.7109375" style="163" customWidth="1"/>
    <col min="8465" max="8465" width="0.5703125" style="163" customWidth="1"/>
    <col min="8466" max="8466" width="12.140625" style="163" customWidth="1"/>
    <col min="8467" max="8467" width="12.42578125" style="163" customWidth="1"/>
    <col min="8468" max="8468" width="10.140625" style="163" bestFit="1" customWidth="1"/>
    <col min="8469" max="8469" width="9.7109375" style="163" customWidth="1"/>
    <col min="8470" max="8471" width="11.7109375" style="163" customWidth="1"/>
    <col min="8472" max="8473" width="11" style="163" customWidth="1"/>
    <col min="8474" max="8698" width="9.140625" style="163"/>
    <col min="8699" max="8699" width="1.140625" style="163" customWidth="1"/>
    <col min="8700" max="8700" width="14.140625" style="163" bestFit="1" customWidth="1"/>
    <col min="8701" max="8701" width="42.7109375" style="163" customWidth="1"/>
    <col min="8702" max="8702" width="0.5703125" style="163" customWidth="1"/>
    <col min="8703" max="8703" width="12.140625" style="163" customWidth="1"/>
    <col min="8704" max="8706" width="9.7109375" style="163" customWidth="1"/>
    <col min="8707" max="8707" width="11.7109375" style="163" customWidth="1"/>
    <col min="8708" max="8708" width="0.5703125" style="163" customWidth="1"/>
    <col min="8709" max="8709" width="12.140625" style="163" customWidth="1"/>
    <col min="8710" max="8710" width="12.42578125" style="163" customWidth="1"/>
    <col min="8711" max="8711" width="9.7109375" style="163" customWidth="1"/>
    <col min="8712" max="8713" width="11.7109375" style="163" customWidth="1"/>
    <col min="8714" max="8714" width="0.5703125" style="163" customWidth="1"/>
    <col min="8715" max="8715" width="12.140625" style="163" customWidth="1"/>
    <col min="8716" max="8716" width="12.42578125" style="163" customWidth="1"/>
    <col min="8717" max="8717" width="10.140625" style="163" bestFit="1" customWidth="1"/>
    <col min="8718" max="8718" width="9.7109375" style="163" customWidth="1"/>
    <col min="8719" max="8720" width="11.7109375" style="163" customWidth="1"/>
    <col min="8721" max="8721" width="0.5703125" style="163" customWidth="1"/>
    <col min="8722" max="8722" width="12.140625" style="163" customWidth="1"/>
    <col min="8723" max="8723" width="12.42578125" style="163" customWidth="1"/>
    <col min="8724" max="8724" width="10.140625" style="163" bestFit="1" customWidth="1"/>
    <col min="8725" max="8725" width="9.7109375" style="163" customWidth="1"/>
    <col min="8726" max="8727" width="11.7109375" style="163" customWidth="1"/>
    <col min="8728" max="8729" width="11" style="163" customWidth="1"/>
    <col min="8730" max="8954" width="9.140625" style="163"/>
    <col min="8955" max="8955" width="1.140625" style="163" customWidth="1"/>
    <col min="8956" max="8956" width="14.140625" style="163" bestFit="1" customWidth="1"/>
    <col min="8957" max="8957" width="42.7109375" style="163" customWidth="1"/>
    <col min="8958" max="8958" width="0.5703125" style="163" customWidth="1"/>
    <col min="8959" max="8959" width="12.140625" style="163" customWidth="1"/>
    <col min="8960" max="8962" width="9.7109375" style="163" customWidth="1"/>
    <col min="8963" max="8963" width="11.7109375" style="163" customWidth="1"/>
    <col min="8964" max="8964" width="0.5703125" style="163" customWidth="1"/>
    <col min="8965" max="8965" width="12.140625" style="163" customWidth="1"/>
    <col min="8966" max="8966" width="12.42578125" style="163" customWidth="1"/>
    <col min="8967" max="8967" width="9.7109375" style="163" customWidth="1"/>
    <col min="8968" max="8969" width="11.7109375" style="163" customWidth="1"/>
    <col min="8970" max="8970" width="0.5703125" style="163" customWidth="1"/>
    <col min="8971" max="8971" width="12.140625" style="163" customWidth="1"/>
    <col min="8972" max="8972" width="12.42578125" style="163" customWidth="1"/>
    <col min="8973" max="8973" width="10.140625" style="163" bestFit="1" customWidth="1"/>
    <col min="8974" max="8974" width="9.7109375" style="163" customWidth="1"/>
    <col min="8975" max="8976" width="11.7109375" style="163" customWidth="1"/>
    <col min="8977" max="8977" width="0.5703125" style="163" customWidth="1"/>
    <col min="8978" max="8978" width="12.140625" style="163" customWidth="1"/>
    <col min="8979" max="8979" width="12.42578125" style="163" customWidth="1"/>
    <col min="8980" max="8980" width="10.140625" style="163" bestFit="1" customWidth="1"/>
    <col min="8981" max="8981" width="9.7109375" style="163" customWidth="1"/>
    <col min="8982" max="8983" width="11.7109375" style="163" customWidth="1"/>
    <col min="8984" max="8985" width="11" style="163" customWidth="1"/>
    <col min="8986" max="9210" width="9.140625" style="163"/>
    <col min="9211" max="9211" width="1.140625" style="163" customWidth="1"/>
    <col min="9212" max="9212" width="14.140625" style="163" bestFit="1" customWidth="1"/>
    <col min="9213" max="9213" width="42.7109375" style="163" customWidth="1"/>
    <col min="9214" max="9214" width="0.5703125" style="163" customWidth="1"/>
    <col min="9215" max="9215" width="12.140625" style="163" customWidth="1"/>
    <col min="9216" max="9218" width="9.7109375" style="163" customWidth="1"/>
    <col min="9219" max="9219" width="11.7109375" style="163" customWidth="1"/>
    <col min="9220" max="9220" width="0.5703125" style="163" customWidth="1"/>
    <col min="9221" max="9221" width="12.140625" style="163" customWidth="1"/>
    <col min="9222" max="9222" width="12.42578125" style="163" customWidth="1"/>
    <col min="9223" max="9223" width="9.7109375" style="163" customWidth="1"/>
    <col min="9224" max="9225" width="11.7109375" style="163" customWidth="1"/>
    <col min="9226" max="9226" width="0.5703125" style="163" customWidth="1"/>
    <col min="9227" max="9227" width="12.140625" style="163" customWidth="1"/>
    <col min="9228" max="9228" width="12.42578125" style="163" customWidth="1"/>
    <col min="9229" max="9229" width="10.140625" style="163" bestFit="1" customWidth="1"/>
    <col min="9230" max="9230" width="9.7109375" style="163" customWidth="1"/>
    <col min="9231" max="9232" width="11.7109375" style="163" customWidth="1"/>
    <col min="9233" max="9233" width="0.5703125" style="163" customWidth="1"/>
    <col min="9234" max="9234" width="12.140625" style="163" customWidth="1"/>
    <col min="9235" max="9235" width="12.42578125" style="163" customWidth="1"/>
    <col min="9236" max="9236" width="10.140625" style="163" bestFit="1" customWidth="1"/>
    <col min="9237" max="9237" width="9.7109375" style="163" customWidth="1"/>
    <col min="9238" max="9239" width="11.7109375" style="163" customWidth="1"/>
    <col min="9240" max="9241" width="11" style="163" customWidth="1"/>
    <col min="9242" max="9466" width="9.140625" style="163"/>
    <col min="9467" max="9467" width="1.140625" style="163" customWidth="1"/>
    <col min="9468" max="9468" width="14.140625" style="163" bestFit="1" customWidth="1"/>
    <col min="9469" max="9469" width="42.7109375" style="163" customWidth="1"/>
    <col min="9470" max="9470" width="0.5703125" style="163" customWidth="1"/>
    <col min="9471" max="9471" width="12.140625" style="163" customWidth="1"/>
    <col min="9472" max="9474" width="9.7109375" style="163" customWidth="1"/>
    <col min="9475" max="9475" width="11.7109375" style="163" customWidth="1"/>
    <col min="9476" max="9476" width="0.5703125" style="163" customWidth="1"/>
    <col min="9477" max="9477" width="12.140625" style="163" customWidth="1"/>
    <col min="9478" max="9478" width="12.42578125" style="163" customWidth="1"/>
    <col min="9479" max="9479" width="9.7109375" style="163" customWidth="1"/>
    <col min="9480" max="9481" width="11.7109375" style="163" customWidth="1"/>
    <col min="9482" max="9482" width="0.5703125" style="163" customWidth="1"/>
    <col min="9483" max="9483" width="12.140625" style="163" customWidth="1"/>
    <col min="9484" max="9484" width="12.42578125" style="163" customWidth="1"/>
    <col min="9485" max="9485" width="10.140625" style="163" bestFit="1" customWidth="1"/>
    <col min="9486" max="9486" width="9.7109375" style="163" customWidth="1"/>
    <col min="9487" max="9488" width="11.7109375" style="163" customWidth="1"/>
    <col min="9489" max="9489" width="0.5703125" style="163" customWidth="1"/>
    <col min="9490" max="9490" width="12.140625" style="163" customWidth="1"/>
    <col min="9491" max="9491" width="12.42578125" style="163" customWidth="1"/>
    <col min="9492" max="9492" width="10.140625" style="163" bestFit="1" customWidth="1"/>
    <col min="9493" max="9493" width="9.7109375" style="163" customWidth="1"/>
    <col min="9494" max="9495" width="11.7109375" style="163" customWidth="1"/>
    <col min="9496" max="9497" width="11" style="163" customWidth="1"/>
    <col min="9498" max="9722" width="9.140625" style="163"/>
    <col min="9723" max="9723" width="1.140625" style="163" customWidth="1"/>
    <col min="9724" max="9724" width="14.140625" style="163" bestFit="1" customWidth="1"/>
    <col min="9725" max="9725" width="42.7109375" style="163" customWidth="1"/>
    <col min="9726" max="9726" width="0.5703125" style="163" customWidth="1"/>
    <col min="9727" max="9727" width="12.140625" style="163" customWidth="1"/>
    <col min="9728" max="9730" width="9.7109375" style="163" customWidth="1"/>
    <col min="9731" max="9731" width="11.7109375" style="163" customWidth="1"/>
    <col min="9732" max="9732" width="0.5703125" style="163" customWidth="1"/>
    <col min="9733" max="9733" width="12.140625" style="163" customWidth="1"/>
    <col min="9734" max="9734" width="12.42578125" style="163" customWidth="1"/>
    <col min="9735" max="9735" width="9.7109375" style="163" customWidth="1"/>
    <col min="9736" max="9737" width="11.7109375" style="163" customWidth="1"/>
    <col min="9738" max="9738" width="0.5703125" style="163" customWidth="1"/>
    <col min="9739" max="9739" width="12.140625" style="163" customWidth="1"/>
    <col min="9740" max="9740" width="12.42578125" style="163" customWidth="1"/>
    <col min="9741" max="9741" width="10.140625" style="163" bestFit="1" customWidth="1"/>
    <col min="9742" max="9742" width="9.7109375" style="163" customWidth="1"/>
    <col min="9743" max="9744" width="11.7109375" style="163" customWidth="1"/>
    <col min="9745" max="9745" width="0.5703125" style="163" customWidth="1"/>
    <col min="9746" max="9746" width="12.140625" style="163" customWidth="1"/>
    <col min="9747" max="9747" width="12.42578125" style="163" customWidth="1"/>
    <col min="9748" max="9748" width="10.140625" style="163" bestFit="1" customWidth="1"/>
    <col min="9749" max="9749" width="9.7109375" style="163" customWidth="1"/>
    <col min="9750" max="9751" width="11.7109375" style="163" customWidth="1"/>
    <col min="9752" max="9753" width="11" style="163" customWidth="1"/>
    <col min="9754" max="9978" width="9.140625" style="163"/>
    <col min="9979" max="9979" width="1.140625" style="163" customWidth="1"/>
    <col min="9980" max="9980" width="14.140625" style="163" bestFit="1" customWidth="1"/>
    <col min="9981" max="9981" width="42.7109375" style="163" customWidth="1"/>
    <col min="9982" max="9982" width="0.5703125" style="163" customWidth="1"/>
    <col min="9983" max="9983" width="12.140625" style="163" customWidth="1"/>
    <col min="9984" max="9986" width="9.7109375" style="163" customWidth="1"/>
    <col min="9987" max="9987" width="11.7109375" style="163" customWidth="1"/>
    <col min="9988" max="9988" width="0.5703125" style="163" customWidth="1"/>
    <col min="9989" max="9989" width="12.140625" style="163" customWidth="1"/>
    <col min="9990" max="9990" width="12.42578125" style="163" customWidth="1"/>
    <col min="9991" max="9991" width="9.7109375" style="163" customWidth="1"/>
    <col min="9992" max="9993" width="11.7109375" style="163" customWidth="1"/>
    <col min="9994" max="9994" width="0.5703125" style="163" customWidth="1"/>
    <col min="9995" max="9995" width="12.140625" style="163" customWidth="1"/>
    <col min="9996" max="9996" width="12.42578125" style="163" customWidth="1"/>
    <col min="9997" max="9997" width="10.140625" style="163" bestFit="1" customWidth="1"/>
    <col min="9998" max="9998" width="9.7109375" style="163" customWidth="1"/>
    <col min="9999" max="10000" width="11.7109375" style="163" customWidth="1"/>
    <col min="10001" max="10001" width="0.5703125" style="163" customWidth="1"/>
    <col min="10002" max="10002" width="12.140625" style="163" customWidth="1"/>
    <col min="10003" max="10003" width="12.42578125" style="163" customWidth="1"/>
    <col min="10004" max="10004" width="10.140625" style="163" bestFit="1" customWidth="1"/>
    <col min="10005" max="10005" width="9.7109375" style="163" customWidth="1"/>
    <col min="10006" max="10007" width="11.7109375" style="163" customWidth="1"/>
    <col min="10008" max="10009" width="11" style="163" customWidth="1"/>
    <col min="10010" max="10234" width="9.140625" style="163"/>
    <col min="10235" max="10235" width="1.140625" style="163" customWidth="1"/>
    <col min="10236" max="10236" width="14.140625" style="163" bestFit="1" customWidth="1"/>
    <col min="10237" max="10237" width="42.7109375" style="163" customWidth="1"/>
    <col min="10238" max="10238" width="0.5703125" style="163" customWidth="1"/>
    <col min="10239" max="10239" width="12.140625" style="163" customWidth="1"/>
    <col min="10240" max="10242" width="9.7109375" style="163" customWidth="1"/>
    <col min="10243" max="10243" width="11.7109375" style="163" customWidth="1"/>
    <col min="10244" max="10244" width="0.5703125" style="163" customWidth="1"/>
    <col min="10245" max="10245" width="12.140625" style="163" customWidth="1"/>
    <col min="10246" max="10246" width="12.42578125" style="163" customWidth="1"/>
    <col min="10247" max="10247" width="9.7109375" style="163" customWidth="1"/>
    <col min="10248" max="10249" width="11.7109375" style="163" customWidth="1"/>
    <col min="10250" max="10250" width="0.5703125" style="163" customWidth="1"/>
    <col min="10251" max="10251" width="12.140625" style="163" customWidth="1"/>
    <col min="10252" max="10252" width="12.42578125" style="163" customWidth="1"/>
    <col min="10253" max="10253" width="10.140625" style="163" bestFit="1" customWidth="1"/>
    <col min="10254" max="10254" width="9.7109375" style="163" customWidth="1"/>
    <col min="10255" max="10256" width="11.7109375" style="163" customWidth="1"/>
    <col min="10257" max="10257" width="0.5703125" style="163" customWidth="1"/>
    <col min="10258" max="10258" width="12.140625" style="163" customWidth="1"/>
    <col min="10259" max="10259" width="12.42578125" style="163" customWidth="1"/>
    <col min="10260" max="10260" width="10.140625" style="163" bestFit="1" customWidth="1"/>
    <col min="10261" max="10261" width="9.7109375" style="163" customWidth="1"/>
    <col min="10262" max="10263" width="11.7109375" style="163" customWidth="1"/>
    <col min="10264" max="10265" width="11" style="163" customWidth="1"/>
    <col min="10266" max="10490" width="9.140625" style="163"/>
    <col min="10491" max="10491" width="1.140625" style="163" customWidth="1"/>
    <col min="10492" max="10492" width="14.140625" style="163" bestFit="1" customWidth="1"/>
    <col min="10493" max="10493" width="42.7109375" style="163" customWidth="1"/>
    <col min="10494" max="10494" width="0.5703125" style="163" customWidth="1"/>
    <col min="10495" max="10495" width="12.140625" style="163" customWidth="1"/>
    <col min="10496" max="10498" width="9.7109375" style="163" customWidth="1"/>
    <col min="10499" max="10499" width="11.7109375" style="163" customWidth="1"/>
    <col min="10500" max="10500" width="0.5703125" style="163" customWidth="1"/>
    <col min="10501" max="10501" width="12.140625" style="163" customWidth="1"/>
    <col min="10502" max="10502" width="12.42578125" style="163" customWidth="1"/>
    <col min="10503" max="10503" width="9.7109375" style="163" customWidth="1"/>
    <col min="10504" max="10505" width="11.7109375" style="163" customWidth="1"/>
    <col min="10506" max="10506" width="0.5703125" style="163" customWidth="1"/>
    <col min="10507" max="10507" width="12.140625" style="163" customWidth="1"/>
    <col min="10508" max="10508" width="12.42578125" style="163" customWidth="1"/>
    <col min="10509" max="10509" width="10.140625" style="163" bestFit="1" customWidth="1"/>
    <col min="10510" max="10510" width="9.7109375" style="163" customWidth="1"/>
    <col min="10511" max="10512" width="11.7109375" style="163" customWidth="1"/>
    <col min="10513" max="10513" width="0.5703125" style="163" customWidth="1"/>
    <col min="10514" max="10514" width="12.140625" style="163" customWidth="1"/>
    <col min="10515" max="10515" width="12.42578125" style="163" customWidth="1"/>
    <col min="10516" max="10516" width="10.140625" style="163" bestFit="1" customWidth="1"/>
    <col min="10517" max="10517" width="9.7109375" style="163" customWidth="1"/>
    <col min="10518" max="10519" width="11.7109375" style="163" customWidth="1"/>
    <col min="10520" max="10521" width="11" style="163" customWidth="1"/>
    <col min="10522" max="10746" width="9.140625" style="163"/>
    <col min="10747" max="10747" width="1.140625" style="163" customWidth="1"/>
    <col min="10748" max="10748" width="14.140625" style="163" bestFit="1" customWidth="1"/>
    <col min="10749" max="10749" width="42.7109375" style="163" customWidth="1"/>
    <col min="10750" max="10750" width="0.5703125" style="163" customWidth="1"/>
    <col min="10751" max="10751" width="12.140625" style="163" customWidth="1"/>
    <col min="10752" max="10754" width="9.7109375" style="163" customWidth="1"/>
    <col min="10755" max="10755" width="11.7109375" style="163" customWidth="1"/>
    <col min="10756" max="10756" width="0.5703125" style="163" customWidth="1"/>
    <col min="10757" max="10757" width="12.140625" style="163" customWidth="1"/>
    <col min="10758" max="10758" width="12.42578125" style="163" customWidth="1"/>
    <col min="10759" max="10759" width="9.7109375" style="163" customWidth="1"/>
    <col min="10760" max="10761" width="11.7109375" style="163" customWidth="1"/>
    <col min="10762" max="10762" width="0.5703125" style="163" customWidth="1"/>
    <col min="10763" max="10763" width="12.140625" style="163" customWidth="1"/>
    <col min="10764" max="10764" width="12.42578125" style="163" customWidth="1"/>
    <col min="10765" max="10765" width="10.140625" style="163" bestFit="1" customWidth="1"/>
    <col min="10766" max="10766" width="9.7109375" style="163" customWidth="1"/>
    <col min="10767" max="10768" width="11.7109375" style="163" customWidth="1"/>
    <col min="10769" max="10769" width="0.5703125" style="163" customWidth="1"/>
    <col min="10770" max="10770" width="12.140625" style="163" customWidth="1"/>
    <col min="10771" max="10771" width="12.42578125" style="163" customWidth="1"/>
    <col min="10772" max="10772" width="10.140625" style="163" bestFit="1" customWidth="1"/>
    <col min="10773" max="10773" width="9.7109375" style="163" customWidth="1"/>
    <col min="10774" max="10775" width="11.7109375" style="163" customWidth="1"/>
    <col min="10776" max="10777" width="11" style="163" customWidth="1"/>
    <col min="10778" max="11002" width="9.140625" style="163"/>
    <col min="11003" max="11003" width="1.140625" style="163" customWidth="1"/>
    <col min="11004" max="11004" width="14.140625" style="163" bestFit="1" customWidth="1"/>
    <col min="11005" max="11005" width="42.7109375" style="163" customWidth="1"/>
    <col min="11006" max="11006" width="0.5703125" style="163" customWidth="1"/>
    <col min="11007" max="11007" width="12.140625" style="163" customWidth="1"/>
    <col min="11008" max="11010" width="9.7109375" style="163" customWidth="1"/>
    <col min="11011" max="11011" width="11.7109375" style="163" customWidth="1"/>
    <col min="11012" max="11012" width="0.5703125" style="163" customWidth="1"/>
    <col min="11013" max="11013" width="12.140625" style="163" customWidth="1"/>
    <col min="11014" max="11014" width="12.42578125" style="163" customWidth="1"/>
    <col min="11015" max="11015" width="9.7109375" style="163" customWidth="1"/>
    <col min="11016" max="11017" width="11.7109375" style="163" customWidth="1"/>
    <col min="11018" max="11018" width="0.5703125" style="163" customWidth="1"/>
    <col min="11019" max="11019" width="12.140625" style="163" customWidth="1"/>
    <col min="11020" max="11020" width="12.42578125" style="163" customWidth="1"/>
    <col min="11021" max="11021" width="10.140625" style="163" bestFit="1" customWidth="1"/>
    <col min="11022" max="11022" width="9.7109375" style="163" customWidth="1"/>
    <col min="11023" max="11024" width="11.7109375" style="163" customWidth="1"/>
    <col min="11025" max="11025" width="0.5703125" style="163" customWidth="1"/>
    <col min="11026" max="11026" width="12.140625" style="163" customWidth="1"/>
    <col min="11027" max="11027" width="12.42578125" style="163" customWidth="1"/>
    <col min="11028" max="11028" width="10.140625" style="163" bestFit="1" customWidth="1"/>
    <col min="11029" max="11029" width="9.7109375" style="163" customWidth="1"/>
    <col min="11030" max="11031" width="11.7109375" style="163" customWidth="1"/>
    <col min="11032" max="11033" width="11" style="163" customWidth="1"/>
    <col min="11034" max="11258" width="9.140625" style="163"/>
    <col min="11259" max="11259" width="1.140625" style="163" customWidth="1"/>
    <col min="11260" max="11260" width="14.140625" style="163" bestFit="1" customWidth="1"/>
    <col min="11261" max="11261" width="42.7109375" style="163" customWidth="1"/>
    <col min="11262" max="11262" width="0.5703125" style="163" customWidth="1"/>
    <col min="11263" max="11263" width="12.140625" style="163" customWidth="1"/>
    <col min="11264" max="11266" width="9.7109375" style="163" customWidth="1"/>
    <col min="11267" max="11267" width="11.7109375" style="163" customWidth="1"/>
    <col min="11268" max="11268" width="0.5703125" style="163" customWidth="1"/>
    <col min="11269" max="11269" width="12.140625" style="163" customWidth="1"/>
    <col min="11270" max="11270" width="12.42578125" style="163" customWidth="1"/>
    <col min="11271" max="11271" width="9.7109375" style="163" customWidth="1"/>
    <col min="11272" max="11273" width="11.7109375" style="163" customWidth="1"/>
    <col min="11274" max="11274" width="0.5703125" style="163" customWidth="1"/>
    <col min="11275" max="11275" width="12.140625" style="163" customWidth="1"/>
    <col min="11276" max="11276" width="12.42578125" style="163" customWidth="1"/>
    <col min="11277" max="11277" width="10.140625" style="163" bestFit="1" customWidth="1"/>
    <col min="11278" max="11278" width="9.7109375" style="163" customWidth="1"/>
    <col min="11279" max="11280" width="11.7109375" style="163" customWidth="1"/>
    <col min="11281" max="11281" width="0.5703125" style="163" customWidth="1"/>
    <col min="11282" max="11282" width="12.140625" style="163" customWidth="1"/>
    <col min="11283" max="11283" width="12.42578125" style="163" customWidth="1"/>
    <col min="11284" max="11284" width="10.140625" style="163" bestFit="1" customWidth="1"/>
    <col min="11285" max="11285" width="9.7109375" style="163" customWidth="1"/>
    <col min="11286" max="11287" width="11.7109375" style="163" customWidth="1"/>
    <col min="11288" max="11289" width="11" style="163" customWidth="1"/>
    <col min="11290" max="11514" width="9.140625" style="163"/>
    <col min="11515" max="11515" width="1.140625" style="163" customWidth="1"/>
    <col min="11516" max="11516" width="14.140625" style="163" bestFit="1" customWidth="1"/>
    <col min="11517" max="11517" width="42.7109375" style="163" customWidth="1"/>
    <col min="11518" max="11518" width="0.5703125" style="163" customWidth="1"/>
    <col min="11519" max="11519" width="12.140625" style="163" customWidth="1"/>
    <col min="11520" max="11522" width="9.7109375" style="163" customWidth="1"/>
    <col min="11523" max="11523" width="11.7109375" style="163" customWidth="1"/>
    <col min="11524" max="11524" width="0.5703125" style="163" customWidth="1"/>
    <col min="11525" max="11525" width="12.140625" style="163" customWidth="1"/>
    <col min="11526" max="11526" width="12.42578125" style="163" customWidth="1"/>
    <col min="11527" max="11527" width="9.7109375" style="163" customWidth="1"/>
    <col min="11528" max="11529" width="11.7109375" style="163" customWidth="1"/>
    <col min="11530" max="11530" width="0.5703125" style="163" customWidth="1"/>
    <col min="11531" max="11531" width="12.140625" style="163" customWidth="1"/>
    <col min="11532" max="11532" width="12.42578125" style="163" customWidth="1"/>
    <col min="11533" max="11533" width="10.140625" style="163" bestFit="1" customWidth="1"/>
    <col min="11534" max="11534" width="9.7109375" style="163" customWidth="1"/>
    <col min="11535" max="11536" width="11.7109375" style="163" customWidth="1"/>
    <col min="11537" max="11537" width="0.5703125" style="163" customWidth="1"/>
    <col min="11538" max="11538" width="12.140625" style="163" customWidth="1"/>
    <col min="11539" max="11539" width="12.42578125" style="163" customWidth="1"/>
    <col min="11540" max="11540" width="10.140625" style="163" bestFit="1" customWidth="1"/>
    <col min="11541" max="11541" width="9.7109375" style="163" customWidth="1"/>
    <col min="11542" max="11543" width="11.7109375" style="163" customWidth="1"/>
    <col min="11544" max="11545" width="11" style="163" customWidth="1"/>
    <col min="11546" max="11770" width="9.140625" style="163"/>
    <col min="11771" max="11771" width="1.140625" style="163" customWidth="1"/>
    <col min="11772" max="11772" width="14.140625" style="163" bestFit="1" customWidth="1"/>
    <col min="11773" max="11773" width="42.7109375" style="163" customWidth="1"/>
    <col min="11774" max="11774" width="0.5703125" style="163" customWidth="1"/>
    <col min="11775" max="11775" width="12.140625" style="163" customWidth="1"/>
    <col min="11776" max="11778" width="9.7109375" style="163" customWidth="1"/>
    <col min="11779" max="11779" width="11.7109375" style="163" customWidth="1"/>
    <col min="11780" max="11780" width="0.5703125" style="163" customWidth="1"/>
    <col min="11781" max="11781" width="12.140625" style="163" customWidth="1"/>
    <col min="11782" max="11782" width="12.42578125" style="163" customWidth="1"/>
    <col min="11783" max="11783" width="9.7109375" style="163" customWidth="1"/>
    <col min="11784" max="11785" width="11.7109375" style="163" customWidth="1"/>
    <col min="11786" max="11786" width="0.5703125" style="163" customWidth="1"/>
    <col min="11787" max="11787" width="12.140625" style="163" customWidth="1"/>
    <col min="11788" max="11788" width="12.42578125" style="163" customWidth="1"/>
    <col min="11789" max="11789" width="10.140625" style="163" bestFit="1" customWidth="1"/>
    <col min="11790" max="11790" width="9.7109375" style="163" customWidth="1"/>
    <col min="11791" max="11792" width="11.7109375" style="163" customWidth="1"/>
    <col min="11793" max="11793" width="0.5703125" style="163" customWidth="1"/>
    <col min="11794" max="11794" width="12.140625" style="163" customWidth="1"/>
    <col min="11795" max="11795" width="12.42578125" style="163" customWidth="1"/>
    <col min="11796" max="11796" width="10.140625" style="163" bestFit="1" customWidth="1"/>
    <col min="11797" max="11797" width="9.7109375" style="163" customWidth="1"/>
    <col min="11798" max="11799" width="11.7109375" style="163" customWidth="1"/>
    <col min="11800" max="11801" width="11" style="163" customWidth="1"/>
    <col min="11802" max="12026" width="9.140625" style="163"/>
    <col min="12027" max="12027" width="1.140625" style="163" customWidth="1"/>
    <col min="12028" max="12028" width="14.140625" style="163" bestFit="1" customWidth="1"/>
    <col min="12029" max="12029" width="42.7109375" style="163" customWidth="1"/>
    <col min="12030" max="12030" width="0.5703125" style="163" customWidth="1"/>
    <col min="12031" max="12031" width="12.140625" style="163" customWidth="1"/>
    <col min="12032" max="12034" width="9.7109375" style="163" customWidth="1"/>
    <col min="12035" max="12035" width="11.7109375" style="163" customWidth="1"/>
    <col min="12036" max="12036" width="0.5703125" style="163" customWidth="1"/>
    <col min="12037" max="12037" width="12.140625" style="163" customWidth="1"/>
    <col min="12038" max="12038" width="12.42578125" style="163" customWidth="1"/>
    <col min="12039" max="12039" width="9.7109375" style="163" customWidth="1"/>
    <col min="12040" max="12041" width="11.7109375" style="163" customWidth="1"/>
    <col min="12042" max="12042" width="0.5703125" style="163" customWidth="1"/>
    <col min="12043" max="12043" width="12.140625" style="163" customWidth="1"/>
    <col min="12044" max="12044" width="12.42578125" style="163" customWidth="1"/>
    <col min="12045" max="12045" width="10.140625" style="163" bestFit="1" customWidth="1"/>
    <col min="12046" max="12046" width="9.7109375" style="163" customWidth="1"/>
    <col min="12047" max="12048" width="11.7109375" style="163" customWidth="1"/>
    <col min="12049" max="12049" width="0.5703125" style="163" customWidth="1"/>
    <col min="12050" max="12050" width="12.140625" style="163" customWidth="1"/>
    <col min="12051" max="12051" width="12.42578125" style="163" customWidth="1"/>
    <col min="12052" max="12052" width="10.140625" style="163" bestFit="1" customWidth="1"/>
    <col min="12053" max="12053" width="9.7109375" style="163" customWidth="1"/>
    <col min="12054" max="12055" width="11.7109375" style="163" customWidth="1"/>
    <col min="12056" max="12057" width="11" style="163" customWidth="1"/>
    <col min="12058" max="12282" width="9.140625" style="163"/>
    <col min="12283" max="12283" width="1.140625" style="163" customWidth="1"/>
    <col min="12284" max="12284" width="14.140625" style="163" bestFit="1" customWidth="1"/>
    <col min="12285" max="12285" width="42.7109375" style="163" customWidth="1"/>
    <col min="12286" max="12286" width="0.5703125" style="163" customWidth="1"/>
    <col min="12287" max="12287" width="12.140625" style="163" customWidth="1"/>
    <col min="12288" max="12290" width="9.7109375" style="163" customWidth="1"/>
    <col min="12291" max="12291" width="11.7109375" style="163" customWidth="1"/>
    <col min="12292" max="12292" width="0.5703125" style="163" customWidth="1"/>
    <col min="12293" max="12293" width="12.140625" style="163" customWidth="1"/>
    <col min="12294" max="12294" width="12.42578125" style="163" customWidth="1"/>
    <col min="12295" max="12295" width="9.7109375" style="163" customWidth="1"/>
    <col min="12296" max="12297" width="11.7109375" style="163" customWidth="1"/>
    <col min="12298" max="12298" width="0.5703125" style="163" customWidth="1"/>
    <col min="12299" max="12299" width="12.140625" style="163" customWidth="1"/>
    <col min="12300" max="12300" width="12.42578125" style="163" customWidth="1"/>
    <col min="12301" max="12301" width="10.140625" style="163" bestFit="1" customWidth="1"/>
    <col min="12302" max="12302" width="9.7109375" style="163" customWidth="1"/>
    <col min="12303" max="12304" width="11.7109375" style="163" customWidth="1"/>
    <col min="12305" max="12305" width="0.5703125" style="163" customWidth="1"/>
    <col min="12306" max="12306" width="12.140625" style="163" customWidth="1"/>
    <col min="12307" max="12307" width="12.42578125" style="163" customWidth="1"/>
    <col min="12308" max="12308" width="10.140625" style="163" bestFit="1" customWidth="1"/>
    <col min="12309" max="12309" width="9.7109375" style="163" customWidth="1"/>
    <col min="12310" max="12311" width="11.7109375" style="163" customWidth="1"/>
    <col min="12312" max="12313" width="11" style="163" customWidth="1"/>
    <col min="12314" max="12538" width="9.140625" style="163"/>
    <col min="12539" max="12539" width="1.140625" style="163" customWidth="1"/>
    <col min="12540" max="12540" width="14.140625" style="163" bestFit="1" customWidth="1"/>
    <col min="12541" max="12541" width="42.7109375" style="163" customWidth="1"/>
    <col min="12542" max="12542" width="0.5703125" style="163" customWidth="1"/>
    <col min="12543" max="12543" width="12.140625" style="163" customWidth="1"/>
    <col min="12544" max="12546" width="9.7109375" style="163" customWidth="1"/>
    <col min="12547" max="12547" width="11.7109375" style="163" customWidth="1"/>
    <col min="12548" max="12548" width="0.5703125" style="163" customWidth="1"/>
    <col min="12549" max="12549" width="12.140625" style="163" customWidth="1"/>
    <col min="12550" max="12550" width="12.42578125" style="163" customWidth="1"/>
    <col min="12551" max="12551" width="9.7109375" style="163" customWidth="1"/>
    <col min="12552" max="12553" width="11.7109375" style="163" customWidth="1"/>
    <col min="12554" max="12554" width="0.5703125" style="163" customWidth="1"/>
    <col min="12555" max="12555" width="12.140625" style="163" customWidth="1"/>
    <col min="12556" max="12556" width="12.42578125" style="163" customWidth="1"/>
    <col min="12557" max="12557" width="10.140625" style="163" bestFit="1" customWidth="1"/>
    <col min="12558" max="12558" width="9.7109375" style="163" customWidth="1"/>
    <col min="12559" max="12560" width="11.7109375" style="163" customWidth="1"/>
    <col min="12561" max="12561" width="0.5703125" style="163" customWidth="1"/>
    <col min="12562" max="12562" width="12.140625" style="163" customWidth="1"/>
    <col min="12563" max="12563" width="12.42578125" style="163" customWidth="1"/>
    <col min="12564" max="12564" width="10.140625" style="163" bestFit="1" customWidth="1"/>
    <col min="12565" max="12565" width="9.7109375" style="163" customWidth="1"/>
    <col min="12566" max="12567" width="11.7109375" style="163" customWidth="1"/>
    <col min="12568" max="12569" width="11" style="163" customWidth="1"/>
    <col min="12570" max="12794" width="9.140625" style="163"/>
    <col min="12795" max="12795" width="1.140625" style="163" customWidth="1"/>
    <col min="12796" max="12796" width="14.140625" style="163" bestFit="1" customWidth="1"/>
    <col min="12797" max="12797" width="42.7109375" style="163" customWidth="1"/>
    <col min="12798" max="12798" width="0.5703125" style="163" customWidth="1"/>
    <col min="12799" max="12799" width="12.140625" style="163" customWidth="1"/>
    <col min="12800" max="12802" width="9.7109375" style="163" customWidth="1"/>
    <col min="12803" max="12803" width="11.7109375" style="163" customWidth="1"/>
    <col min="12804" max="12804" width="0.5703125" style="163" customWidth="1"/>
    <col min="12805" max="12805" width="12.140625" style="163" customWidth="1"/>
    <col min="12806" max="12806" width="12.42578125" style="163" customWidth="1"/>
    <col min="12807" max="12807" width="9.7109375" style="163" customWidth="1"/>
    <col min="12808" max="12809" width="11.7109375" style="163" customWidth="1"/>
    <col min="12810" max="12810" width="0.5703125" style="163" customWidth="1"/>
    <col min="12811" max="12811" width="12.140625" style="163" customWidth="1"/>
    <col min="12812" max="12812" width="12.42578125" style="163" customWidth="1"/>
    <col min="12813" max="12813" width="10.140625" style="163" bestFit="1" customWidth="1"/>
    <col min="12814" max="12814" width="9.7109375" style="163" customWidth="1"/>
    <col min="12815" max="12816" width="11.7109375" style="163" customWidth="1"/>
    <col min="12817" max="12817" width="0.5703125" style="163" customWidth="1"/>
    <col min="12818" max="12818" width="12.140625" style="163" customWidth="1"/>
    <col min="12819" max="12819" width="12.42578125" style="163" customWidth="1"/>
    <col min="12820" max="12820" width="10.140625" style="163" bestFit="1" customWidth="1"/>
    <col min="12821" max="12821" width="9.7109375" style="163" customWidth="1"/>
    <col min="12822" max="12823" width="11.7109375" style="163" customWidth="1"/>
    <col min="12824" max="12825" width="11" style="163" customWidth="1"/>
    <col min="12826" max="13050" width="9.140625" style="163"/>
    <col min="13051" max="13051" width="1.140625" style="163" customWidth="1"/>
    <col min="13052" max="13052" width="14.140625" style="163" bestFit="1" customWidth="1"/>
    <col min="13053" max="13053" width="42.7109375" style="163" customWidth="1"/>
    <col min="13054" max="13054" width="0.5703125" style="163" customWidth="1"/>
    <col min="13055" max="13055" width="12.140625" style="163" customWidth="1"/>
    <col min="13056" max="13058" width="9.7109375" style="163" customWidth="1"/>
    <col min="13059" max="13059" width="11.7109375" style="163" customWidth="1"/>
    <col min="13060" max="13060" width="0.5703125" style="163" customWidth="1"/>
    <col min="13061" max="13061" width="12.140625" style="163" customWidth="1"/>
    <col min="13062" max="13062" width="12.42578125" style="163" customWidth="1"/>
    <col min="13063" max="13063" width="9.7109375" style="163" customWidth="1"/>
    <col min="13064" max="13065" width="11.7109375" style="163" customWidth="1"/>
    <col min="13066" max="13066" width="0.5703125" style="163" customWidth="1"/>
    <col min="13067" max="13067" width="12.140625" style="163" customWidth="1"/>
    <col min="13068" max="13068" width="12.42578125" style="163" customWidth="1"/>
    <col min="13069" max="13069" width="10.140625" style="163" bestFit="1" customWidth="1"/>
    <col min="13070" max="13070" width="9.7109375" style="163" customWidth="1"/>
    <col min="13071" max="13072" width="11.7109375" style="163" customWidth="1"/>
    <col min="13073" max="13073" width="0.5703125" style="163" customWidth="1"/>
    <col min="13074" max="13074" width="12.140625" style="163" customWidth="1"/>
    <col min="13075" max="13075" width="12.42578125" style="163" customWidth="1"/>
    <col min="13076" max="13076" width="10.140625" style="163" bestFit="1" customWidth="1"/>
    <col min="13077" max="13077" width="9.7109375" style="163" customWidth="1"/>
    <col min="13078" max="13079" width="11.7109375" style="163" customWidth="1"/>
    <col min="13080" max="13081" width="11" style="163" customWidth="1"/>
    <col min="13082" max="13306" width="9.140625" style="163"/>
    <col min="13307" max="13307" width="1.140625" style="163" customWidth="1"/>
    <col min="13308" max="13308" width="14.140625" style="163" bestFit="1" customWidth="1"/>
    <col min="13309" max="13309" width="42.7109375" style="163" customWidth="1"/>
    <col min="13310" max="13310" width="0.5703125" style="163" customWidth="1"/>
    <col min="13311" max="13311" width="12.140625" style="163" customWidth="1"/>
    <col min="13312" max="13314" width="9.7109375" style="163" customWidth="1"/>
    <col min="13315" max="13315" width="11.7109375" style="163" customWidth="1"/>
    <col min="13316" max="13316" width="0.5703125" style="163" customWidth="1"/>
    <col min="13317" max="13317" width="12.140625" style="163" customWidth="1"/>
    <col min="13318" max="13318" width="12.42578125" style="163" customWidth="1"/>
    <col min="13319" max="13319" width="9.7109375" style="163" customWidth="1"/>
    <col min="13320" max="13321" width="11.7109375" style="163" customWidth="1"/>
    <col min="13322" max="13322" width="0.5703125" style="163" customWidth="1"/>
    <col min="13323" max="13323" width="12.140625" style="163" customWidth="1"/>
    <col min="13324" max="13324" width="12.42578125" style="163" customWidth="1"/>
    <col min="13325" max="13325" width="10.140625" style="163" bestFit="1" customWidth="1"/>
    <col min="13326" max="13326" width="9.7109375" style="163" customWidth="1"/>
    <col min="13327" max="13328" width="11.7109375" style="163" customWidth="1"/>
    <col min="13329" max="13329" width="0.5703125" style="163" customWidth="1"/>
    <col min="13330" max="13330" width="12.140625" style="163" customWidth="1"/>
    <col min="13331" max="13331" width="12.42578125" style="163" customWidth="1"/>
    <col min="13332" max="13332" width="10.140625" style="163" bestFit="1" customWidth="1"/>
    <col min="13333" max="13333" width="9.7109375" style="163" customWidth="1"/>
    <col min="13334" max="13335" width="11.7109375" style="163" customWidth="1"/>
    <col min="13336" max="13337" width="11" style="163" customWidth="1"/>
    <col min="13338" max="13562" width="9.140625" style="163"/>
    <col min="13563" max="13563" width="1.140625" style="163" customWidth="1"/>
    <col min="13564" max="13564" width="14.140625" style="163" bestFit="1" customWidth="1"/>
    <col min="13565" max="13565" width="42.7109375" style="163" customWidth="1"/>
    <col min="13566" max="13566" width="0.5703125" style="163" customWidth="1"/>
    <col min="13567" max="13567" width="12.140625" style="163" customWidth="1"/>
    <col min="13568" max="13570" width="9.7109375" style="163" customWidth="1"/>
    <col min="13571" max="13571" width="11.7109375" style="163" customWidth="1"/>
    <col min="13572" max="13572" width="0.5703125" style="163" customWidth="1"/>
    <col min="13573" max="13573" width="12.140625" style="163" customWidth="1"/>
    <col min="13574" max="13574" width="12.42578125" style="163" customWidth="1"/>
    <col min="13575" max="13575" width="9.7109375" style="163" customWidth="1"/>
    <col min="13576" max="13577" width="11.7109375" style="163" customWidth="1"/>
    <col min="13578" max="13578" width="0.5703125" style="163" customWidth="1"/>
    <col min="13579" max="13579" width="12.140625" style="163" customWidth="1"/>
    <col min="13580" max="13580" width="12.42578125" style="163" customWidth="1"/>
    <col min="13581" max="13581" width="10.140625" style="163" bestFit="1" customWidth="1"/>
    <col min="13582" max="13582" width="9.7109375" style="163" customWidth="1"/>
    <col min="13583" max="13584" width="11.7109375" style="163" customWidth="1"/>
    <col min="13585" max="13585" width="0.5703125" style="163" customWidth="1"/>
    <col min="13586" max="13586" width="12.140625" style="163" customWidth="1"/>
    <col min="13587" max="13587" width="12.42578125" style="163" customWidth="1"/>
    <col min="13588" max="13588" width="10.140625" style="163" bestFit="1" customWidth="1"/>
    <col min="13589" max="13589" width="9.7109375" style="163" customWidth="1"/>
    <col min="13590" max="13591" width="11.7109375" style="163" customWidth="1"/>
    <col min="13592" max="13593" width="11" style="163" customWidth="1"/>
    <col min="13594" max="13818" width="9.140625" style="163"/>
    <col min="13819" max="13819" width="1.140625" style="163" customWidth="1"/>
    <col min="13820" max="13820" width="14.140625" style="163" bestFit="1" customWidth="1"/>
    <col min="13821" max="13821" width="42.7109375" style="163" customWidth="1"/>
    <col min="13822" max="13822" width="0.5703125" style="163" customWidth="1"/>
    <col min="13823" max="13823" width="12.140625" style="163" customWidth="1"/>
    <col min="13824" max="13826" width="9.7109375" style="163" customWidth="1"/>
    <col min="13827" max="13827" width="11.7109375" style="163" customWidth="1"/>
    <col min="13828" max="13828" width="0.5703125" style="163" customWidth="1"/>
    <col min="13829" max="13829" width="12.140625" style="163" customWidth="1"/>
    <col min="13830" max="13830" width="12.42578125" style="163" customWidth="1"/>
    <col min="13831" max="13831" width="9.7109375" style="163" customWidth="1"/>
    <col min="13832" max="13833" width="11.7109375" style="163" customWidth="1"/>
    <col min="13834" max="13834" width="0.5703125" style="163" customWidth="1"/>
    <col min="13835" max="13835" width="12.140625" style="163" customWidth="1"/>
    <col min="13836" max="13836" width="12.42578125" style="163" customWidth="1"/>
    <col min="13837" max="13837" width="10.140625" style="163" bestFit="1" customWidth="1"/>
    <col min="13838" max="13838" width="9.7109375" style="163" customWidth="1"/>
    <col min="13839" max="13840" width="11.7109375" style="163" customWidth="1"/>
    <col min="13841" max="13841" width="0.5703125" style="163" customWidth="1"/>
    <col min="13842" max="13842" width="12.140625" style="163" customWidth="1"/>
    <col min="13843" max="13843" width="12.42578125" style="163" customWidth="1"/>
    <col min="13844" max="13844" width="10.140625" style="163" bestFit="1" customWidth="1"/>
    <col min="13845" max="13845" width="9.7109375" style="163" customWidth="1"/>
    <col min="13846" max="13847" width="11.7109375" style="163" customWidth="1"/>
    <col min="13848" max="13849" width="11" style="163" customWidth="1"/>
    <col min="13850" max="14074" width="9.140625" style="163"/>
    <col min="14075" max="14075" width="1.140625" style="163" customWidth="1"/>
    <col min="14076" max="14076" width="14.140625" style="163" bestFit="1" customWidth="1"/>
    <col min="14077" max="14077" width="42.7109375" style="163" customWidth="1"/>
    <col min="14078" max="14078" width="0.5703125" style="163" customWidth="1"/>
    <col min="14079" max="14079" width="12.140625" style="163" customWidth="1"/>
    <col min="14080" max="14082" width="9.7109375" style="163" customWidth="1"/>
    <col min="14083" max="14083" width="11.7109375" style="163" customWidth="1"/>
    <col min="14084" max="14084" width="0.5703125" style="163" customWidth="1"/>
    <col min="14085" max="14085" width="12.140625" style="163" customWidth="1"/>
    <col min="14086" max="14086" width="12.42578125" style="163" customWidth="1"/>
    <col min="14087" max="14087" width="9.7109375" style="163" customWidth="1"/>
    <col min="14088" max="14089" width="11.7109375" style="163" customWidth="1"/>
    <col min="14090" max="14090" width="0.5703125" style="163" customWidth="1"/>
    <col min="14091" max="14091" width="12.140625" style="163" customWidth="1"/>
    <col min="14092" max="14092" width="12.42578125" style="163" customWidth="1"/>
    <col min="14093" max="14093" width="10.140625" style="163" bestFit="1" customWidth="1"/>
    <col min="14094" max="14094" width="9.7109375" style="163" customWidth="1"/>
    <col min="14095" max="14096" width="11.7109375" style="163" customWidth="1"/>
    <col min="14097" max="14097" width="0.5703125" style="163" customWidth="1"/>
    <col min="14098" max="14098" width="12.140625" style="163" customWidth="1"/>
    <col min="14099" max="14099" width="12.42578125" style="163" customWidth="1"/>
    <col min="14100" max="14100" width="10.140625" style="163" bestFit="1" customWidth="1"/>
    <col min="14101" max="14101" width="9.7109375" style="163" customWidth="1"/>
    <col min="14102" max="14103" width="11.7109375" style="163" customWidth="1"/>
    <col min="14104" max="14105" width="11" style="163" customWidth="1"/>
    <col min="14106" max="14330" width="9.140625" style="163"/>
    <col min="14331" max="14331" width="1.140625" style="163" customWidth="1"/>
    <col min="14332" max="14332" width="14.140625" style="163" bestFit="1" customWidth="1"/>
    <col min="14333" max="14333" width="42.7109375" style="163" customWidth="1"/>
    <col min="14334" max="14334" width="0.5703125" style="163" customWidth="1"/>
    <col min="14335" max="14335" width="12.140625" style="163" customWidth="1"/>
    <col min="14336" max="14338" width="9.7109375" style="163" customWidth="1"/>
    <col min="14339" max="14339" width="11.7109375" style="163" customWidth="1"/>
    <col min="14340" max="14340" width="0.5703125" style="163" customWidth="1"/>
    <col min="14341" max="14341" width="12.140625" style="163" customWidth="1"/>
    <col min="14342" max="14342" width="12.42578125" style="163" customWidth="1"/>
    <col min="14343" max="14343" width="9.7109375" style="163" customWidth="1"/>
    <col min="14344" max="14345" width="11.7109375" style="163" customWidth="1"/>
    <col min="14346" max="14346" width="0.5703125" style="163" customWidth="1"/>
    <col min="14347" max="14347" width="12.140625" style="163" customWidth="1"/>
    <col min="14348" max="14348" width="12.42578125" style="163" customWidth="1"/>
    <col min="14349" max="14349" width="10.140625" style="163" bestFit="1" customWidth="1"/>
    <col min="14350" max="14350" width="9.7109375" style="163" customWidth="1"/>
    <col min="14351" max="14352" width="11.7109375" style="163" customWidth="1"/>
    <col min="14353" max="14353" width="0.5703125" style="163" customWidth="1"/>
    <col min="14354" max="14354" width="12.140625" style="163" customWidth="1"/>
    <col min="14355" max="14355" width="12.42578125" style="163" customWidth="1"/>
    <col min="14356" max="14356" width="10.140625" style="163" bestFit="1" customWidth="1"/>
    <col min="14357" max="14357" width="9.7109375" style="163" customWidth="1"/>
    <col min="14358" max="14359" width="11.7109375" style="163" customWidth="1"/>
    <col min="14360" max="14361" width="11" style="163" customWidth="1"/>
    <col min="14362" max="14586" width="9.140625" style="163"/>
    <col min="14587" max="14587" width="1.140625" style="163" customWidth="1"/>
    <col min="14588" max="14588" width="14.140625" style="163" bestFit="1" customWidth="1"/>
    <col min="14589" max="14589" width="42.7109375" style="163" customWidth="1"/>
    <col min="14590" max="14590" width="0.5703125" style="163" customWidth="1"/>
    <col min="14591" max="14591" width="12.140625" style="163" customWidth="1"/>
    <col min="14592" max="14594" width="9.7109375" style="163" customWidth="1"/>
    <col min="14595" max="14595" width="11.7109375" style="163" customWidth="1"/>
    <col min="14596" max="14596" width="0.5703125" style="163" customWidth="1"/>
    <col min="14597" max="14597" width="12.140625" style="163" customWidth="1"/>
    <col min="14598" max="14598" width="12.42578125" style="163" customWidth="1"/>
    <col min="14599" max="14599" width="9.7109375" style="163" customWidth="1"/>
    <col min="14600" max="14601" width="11.7109375" style="163" customWidth="1"/>
    <col min="14602" max="14602" width="0.5703125" style="163" customWidth="1"/>
    <col min="14603" max="14603" width="12.140625" style="163" customWidth="1"/>
    <col min="14604" max="14604" width="12.42578125" style="163" customWidth="1"/>
    <col min="14605" max="14605" width="10.140625" style="163" bestFit="1" customWidth="1"/>
    <col min="14606" max="14606" width="9.7109375" style="163" customWidth="1"/>
    <col min="14607" max="14608" width="11.7109375" style="163" customWidth="1"/>
    <col min="14609" max="14609" width="0.5703125" style="163" customWidth="1"/>
    <col min="14610" max="14610" width="12.140625" style="163" customWidth="1"/>
    <col min="14611" max="14611" width="12.42578125" style="163" customWidth="1"/>
    <col min="14612" max="14612" width="10.140625" style="163" bestFit="1" customWidth="1"/>
    <col min="14613" max="14613" width="9.7109375" style="163" customWidth="1"/>
    <col min="14614" max="14615" width="11.7109375" style="163" customWidth="1"/>
    <col min="14616" max="14617" width="11" style="163" customWidth="1"/>
    <col min="14618" max="14842" width="9.140625" style="163"/>
    <col min="14843" max="14843" width="1.140625" style="163" customWidth="1"/>
    <col min="14844" max="14844" width="14.140625" style="163" bestFit="1" customWidth="1"/>
    <col min="14845" max="14845" width="42.7109375" style="163" customWidth="1"/>
    <col min="14846" max="14846" width="0.5703125" style="163" customWidth="1"/>
    <col min="14847" max="14847" width="12.140625" style="163" customWidth="1"/>
    <col min="14848" max="14850" width="9.7109375" style="163" customWidth="1"/>
    <col min="14851" max="14851" width="11.7109375" style="163" customWidth="1"/>
    <col min="14852" max="14852" width="0.5703125" style="163" customWidth="1"/>
    <col min="14853" max="14853" width="12.140625" style="163" customWidth="1"/>
    <col min="14854" max="14854" width="12.42578125" style="163" customWidth="1"/>
    <col min="14855" max="14855" width="9.7109375" style="163" customWidth="1"/>
    <col min="14856" max="14857" width="11.7109375" style="163" customWidth="1"/>
    <col min="14858" max="14858" width="0.5703125" style="163" customWidth="1"/>
    <col min="14859" max="14859" width="12.140625" style="163" customWidth="1"/>
    <col min="14860" max="14860" width="12.42578125" style="163" customWidth="1"/>
    <col min="14861" max="14861" width="10.140625" style="163" bestFit="1" customWidth="1"/>
    <col min="14862" max="14862" width="9.7109375" style="163" customWidth="1"/>
    <col min="14863" max="14864" width="11.7109375" style="163" customWidth="1"/>
    <col min="14865" max="14865" width="0.5703125" style="163" customWidth="1"/>
    <col min="14866" max="14866" width="12.140625" style="163" customWidth="1"/>
    <col min="14867" max="14867" width="12.42578125" style="163" customWidth="1"/>
    <col min="14868" max="14868" width="10.140625" style="163" bestFit="1" customWidth="1"/>
    <col min="14869" max="14869" width="9.7109375" style="163" customWidth="1"/>
    <col min="14870" max="14871" width="11.7109375" style="163" customWidth="1"/>
    <col min="14872" max="14873" width="11" style="163" customWidth="1"/>
    <col min="14874" max="15098" width="9.140625" style="163"/>
    <col min="15099" max="15099" width="1.140625" style="163" customWidth="1"/>
    <col min="15100" max="15100" width="14.140625" style="163" bestFit="1" customWidth="1"/>
    <col min="15101" max="15101" width="42.7109375" style="163" customWidth="1"/>
    <col min="15102" max="15102" width="0.5703125" style="163" customWidth="1"/>
    <col min="15103" max="15103" width="12.140625" style="163" customWidth="1"/>
    <col min="15104" max="15106" width="9.7109375" style="163" customWidth="1"/>
    <col min="15107" max="15107" width="11.7109375" style="163" customWidth="1"/>
    <col min="15108" max="15108" width="0.5703125" style="163" customWidth="1"/>
    <col min="15109" max="15109" width="12.140625" style="163" customWidth="1"/>
    <col min="15110" max="15110" width="12.42578125" style="163" customWidth="1"/>
    <col min="15111" max="15111" width="9.7109375" style="163" customWidth="1"/>
    <col min="15112" max="15113" width="11.7109375" style="163" customWidth="1"/>
    <col min="15114" max="15114" width="0.5703125" style="163" customWidth="1"/>
    <col min="15115" max="15115" width="12.140625" style="163" customWidth="1"/>
    <col min="15116" max="15116" width="12.42578125" style="163" customWidth="1"/>
    <col min="15117" max="15117" width="10.140625" style="163" bestFit="1" customWidth="1"/>
    <col min="15118" max="15118" width="9.7109375" style="163" customWidth="1"/>
    <col min="15119" max="15120" width="11.7109375" style="163" customWidth="1"/>
    <col min="15121" max="15121" width="0.5703125" style="163" customWidth="1"/>
    <col min="15122" max="15122" width="12.140625" style="163" customWidth="1"/>
    <col min="15123" max="15123" width="12.42578125" style="163" customWidth="1"/>
    <col min="15124" max="15124" width="10.140625" style="163" bestFit="1" customWidth="1"/>
    <col min="15125" max="15125" width="9.7109375" style="163" customWidth="1"/>
    <col min="15126" max="15127" width="11.7109375" style="163" customWidth="1"/>
    <col min="15128" max="15129" width="11" style="163" customWidth="1"/>
    <col min="15130" max="15354" width="9.140625" style="163"/>
    <col min="15355" max="15355" width="1.140625" style="163" customWidth="1"/>
    <col min="15356" max="15356" width="14.140625" style="163" bestFit="1" customWidth="1"/>
    <col min="15357" max="15357" width="42.7109375" style="163" customWidth="1"/>
    <col min="15358" max="15358" width="0.5703125" style="163" customWidth="1"/>
    <col min="15359" max="15359" width="12.140625" style="163" customWidth="1"/>
    <col min="15360" max="15362" width="9.7109375" style="163" customWidth="1"/>
    <col min="15363" max="15363" width="11.7109375" style="163" customWidth="1"/>
    <col min="15364" max="15364" width="0.5703125" style="163" customWidth="1"/>
    <col min="15365" max="15365" width="12.140625" style="163" customWidth="1"/>
    <col min="15366" max="15366" width="12.42578125" style="163" customWidth="1"/>
    <col min="15367" max="15367" width="9.7109375" style="163" customWidth="1"/>
    <col min="15368" max="15369" width="11.7109375" style="163" customWidth="1"/>
    <col min="15370" max="15370" width="0.5703125" style="163" customWidth="1"/>
    <col min="15371" max="15371" width="12.140625" style="163" customWidth="1"/>
    <col min="15372" max="15372" width="12.42578125" style="163" customWidth="1"/>
    <col min="15373" max="15373" width="10.140625" style="163" bestFit="1" customWidth="1"/>
    <col min="15374" max="15374" width="9.7109375" style="163" customWidth="1"/>
    <col min="15375" max="15376" width="11.7109375" style="163" customWidth="1"/>
    <col min="15377" max="15377" width="0.5703125" style="163" customWidth="1"/>
    <col min="15378" max="15378" width="12.140625" style="163" customWidth="1"/>
    <col min="15379" max="15379" width="12.42578125" style="163" customWidth="1"/>
    <col min="15380" max="15380" width="10.140625" style="163" bestFit="1" customWidth="1"/>
    <col min="15381" max="15381" width="9.7109375" style="163" customWidth="1"/>
    <col min="15382" max="15383" width="11.7109375" style="163" customWidth="1"/>
    <col min="15384" max="15385" width="11" style="163" customWidth="1"/>
    <col min="15386" max="15610" width="9.140625" style="163"/>
    <col min="15611" max="15611" width="1.140625" style="163" customWidth="1"/>
    <col min="15612" max="15612" width="14.140625" style="163" bestFit="1" customWidth="1"/>
    <col min="15613" max="15613" width="42.7109375" style="163" customWidth="1"/>
    <col min="15614" max="15614" width="0.5703125" style="163" customWidth="1"/>
    <col min="15615" max="15615" width="12.140625" style="163" customWidth="1"/>
    <col min="15616" max="15618" width="9.7109375" style="163" customWidth="1"/>
    <col min="15619" max="15619" width="11.7109375" style="163" customWidth="1"/>
    <col min="15620" max="15620" width="0.5703125" style="163" customWidth="1"/>
    <col min="15621" max="15621" width="12.140625" style="163" customWidth="1"/>
    <col min="15622" max="15622" width="12.42578125" style="163" customWidth="1"/>
    <col min="15623" max="15623" width="9.7109375" style="163" customWidth="1"/>
    <col min="15624" max="15625" width="11.7109375" style="163" customWidth="1"/>
    <col min="15626" max="15626" width="0.5703125" style="163" customWidth="1"/>
    <col min="15627" max="15627" width="12.140625" style="163" customWidth="1"/>
    <col min="15628" max="15628" width="12.42578125" style="163" customWidth="1"/>
    <col min="15629" max="15629" width="10.140625" style="163" bestFit="1" customWidth="1"/>
    <col min="15630" max="15630" width="9.7109375" style="163" customWidth="1"/>
    <col min="15631" max="15632" width="11.7109375" style="163" customWidth="1"/>
    <col min="15633" max="15633" width="0.5703125" style="163" customWidth="1"/>
    <col min="15634" max="15634" width="12.140625" style="163" customWidth="1"/>
    <col min="15635" max="15635" width="12.42578125" style="163" customWidth="1"/>
    <col min="15636" max="15636" width="10.140625" style="163" bestFit="1" customWidth="1"/>
    <col min="15637" max="15637" width="9.7109375" style="163" customWidth="1"/>
    <col min="15638" max="15639" width="11.7109375" style="163" customWidth="1"/>
    <col min="15640" max="15641" width="11" style="163" customWidth="1"/>
    <col min="15642" max="15866" width="9.140625" style="163"/>
    <col min="15867" max="15867" width="1.140625" style="163" customWidth="1"/>
    <col min="15868" max="15868" width="14.140625" style="163" bestFit="1" customWidth="1"/>
    <col min="15869" max="15869" width="42.7109375" style="163" customWidth="1"/>
    <col min="15870" max="15870" width="0.5703125" style="163" customWidth="1"/>
    <col min="15871" max="15871" width="12.140625" style="163" customWidth="1"/>
    <col min="15872" max="15874" width="9.7109375" style="163" customWidth="1"/>
    <col min="15875" max="15875" width="11.7109375" style="163" customWidth="1"/>
    <col min="15876" max="15876" width="0.5703125" style="163" customWidth="1"/>
    <col min="15877" max="15877" width="12.140625" style="163" customWidth="1"/>
    <col min="15878" max="15878" width="12.42578125" style="163" customWidth="1"/>
    <col min="15879" max="15879" width="9.7109375" style="163" customWidth="1"/>
    <col min="15880" max="15881" width="11.7109375" style="163" customWidth="1"/>
    <col min="15882" max="15882" width="0.5703125" style="163" customWidth="1"/>
    <col min="15883" max="15883" width="12.140625" style="163" customWidth="1"/>
    <col min="15884" max="15884" width="12.42578125" style="163" customWidth="1"/>
    <col min="15885" max="15885" width="10.140625" style="163" bestFit="1" customWidth="1"/>
    <col min="15886" max="15886" width="9.7109375" style="163" customWidth="1"/>
    <col min="15887" max="15888" width="11.7109375" style="163" customWidth="1"/>
    <col min="15889" max="15889" width="0.5703125" style="163" customWidth="1"/>
    <col min="15890" max="15890" width="12.140625" style="163" customWidth="1"/>
    <col min="15891" max="15891" width="12.42578125" style="163" customWidth="1"/>
    <col min="15892" max="15892" width="10.140625" style="163" bestFit="1" customWidth="1"/>
    <col min="15893" max="15893" width="9.7109375" style="163" customWidth="1"/>
    <col min="15894" max="15895" width="11.7109375" style="163" customWidth="1"/>
    <col min="15896" max="15897" width="11" style="163" customWidth="1"/>
    <col min="15898" max="16122" width="9.140625" style="163"/>
    <col min="16123" max="16123" width="1.140625" style="163" customWidth="1"/>
    <col min="16124" max="16124" width="14.140625" style="163" bestFit="1" customWidth="1"/>
    <col min="16125" max="16125" width="42.7109375" style="163" customWidth="1"/>
    <col min="16126" max="16126" width="0.5703125" style="163" customWidth="1"/>
    <col min="16127" max="16127" width="12.140625" style="163" customWidth="1"/>
    <col min="16128" max="16130" width="9.7109375" style="163" customWidth="1"/>
    <col min="16131" max="16131" width="11.7109375" style="163" customWidth="1"/>
    <col min="16132" max="16132" width="0.5703125" style="163" customWidth="1"/>
    <col min="16133" max="16133" width="12.140625" style="163" customWidth="1"/>
    <col min="16134" max="16134" width="12.42578125" style="163" customWidth="1"/>
    <col min="16135" max="16135" width="9.7109375" style="163" customWidth="1"/>
    <col min="16136" max="16137" width="11.7109375" style="163" customWidth="1"/>
    <col min="16138" max="16138" width="0.5703125" style="163" customWidth="1"/>
    <col min="16139" max="16139" width="12.140625" style="163" customWidth="1"/>
    <col min="16140" max="16140" width="12.42578125" style="163" customWidth="1"/>
    <col min="16141" max="16141" width="10.140625" style="163" bestFit="1" customWidth="1"/>
    <col min="16142" max="16142" width="9.7109375" style="163" customWidth="1"/>
    <col min="16143" max="16144" width="11.7109375" style="163" customWidth="1"/>
    <col min="16145" max="16145" width="0.5703125" style="163" customWidth="1"/>
    <col min="16146" max="16146" width="12.140625" style="163" customWidth="1"/>
    <col min="16147" max="16147" width="12.42578125" style="163" customWidth="1"/>
    <col min="16148" max="16148" width="10.140625" style="163" bestFit="1" customWidth="1"/>
    <col min="16149" max="16149" width="9.7109375" style="163" customWidth="1"/>
    <col min="16150" max="16151" width="11.7109375" style="163" customWidth="1"/>
    <col min="16152" max="16153" width="11" style="163" customWidth="1"/>
    <col min="16154" max="16384" width="9.140625" style="163"/>
  </cols>
  <sheetData>
    <row r="1" spans="1:25" ht="27.75" customHeight="1" x14ac:dyDescent="0.35">
      <c r="C1" s="154"/>
      <c r="D1" s="498"/>
      <c r="E1" s="1096">
        <v>2016</v>
      </c>
      <c r="F1" s="1096"/>
      <c r="G1" s="1096"/>
      <c r="H1" s="1096"/>
      <c r="I1" s="498"/>
      <c r="J1" s="1096">
        <v>2017</v>
      </c>
      <c r="K1" s="1096"/>
      <c r="L1" s="1096"/>
      <c r="M1" s="1096"/>
      <c r="N1" s="498"/>
      <c r="O1" s="1096">
        <v>2018</v>
      </c>
      <c r="P1" s="1096"/>
      <c r="Q1" s="1096"/>
      <c r="R1" s="1096"/>
      <c r="S1" s="498"/>
      <c r="T1" s="1096">
        <v>2019</v>
      </c>
      <c r="U1" s="1096"/>
      <c r="V1" s="1096"/>
      <c r="W1" s="1096"/>
      <c r="X1" s="424"/>
    </row>
    <row r="2" spans="1:25" ht="64.5" customHeight="1" x14ac:dyDescent="0.2">
      <c r="A2" s="425" t="s">
        <v>383</v>
      </c>
      <c r="B2" s="325" t="s">
        <v>272</v>
      </c>
      <c r="C2" s="162" t="s">
        <v>1</v>
      </c>
      <c r="E2" s="162" t="s">
        <v>1390</v>
      </c>
      <c r="F2" s="162" t="s">
        <v>392</v>
      </c>
      <c r="G2" s="162" t="s">
        <v>393</v>
      </c>
      <c r="H2" s="162" t="s">
        <v>3</v>
      </c>
      <c r="J2" s="162" t="s">
        <v>1390</v>
      </c>
      <c r="K2" s="162" t="s">
        <v>392</v>
      </c>
      <c r="L2" s="162" t="s">
        <v>393</v>
      </c>
      <c r="M2" s="162" t="s">
        <v>3</v>
      </c>
      <c r="O2" s="162" t="s">
        <v>1390</v>
      </c>
      <c r="P2" s="162" t="s">
        <v>392</v>
      </c>
      <c r="Q2" s="162" t="s">
        <v>393</v>
      </c>
      <c r="R2" s="162" t="s">
        <v>3</v>
      </c>
      <c r="T2" s="162" t="s">
        <v>1390</v>
      </c>
      <c r="U2" s="162" t="s">
        <v>392</v>
      </c>
      <c r="V2" s="162" t="s">
        <v>393</v>
      </c>
      <c r="W2" s="162" t="s">
        <v>3</v>
      </c>
      <c r="X2" s="162" t="s">
        <v>340</v>
      </c>
      <c r="Y2" s="162" t="s">
        <v>6</v>
      </c>
    </row>
    <row r="3" spans="1:25" s="207" customFormat="1" ht="22.5" customHeight="1" x14ac:dyDescent="0.2">
      <c r="A3" s="431"/>
      <c r="B3" s="203"/>
      <c r="C3" s="204" t="s">
        <v>7</v>
      </c>
      <c r="D3" s="201"/>
      <c r="E3" s="204">
        <f>SUM(E4:E35)</f>
        <v>80000052</v>
      </c>
      <c r="F3" s="204">
        <f>SUM(F4:F35)</f>
        <v>1273216</v>
      </c>
      <c r="G3" s="204">
        <f>SUM(G4:G35)</f>
        <v>59274.507227119691</v>
      </c>
      <c r="H3" s="204">
        <f>SUM(H4:H35)</f>
        <v>81332542.507227123</v>
      </c>
      <c r="I3" s="201"/>
      <c r="J3" s="204">
        <f>SUM(J4:J35)</f>
        <v>80000001</v>
      </c>
      <c r="K3" s="204">
        <f>SUM(K4:K35)</f>
        <v>1005304</v>
      </c>
      <c r="L3" s="204">
        <f>SUM(L4:L35)</f>
        <v>103730</v>
      </c>
      <c r="M3" s="204">
        <f>SUM(M4:M35)</f>
        <v>81109035</v>
      </c>
      <c r="N3" s="201"/>
      <c r="O3" s="204">
        <f>SUM(O4:O35)</f>
        <v>80549796.010000005</v>
      </c>
      <c r="P3" s="204">
        <f>SUM(P4:P35)</f>
        <v>1041958.8764015969</v>
      </c>
      <c r="Q3" s="204">
        <f>SUM(Q4:Q35)</f>
        <v>122801</v>
      </c>
      <c r="R3" s="204">
        <f>SUM(R4:R35)</f>
        <v>81714555.886401609</v>
      </c>
      <c r="S3" s="201"/>
      <c r="T3" s="204">
        <f>SUM(T4:T35)</f>
        <v>99199999</v>
      </c>
      <c r="U3" s="204">
        <f>SUM(U4:U35)</f>
        <v>1035577</v>
      </c>
      <c r="V3" s="204">
        <f>SUM(V4:V35)</f>
        <v>113957</v>
      </c>
      <c r="W3" s="204">
        <f>SUM(W4:W35)</f>
        <v>100349533</v>
      </c>
      <c r="X3" s="338"/>
      <c r="Y3" s="499"/>
    </row>
    <row r="4" spans="1:25" ht="45" customHeight="1" x14ac:dyDescent="0.2">
      <c r="A4" s="500"/>
      <c r="B4" s="444">
        <v>580151033</v>
      </c>
      <c r="C4" s="241" t="s">
        <v>1391</v>
      </c>
      <c r="E4" s="836">
        <v>21829587</v>
      </c>
      <c r="F4" s="236"/>
      <c r="G4" s="236"/>
      <c r="H4" s="236">
        <f>SUM(E4:G4)</f>
        <v>21829587</v>
      </c>
      <c r="J4" s="836">
        <v>21077730</v>
      </c>
      <c r="K4" s="236"/>
      <c r="L4" s="236"/>
      <c r="M4" s="236">
        <f>SUM(J4:L4)</f>
        <v>21077730</v>
      </c>
      <c r="O4" s="836">
        <v>22077230</v>
      </c>
      <c r="P4" s="236"/>
      <c r="Q4" s="236"/>
      <c r="R4" s="236">
        <f>SUM(O4:Q4)</f>
        <v>22077230</v>
      </c>
      <c r="T4" s="236">
        <v>22185428</v>
      </c>
      <c r="U4" s="236"/>
      <c r="V4" s="236"/>
      <c r="W4" s="236">
        <f>SUM(T4:V4)</f>
        <v>22185428</v>
      </c>
      <c r="X4" s="501" t="s">
        <v>73</v>
      </c>
      <c r="Y4" s="501" t="s">
        <v>1392</v>
      </c>
    </row>
    <row r="5" spans="1:25" ht="54" customHeight="1" x14ac:dyDescent="0.2">
      <c r="A5" s="500"/>
      <c r="B5" s="444">
        <v>580234870</v>
      </c>
      <c r="C5" s="241" t="s">
        <v>1393</v>
      </c>
      <c r="E5" s="836">
        <f>3933209+2260777+299202</f>
        <v>6493188</v>
      </c>
      <c r="F5" s="236"/>
      <c r="G5" s="236"/>
      <c r="H5" s="236">
        <f t="shared" ref="H5:H35" si="0">SUM(E5:G5)</f>
        <v>6493188</v>
      </c>
      <c r="J5" s="836">
        <v>6514340</v>
      </c>
      <c r="K5" s="236"/>
      <c r="L5" s="236"/>
      <c r="M5" s="236">
        <f t="shared" ref="M5:M35" si="1">SUM(J5:L5)</f>
        <v>6514340</v>
      </c>
      <c r="O5" s="836">
        <v>6645563</v>
      </c>
      <c r="P5" s="236"/>
      <c r="Q5" s="236"/>
      <c r="R5" s="236">
        <f t="shared" ref="R5:R35" si="2">SUM(O5:Q5)</f>
        <v>6645563</v>
      </c>
      <c r="T5" s="236">
        <f>3889070+3453141+516549</f>
        <v>7858760</v>
      </c>
      <c r="U5" s="236"/>
      <c r="V5" s="236"/>
      <c r="W5" s="236">
        <f t="shared" ref="W5:W30" si="3">SUM(T5:V5)</f>
        <v>7858760</v>
      </c>
      <c r="X5" s="501" t="s">
        <v>73</v>
      </c>
      <c r="Y5" s="501" t="s">
        <v>1392</v>
      </c>
    </row>
    <row r="6" spans="1:25" ht="51.75" customHeight="1" x14ac:dyDescent="0.2">
      <c r="A6" s="500"/>
      <c r="B6" s="444">
        <v>580272409</v>
      </c>
      <c r="C6" s="241" t="s">
        <v>1394</v>
      </c>
      <c r="E6" s="836">
        <f>1690794+3096739</f>
        <v>4787533</v>
      </c>
      <c r="F6" s="236"/>
      <c r="G6" s="236"/>
      <c r="H6" s="236">
        <f t="shared" si="0"/>
        <v>4787533</v>
      </c>
      <c r="J6" s="836">
        <v>5061066</v>
      </c>
      <c r="K6" s="236"/>
      <c r="L6" s="236"/>
      <c r="M6" s="236">
        <f t="shared" si="1"/>
        <v>5061066</v>
      </c>
      <c r="O6" s="836">
        <v>5013464</v>
      </c>
      <c r="P6" s="236"/>
      <c r="Q6" s="236"/>
      <c r="R6" s="236">
        <f t="shared" si="2"/>
        <v>5013464</v>
      </c>
      <c r="T6" s="236">
        <f>2294345+3543420</f>
        <v>5837765</v>
      </c>
      <c r="U6" s="236"/>
      <c r="V6" s="236"/>
      <c r="W6" s="236">
        <f t="shared" si="3"/>
        <v>5837765</v>
      </c>
      <c r="X6" s="501" t="s">
        <v>73</v>
      </c>
      <c r="Y6" s="501" t="s">
        <v>1392</v>
      </c>
    </row>
    <row r="7" spans="1:25" ht="39.75" customHeight="1" x14ac:dyDescent="0.2">
      <c r="A7" s="500"/>
      <c r="B7" s="444">
        <v>580035756</v>
      </c>
      <c r="C7" s="241" t="s">
        <v>1395</v>
      </c>
      <c r="E7" s="836">
        <f>24860890+3865110+471791</f>
        <v>29197791</v>
      </c>
      <c r="F7" s="236"/>
      <c r="G7" s="236"/>
      <c r="H7" s="236">
        <f t="shared" si="0"/>
        <v>29197791</v>
      </c>
      <c r="J7" s="836">
        <v>29943123</v>
      </c>
      <c r="K7" s="236"/>
      <c r="L7" s="236"/>
      <c r="M7" s="236">
        <f t="shared" si="1"/>
        <v>29943123</v>
      </c>
      <c r="O7" s="836">
        <v>29170830</v>
      </c>
      <c r="P7" s="236"/>
      <c r="Q7" s="236"/>
      <c r="R7" s="236">
        <f t="shared" si="2"/>
        <v>29170830</v>
      </c>
      <c r="T7" s="236">
        <f>29235258+4400722+460363+3299745</f>
        <v>37396088</v>
      </c>
      <c r="U7" s="236"/>
      <c r="V7" s="236"/>
      <c r="W7" s="236">
        <f t="shared" si="3"/>
        <v>37396088</v>
      </c>
      <c r="X7" s="501" t="s">
        <v>73</v>
      </c>
      <c r="Y7" s="501" t="s">
        <v>1392</v>
      </c>
    </row>
    <row r="8" spans="1:25" ht="38.25" customHeight="1" x14ac:dyDescent="0.2">
      <c r="A8" s="500"/>
      <c r="B8" s="444">
        <v>580358190</v>
      </c>
      <c r="C8" s="241" t="s">
        <v>1396</v>
      </c>
      <c r="E8" s="236">
        <f>3246305+2938398+471791</f>
        <v>6656494</v>
      </c>
      <c r="F8" s="236"/>
      <c r="G8" s="236"/>
      <c r="H8" s="236">
        <f t="shared" si="0"/>
        <v>6656494</v>
      </c>
      <c r="J8" s="236">
        <v>6453741</v>
      </c>
      <c r="K8" s="236"/>
      <c r="L8" s="236"/>
      <c r="M8" s="236">
        <f t="shared" si="1"/>
        <v>6453741</v>
      </c>
      <c r="O8" s="236">
        <v>6643688</v>
      </c>
      <c r="P8" s="236"/>
      <c r="Q8" s="236"/>
      <c r="R8" s="236">
        <f t="shared" si="2"/>
        <v>6643688</v>
      </c>
      <c r="T8" s="236">
        <f>3407111+3727104+498424+4487654</f>
        <v>12120293</v>
      </c>
      <c r="U8" s="236"/>
      <c r="V8" s="236"/>
      <c r="W8" s="236">
        <f t="shared" si="3"/>
        <v>12120293</v>
      </c>
      <c r="X8" s="501" t="s">
        <v>53</v>
      </c>
      <c r="Y8" s="501" t="s">
        <v>1392</v>
      </c>
    </row>
    <row r="9" spans="1:25" ht="38.25" customHeight="1" x14ac:dyDescent="0.2">
      <c r="A9" s="503">
        <v>3</v>
      </c>
      <c r="B9" s="208">
        <v>580002053</v>
      </c>
      <c r="C9" s="241" t="s">
        <v>2403</v>
      </c>
      <c r="D9" s="502"/>
      <c r="E9" s="236">
        <f>251444+195086+243350+251351+160158</f>
        <v>1101389</v>
      </c>
      <c r="F9" s="236"/>
      <c r="G9" s="236"/>
      <c r="H9" s="236">
        <f t="shared" si="0"/>
        <v>1101389</v>
      </c>
      <c r="I9" s="502"/>
      <c r="J9" s="236">
        <v>1288928</v>
      </c>
      <c r="K9" s="236"/>
      <c r="L9" s="236"/>
      <c r="M9" s="236">
        <f t="shared" si="1"/>
        <v>1288928</v>
      </c>
      <c r="N9" s="502"/>
      <c r="O9" s="836">
        <v>1433367.01</v>
      </c>
      <c r="P9" s="236"/>
      <c r="Q9" s="236"/>
      <c r="R9" s="236">
        <f t="shared" si="2"/>
        <v>1433367.01</v>
      </c>
      <c r="S9" s="502"/>
      <c r="T9" s="236">
        <f>235700+274384+260163+341491+301336</f>
        <v>1413074</v>
      </c>
      <c r="U9" s="236"/>
      <c r="V9" s="236"/>
      <c r="W9" s="236">
        <f t="shared" si="3"/>
        <v>1413074</v>
      </c>
      <c r="X9" s="501" t="s">
        <v>73</v>
      </c>
      <c r="Y9" s="501" t="s">
        <v>136</v>
      </c>
    </row>
    <row r="10" spans="1:25" ht="25.5" x14ac:dyDescent="0.2">
      <c r="A10" s="500"/>
      <c r="B10" s="208">
        <v>580324101</v>
      </c>
      <c r="C10" s="432" t="s">
        <v>1397</v>
      </c>
      <c r="D10" s="502"/>
      <c r="E10" s="236">
        <f>697616+149531</f>
        <v>847147</v>
      </c>
      <c r="F10" s="236"/>
      <c r="G10" s="236"/>
      <c r="H10" s="236">
        <f t="shared" si="0"/>
        <v>847147</v>
      </c>
      <c r="I10" s="502"/>
      <c r="J10" s="236">
        <v>857928</v>
      </c>
      <c r="K10" s="236"/>
      <c r="L10" s="236"/>
      <c r="M10" s="236">
        <f t="shared" si="1"/>
        <v>857928</v>
      </c>
      <c r="N10" s="502"/>
      <c r="O10" s="236">
        <v>871109</v>
      </c>
      <c r="P10" s="236"/>
      <c r="Q10" s="236"/>
      <c r="R10" s="236">
        <f t="shared" si="2"/>
        <v>871109</v>
      </c>
      <c r="S10" s="502"/>
      <c r="T10" s="236">
        <f>840864+227358+250000</f>
        <v>1318222</v>
      </c>
      <c r="U10" s="236"/>
      <c r="V10" s="236"/>
      <c r="W10" s="236">
        <f t="shared" si="3"/>
        <v>1318222</v>
      </c>
      <c r="X10" s="501" t="s">
        <v>73</v>
      </c>
      <c r="Y10" s="501" t="s">
        <v>1392</v>
      </c>
    </row>
    <row r="11" spans="1:25" ht="51.75" customHeight="1" x14ac:dyDescent="0.2">
      <c r="A11" s="500">
        <v>6</v>
      </c>
      <c r="B11" s="444">
        <v>580059277</v>
      </c>
      <c r="C11" s="241" t="s">
        <v>1398</v>
      </c>
      <c r="D11" s="502"/>
      <c r="E11" s="236">
        <f>409172+948649+643849+123106</f>
        <v>2124776</v>
      </c>
      <c r="F11" s="236">
        <v>1273216</v>
      </c>
      <c r="G11" s="236"/>
      <c r="H11" s="236">
        <f t="shared" si="0"/>
        <v>3397992</v>
      </c>
      <c r="I11" s="502"/>
      <c r="J11" s="236">
        <v>2060354</v>
      </c>
      <c r="K11" s="1010">
        <v>1005304</v>
      </c>
      <c r="L11" s="236"/>
      <c r="M11" s="236">
        <f t="shared" si="1"/>
        <v>3065658</v>
      </c>
      <c r="N11" s="502"/>
      <c r="O11" s="836">
        <v>1989465</v>
      </c>
      <c r="P11" s="236">
        <v>1041958.8764015969</v>
      </c>
      <c r="Q11" s="236"/>
      <c r="R11" s="236">
        <f t="shared" si="2"/>
        <v>3031423.8764015967</v>
      </c>
      <c r="S11" s="502"/>
      <c r="T11" s="236">
        <f>811404+200210+374681+1096664</f>
        <v>2482959</v>
      </c>
      <c r="U11" s="1010">
        <v>1035577</v>
      </c>
      <c r="V11" s="236"/>
      <c r="W11" s="236">
        <f t="shared" si="3"/>
        <v>3518536</v>
      </c>
      <c r="X11" s="501" t="s">
        <v>53</v>
      </c>
      <c r="Y11" s="501" t="s">
        <v>749</v>
      </c>
    </row>
    <row r="12" spans="1:25" ht="18" customHeight="1" x14ac:dyDescent="0.2">
      <c r="A12" s="500">
        <v>9</v>
      </c>
      <c r="B12" s="444">
        <v>589931187</v>
      </c>
      <c r="C12" s="241" t="s">
        <v>1399</v>
      </c>
      <c r="D12" s="502"/>
      <c r="E12" s="236">
        <v>616719</v>
      </c>
      <c r="F12" s="236"/>
      <c r="G12" s="236"/>
      <c r="H12" s="236">
        <f t="shared" si="0"/>
        <v>616719</v>
      </c>
      <c r="I12" s="502"/>
      <c r="J12" s="236">
        <v>626585</v>
      </c>
      <c r="K12" s="236"/>
      <c r="L12" s="236"/>
      <c r="M12" s="236">
        <f t="shared" si="1"/>
        <v>626585</v>
      </c>
      <c r="N12" s="502"/>
      <c r="O12" s="236">
        <v>630975</v>
      </c>
      <c r="P12" s="236"/>
      <c r="Q12" s="236"/>
      <c r="R12" s="236">
        <f t="shared" si="2"/>
        <v>630975</v>
      </c>
      <c r="S12" s="502"/>
      <c r="T12" s="236">
        <f>743776+140000</f>
        <v>883776</v>
      </c>
      <c r="U12" s="236"/>
      <c r="V12" s="236"/>
      <c r="W12" s="236">
        <f t="shared" si="3"/>
        <v>883776</v>
      </c>
      <c r="X12" s="501" t="s">
        <v>73</v>
      </c>
      <c r="Y12" s="501" t="s">
        <v>1392</v>
      </c>
    </row>
    <row r="13" spans="1:25" ht="38.25" customHeight="1" x14ac:dyDescent="0.2">
      <c r="A13" s="503">
        <v>10</v>
      </c>
      <c r="B13" s="208">
        <v>510145022</v>
      </c>
      <c r="C13" s="241" t="s">
        <v>1400</v>
      </c>
      <c r="D13" s="502"/>
      <c r="E13" s="236">
        <f>819814+213659</f>
        <v>1033473</v>
      </c>
      <c r="F13" s="236"/>
      <c r="G13" s="236"/>
      <c r="H13" s="236">
        <f t="shared" si="0"/>
        <v>1033473</v>
      </c>
      <c r="I13" s="502"/>
      <c r="J13" s="236">
        <v>847424</v>
      </c>
      <c r="K13" s="236"/>
      <c r="L13" s="236"/>
      <c r="M13" s="236">
        <f t="shared" si="1"/>
        <v>847424</v>
      </c>
      <c r="N13" s="502"/>
      <c r="O13" s="236">
        <v>829739</v>
      </c>
      <c r="P13" s="236"/>
      <c r="Q13" s="236"/>
      <c r="R13" s="236">
        <f t="shared" si="2"/>
        <v>829739</v>
      </c>
      <c r="S13" s="502"/>
      <c r="T13" s="236">
        <f>735476+200000</f>
        <v>935476</v>
      </c>
      <c r="U13" s="236"/>
      <c r="V13" s="236"/>
      <c r="W13" s="236">
        <f t="shared" si="3"/>
        <v>935476</v>
      </c>
      <c r="X13" s="501" t="s">
        <v>43</v>
      </c>
      <c r="Y13" s="501" t="s">
        <v>9</v>
      </c>
    </row>
    <row r="14" spans="1:25" ht="29.25" customHeight="1" x14ac:dyDescent="0.2">
      <c r="A14" s="503"/>
      <c r="B14" s="444">
        <v>580004133</v>
      </c>
      <c r="C14" s="241" t="s">
        <v>1401</v>
      </c>
      <c r="D14" s="502"/>
      <c r="E14" s="236">
        <v>184297</v>
      </c>
      <c r="F14" s="236"/>
      <c r="G14" s="236"/>
      <c r="H14" s="236">
        <f t="shared" si="0"/>
        <v>184297</v>
      </c>
      <c r="I14" s="502"/>
      <c r="J14" s="236">
        <v>172973</v>
      </c>
      <c r="K14" s="236"/>
      <c r="L14" s="236"/>
      <c r="M14" s="236">
        <f t="shared" si="1"/>
        <v>172973</v>
      </c>
      <c r="N14" s="502"/>
      <c r="O14" s="236">
        <v>195918</v>
      </c>
      <c r="P14" s="236"/>
      <c r="Q14" s="236"/>
      <c r="R14" s="236">
        <f t="shared" si="2"/>
        <v>195918</v>
      </c>
      <c r="S14" s="502"/>
      <c r="T14" s="236"/>
      <c r="U14" s="236"/>
      <c r="V14" s="236"/>
      <c r="W14" s="236">
        <f t="shared" si="3"/>
        <v>0</v>
      </c>
      <c r="X14" s="501" t="s">
        <v>73</v>
      </c>
      <c r="Y14" s="501" t="s">
        <v>1392</v>
      </c>
    </row>
    <row r="15" spans="1:25" ht="59.25" customHeight="1" x14ac:dyDescent="0.2">
      <c r="A15" s="503"/>
      <c r="B15" s="444">
        <v>580092609</v>
      </c>
      <c r="C15" s="241" t="s">
        <v>1402</v>
      </c>
      <c r="D15" s="502"/>
      <c r="E15" s="236">
        <v>184262</v>
      </c>
      <c r="F15" s="236"/>
      <c r="G15" s="236"/>
      <c r="H15" s="236">
        <f t="shared" si="0"/>
        <v>184262</v>
      </c>
      <c r="I15" s="502"/>
      <c r="J15" s="236">
        <v>172973</v>
      </c>
      <c r="K15" s="236"/>
      <c r="L15" s="236"/>
      <c r="M15" s="236">
        <f t="shared" si="1"/>
        <v>172973</v>
      </c>
      <c r="N15" s="502"/>
      <c r="O15" s="236">
        <v>195918</v>
      </c>
      <c r="P15" s="236"/>
      <c r="Q15" s="236"/>
      <c r="R15" s="236">
        <f t="shared" si="2"/>
        <v>195918</v>
      </c>
      <c r="S15" s="502"/>
      <c r="T15" s="236"/>
      <c r="U15" s="236"/>
      <c r="V15" s="236"/>
      <c r="W15" s="236">
        <f t="shared" si="3"/>
        <v>0</v>
      </c>
      <c r="X15" s="501" t="s">
        <v>73</v>
      </c>
      <c r="Y15" s="501" t="s">
        <v>1392</v>
      </c>
    </row>
    <row r="16" spans="1:25" ht="67.5" customHeight="1" x14ac:dyDescent="0.2">
      <c r="A16" s="503"/>
      <c r="B16" s="444">
        <v>580149540</v>
      </c>
      <c r="C16" s="241" t="s">
        <v>2404</v>
      </c>
      <c r="D16" s="502"/>
      <c r="E16" s="236">
        <v>184297</v>
      </c>
      <c r="F16" s="236"/>
      <c r="G16" s="236"/>
      <c r="H16" s="236">
        <f t="shared" si="0"/>
        <v>184297</v>
      </c>
      <c r="I16" s="502"/>
      <c r="J16" s="236">
        <v>172973</v>
      </c>
      <c r="K16" s="236"/>
      <c r="L16" s="236"/>
      <c r="M16" s="236">
        <f t="shared" si="1"/>
        <v>172973</v>
      </c>
      <c r="N16" s="502"/>
      <c r="O16" s="236">
        <v>195918</v>
      </c>
      <c r="P16" s="236"/>
      <c r="Q16" s="236"/>
      <c r="R16" s="236">
        <f t="shared" si="2"/>
        <v>195918</v>
      </c>
      <c r="S16" s="502"/>
      <c r="T16" s="236"/>
      <c r="U16" s="236"/>
      <c r="V16" s="236"/>
      <c r="W16" s="236">
        <f t="shared" si="3"/>
        <v>0</v>
      </c>
      <c r="X16" s="501" t="s">
        <v>73</v>
      </c>
      <c r="Y16" s="501" t="s">
        <v>1392</v>
      </c>
    </row>
    <row r="17" spans="1:25" ht="25.5" customHeight="1" x14ac:dyDescent="0.2">
      <c r="A17" s="503"/>
      <c r="B17" s="504">
        <v>580151272</v>
      </c>
      <c r="C17" s="241" t="s">
        <v>3138</v>
      </c>
      <c r="D17" s="502"/>
      <c r="E17" s="236">
        <v>619436</v>
      </c>
      <c r="F17" s="236"/>
      <c r="G17" s="236"/>
      <c r="H17" s="236">
        <f t="shared" si="0"/>
        <v>619436</v>
      </c>
      <c r="I17" s="502"/>
      <c r="J17" s="236">
        <v>621972</v>
      </c>
      <c r="K17" s="236"/>
      <c r="L17" s="236"/>
      <c r="M17" s="236">
        <f t="shared" si="1"/>
        <v>621972</v>
      </c>
      <c r="N17" s="502"/>
      <c r="O17" s="236">
        <v>621972</v>
      </c>
      <c r="P17" s="236"/>
      <c r="Q17" s="236"/>
      <c r="R17" s="236">
        <f t="shared" si="2"/>
        <v>621972</v>
      </c>
      <c r="S17" s="502"/>
      <c r="T17" s="236">
        <f>100000+753156</f>
        <v>853156</v>
      </c>
      <c r="U17" s="236"/>
      <c r="V17" s="236"/>
      <c r="W17" s="236">
        <f t="shared" si="3"/>
        <v>853156</v>
      </c>
      <c r="X17" s="501" t="s">
        <v>73</v>
      </c>
      <c r="Y17" s="501" t="s">
        <v>1392</v>
      </c>
    </row>
    <row r="18" spans="1:25" ht="54.75" customHeight="1" x14ac:dyDescent="0.2">
      <c r="A18" s="503"/>
      <c r="B18" s="208">
        <v>580198802</v>
      </c>
      <c r="C18" s="241" t="s">
        <v>1403</v>
      </c>
      <c r="D18" s="502"/>
      <c r="E18" s="236">
        <v>184262</v>
      </c>
      <c r="F18" s="236"/>
      <c r="G18" s="236"/>
      <c r="H18" s="236">
        <f t="shared" si="0"/>
        <v>184262</v>
      </c>
      <c r="I18" s="502"/>
      <c r="J18" s="236">
        <v>172973</v>
      </c>
      <c r="K18" s="236"/>
      <c r="L18" s="236"/>
      <c r="M18" s="236">
        <f t="shared" si="1"/>
        <v>172973</v>
      </c>
      <c r="N18" s="502"/>
      <c r="O18" s="236">
        <v>195918</v>
      </c>
      <c r="P18" s="236"/>
      <c r="Q18" s="236"/>
      <c r="R18" s="236">
        <f t="shared" si="2"/>
        <v>195918</v>
      </c>
      <c r="S18" s="502"/>
      <c r="T18" s="236"/>
      <c r="U18" s="236"/>
      <c r="V18" s="236"/>
      <c r="W18" s="236">
        <f t="shared" si="3"/>
        <v>0</v>
      </c>
      <c r="X18" s="501" t="s">
        <v>73</v>
      </c>
      <c r="Y18" s="501" t="s">
        <v>1392</v>
      </c>
    </row>
    <row r="19" spans="1:25" ht="38.25" customHeight="1" x14ac:dyDescent="0.2">
      <c r="A19" s="503"/>
      <c r="B19" s="208">
        <v>580318590</v>
      </c>
      <c r="C19" s="241" t="s">
        <v>1404</v>
      </c>
      <c r="D19" s="502"/>
      <c r="E19" s="236">
        <f>184297+240000</f>
        <v>424297</v>
      </c>
      <c r="F19" s="236"/>
      <c r="G19" s="236"/>
      <c r="H19" s="236">
        <f t="shared" si="0"/>
        <v>424297</v>
      </c>
      <c r="I19" s="502"/>
      <c r="J19" s="236">
        <v>443396</v>
      </c>
      <c r="K19" s="236"/>
      <c r="L19" s="236"/>
      <c r="M19" s="236">
        <f t="shared" si="1"/>
        <v>443396</v>
      </c>
      <c r="N19" s="502"/>
      <c r="O19" s="836">
        <v>466341</v>
      </c>
      <c r="P19" s="236"/>
      <c r="Q19" s="236"/>
      <c r="R19" s="236">
        <f t="shared" si="2"/>
        <v>466341</v>
      </c>
      <c r="S19" s="502"/>
      <c r="T19" s="236">
        <v>385000</v>
      </c>
      <c r="U19" s="236"/>
      <c r="V19" s="236"/>
      <c r="W19" s="236">
        <f t="shared" si="3"/>
        <v>385000</v>
      </c>
      <c r="X19" s="501" t="s">
        <v>73</v>
      </c>
      <c r="Y19" s="501" t="s">
        <v>1392</v>
      </c>
    </row>
    <row r="20" spans="1:25" ht="38.25" customHeight="1" x14ac:dyDescent="0.2">
      <c r="A20" s="503"/>
      <c r="B20" s="208">
        <v>580488104</v>
      </c>
      <c r="C20" s="241" t="s">
        <v>1405</v>
      </c>
      <c r="D20" s="502"/>
      <c r="E20" s="236">
        <v>262574</v>
      </c>
      <c r="F20" s="236"/>
      <c r="G20" s="236"/>
      <c r="H20" s="236">
        <f t="shared" si="0"/>
        <v>262574</v>
      </c>
      <c r="I20" s="502"/>
      <c r="J20" s="236">
        <v>261041</v>
      </c>
      <c r="K20" s="236"/>
      <c r="L20" s="236"/>
      <c r="M20" s="236">
        <f t="shared" si="1"/>
        <v>261041</v>
      </c>
      <c r="N20" s="502"/>
      <c r="O20" s="236">
        <v>206182</v>
      </c>
      <c r="P20" s="236"/>
      <c r="Q20" s="236"/>
      <c r="R20" s="236">
        <f t="shared" si="2"/>
        <v>206182</v>
      </c>
      <c r="S20" s="502"/>
      <c r="T20" s="236">
        <v>250000</v>
      </c>
      <c r="U20" s="236"/>
      <c r="V20" s="236"/>
      <c r="W20" s="236">
        <f t="shared" si="3"/>
        <v>250000</v>
      </c>
      <c r="X20" s="501" t="s">
        <v>1076</v>
      </c>
      <c r="Y20" s="501" t="s">
        <v>9</v>
      </c>
    </row>
    <row r="21" spans="1:25" ht="29.25" customHeight="1" x14ac:dyDescent="0.2">
      <c r="A21" s="503"/>
      <c r="B21" s="208">
        <v>580356210</v>
      </c>
      <c r="C21" s="241" t="s">
        <v>1406</v>
      </c>
      <c r="D21" s="502"/>
      <c r="E21" s="236">
        <v>184297</v>
      </c>
      <c r="F21" s="236"/>
      <c r="G21" s="236"/>
      <c r="H21" s="236">
        <f t="shared" si="0"/>
        <v>184297</v>
      </c>
      <c r="I21" s="502"/>
      <c r="J21" s="236">
        <v>172973</v>
      </c>
      <c r="K21" s="236"/>
      <c r="L21" s="236"/>
      <c r="M21" s="236">
        <f t="shared" si="1"/>
        <v>172973</v>
      </c>
      <c r="N21" s="502"/>
      <c r="O21" s="236"/>
      <c r="P21" s="236"/>
      <c r="Q21" s="236"/>
      <c r="R21" s="236">
        <f t="shared" si="2"/>
        <v>0</v>
      </c>
      <c r="S21" s="502"/>
      <c r="T21" s="236"/>
      <c r="U21" s="236"/>
      <c r="V21" s="236"/>
      <c r="W21" s="236">
        <f t="shared" si="3"/>
        <v>0</v>
      </c>
      <c r="X21" s="501" t="s">
        <v>73</v>
      </c>
      <c r="Y21" s="501" t="s">
        <v>1392</v>
      </c>
    </row>
    <row r="22" spans="1:25" ht="33" customHeight="1" x14ac:dyDescent="0.2">
      <c r="A22" s="503"/>
      <c r="B22" s="208">
        <v>580390961</v>
      </c>
      <c r="C22" s="241" t="s">
        <v>1407</v>
      </c>
      <c r="D22" s="502"/>
      <c r="E22" s="236">
        <v>1085448</v>
      </c>
      <c r="F22" s="236"/>
      <c r="G22" s="236"/>
      <c r="H22" s="236">
        <f t="shared" si="0"/>
        <v>1085448</v>
      </c>
      <c r="I22" s="502"/>
      <c r="J22" s="236">
        <v>1027606</v>
      </c>
      <c r="K22" s="236"/>
      <c r="L22" s="236"/>
      <c r="M22" s="236">
        <f t="shared" si="1"/>
        <v>1027606</v>
      </c>
      <c r="N22" s="502"/>
      <c r="O22" s="236">
        <v>1027606</v>
      </c>
      <c r="P22" s="236"/>
      <c r="Q22" s="236"/>
      <c r="R22" s="236">
        <f t="shared" si="2"/>
        <v>1027606</v>
      </c>
      <c r="S22" s="502"/>
      <c r="T22" s="236">
        <v>1255260</v>
      </c>
      <c r="U22" s="236"/>
      <c r="V22" s="236"/>
      <c r="W22" s="236">
        <f t="shared" si="3"/>
        <v>1255260</v>
      </c>
      <c r="X22" s="501" t="s">
        <v>73</v>
      </c>
      <c r="Y22" s="501" t="s">
        <v>1392</v>
      </c>
    </row>
    <row r="23" spans="1:25" ht="43.5" customHeight="1" x14ac:dyDescent="0.2">
      <c r="A23" s="503"/>
      <c r="B23" s="208">
        <v>580322451</v>
      </c>
      <c r="C23" s="241" t="s">
        <v>1408</v>
      </c>
      <c r="D23" s="502"/>
      <c r="E23" s="236">
        <v>514730</v>
      </c>
      <c r="F23" s="236"/>
      <c r="G23" s="236"/>
      <c r="H23" s="236">
        <f t="shared" si="0"/>
        <v>514730</v>
      </c>
      <c r="I23" s="502"/>
      <c r="J23" s="236">
        <v>474488</v>
      </c>
      <c r="K23" s="236"/>
      <c r="L23" s="236"/>
      <c r="M23" s="236">
        <f t="shared" si="1"/>
        <v>474488</v>
      </c>
      <c r="N23" s="502"/>
      <c r="O23" s="236">
        <v>427011</v>
      </c>
      <c r="P23" s="236"/>
      <c r="Q23" s="236"/>
      <c r="R23" s="236">
        <f t="shared" si="2"/>
        <v>427011</v>
      </c>
      <c r="S23" s="502"/>
      <c r="T23" s="236">
        <v>402647</v>
      </c>
      <c r="U23" s="236"/>
      <c r="V23" s="236"/>
      <c r="W23" s="236">
        <f t="shared" si="3"/>
        <v>402647</v>
      </c>
      <c r="X23" s="501" t="s">
        <v>1409</v>
      </c>
      <c r="Y23" s="501" t="s">
        <v>32</v>
      </c>
    </row>
    <row r="24" spans="1:25" ht="26.25" customHeight="1" x14ac:dyDescent="0.2">
      <c r="A24" s="503"/>
      <c r="B24" s="208">
        <v>512287350</v>
      </c>
      <c r="C24" s="241" t="s">
        <v>1410</v>
      </c>
      <c r="D24" s="502"/>
      <c r="E24" s="236">
        <v>248866</v>
      </c>
      <c r="F24" s="236"/>
      <c r="G24" s="236"/>
      <c r="H24" s="236">
        <f t="shared" si="0"/>
        <v>248866</v>
      </c>
      <c r="I24" s="502"/>
      <c r="J24" s="236">
        <v>229326</v>
      </c>
      <c r="K24" s="236"/>
      <c r="L24" s="236"/>
      <c r="M24" s="236">
        <f t="shared" si="1"/>
        <v>229326</v>
      </c>
      <c r="N24" s="502"/>
      <c r="O24" s="236">
        <v>219681</v>
      </c>
      <c r="P24" s="236"/>
      <c r="Q24" s="236"/>
      <c r="R24" s="236">
        <f t="shared" si="2"/>
        <v>219681</v>
      </c>
      <c r="S24" s="502"/>
      <c r="T24" s="236">
        <v>275970</v>
      </c>
      <c r="U24" s="236"/>
      <c r="V24" s="236"/>
      <c r="W24" s="236">
        <f t="shared" si="3"/>
        <v>275970</v>
      </c>
      <c r="X24" s="501" t="s">
        <v>426</v>
      </c>
      <c r="Y24" s="501" t="s">
        <v>136</v>
      </c>
    </row>
    <row r="25" spans="1:25" ht="26.25" customHeight="1" x14ac:dyDescent="0.2">
      <c r="A25" s="503"/>
      <c r="B25" s="208">
        <v>580498657</v>
      </c>
      <c r="C25" s="241" t="s">
        <v>1411</v>
      </c>
      <c r="D25" s="502"/>
      <c r="E25" s="236">
        <v>97608</v>
      </c>
      <c r="F25" s="236"/>
      <c r="G25" s="236"/>
      <c r="H25" s="236">
        <f t="shared" si="0"/>
        <v>97608</v>
      </c>
      <c r="I25" s="502"/>
      <c r="J25" s="236">
        <v>97297</v>
      </c>
      <c r="K25" s="236"/>
      <c r="L25" s="236"/>
      <c r="M25" s="236">
        <f t="shared" si="1"/>
        <v>97297</v>
      </c>
      <c r="N25" s="502"/>
      <c r="O25" s="236">
        <v>122449</v>
      </c>
      <c r="P25" s="236"/>
      <c r="Q25" s="236"/>
      <c r="R25" s="236">
        <f t="shared" si="2"/>
        <v>122449</v>
      </c>
      <c r="S25" s="502"/>
      <c r="T25" s="236"/>
      <c r="U25" s="236"/>
      <c r="V25" s="236"/>
      <c r="W25" s="236">
        <f t="shared" si="3"/>
        <v>0</v>
      </c>
      <c r="X25" s="501" t="s">
        <v>73</v>
      </c>
      <c r="Y25" s="501" t="s">
        <v>1392</v>
      </c>
    </row>
    <row r="26" spans="1:25" ht="38.25" customHeight="1" x14ac:dyDescent="0.2">
      <c r="A26" s="503"/>
      <c r="B26" s="208">
        <v>580350403</v>
      </c>
      <c r="C26" s="241" t="s">
        <v>1412</v>
      </c>
      <c r="D26" s="502"/>
      <c r="E26" s="236">
        <v>358566</v>
      </c>
      <c r="F26" s="236"/>
      <c r="G26" s="850">
        <v>59274.507227119691</v>
      </c>
      <c r="H26" s="236">
        <f t="shared" si="0"/>
        <v>417840.5072271197</v>
      </c>
      <c r="I26" s="502"/>
      <c r="J26" s="236">
        <v>351159</v>
      </c>
      <c r="K26" s="236"/>
      <c r="L26" s="850">
        <v>103730</v>
      </c>
      <c r="M26" s="236">
        <f t="shared" si="1"/>
        <v>454889</v>
      </c>
      <c r="N26" s="502"/>
      <c r="O26" s="236">
        <v>269441</v>
      </c>
      <c r="P26" s="236"/>
      <c r="Q26" s="850">
        <v>122801</v>
      </c>
      <c r="R26" s="236">
        <f t="shared" si="2"/>
        <v>392242</v>
      </c>
      <c r="S26" s="502"/>
      <c r="T26" s="236">
        <v>403799</v>
      </c>
      <c r="U26" s="236"/>
      <c r="V26" s="850">
        <v>113957</v>
      </c>
      <c r="W26" s="236">
        <f t="shared" si="3"/>
        <v>517756</v>
      </c>
      <c r="X26" s="501" t="s">
        <v>1409</v>
      </c>
      <c r="Y26" s="501" t="s">
        <v>32</v>
      </c>
    </row>
    <row r="27" spans="1:25" ht="23.25" customHeight="1" x14ac:dyDescent="0.2">
      <c r="A27" s="503"/>
      <c r="B27" s="208">
        <v>580530616</v>
      </c>
      <c r="C27" s="241" t="s">
        <v>1423</v>
      </c>
      <c r="D27" s="502"/>
      <c r="E27" s="236">
        <v>154804</v>
      </c>
      <c r="F27" s="236"/>
      <c r="G27" s="215"/>
      <c r="H27" s="236">
        <f t="shared" si="0"/>
        <v>154804</v>
      </c>
      <c r="I27" s="502"/>
      <c r="J27" s="236">
        <v>168839</v>
      </c>
      <c r="K27" s="236"/>
      <c r="L27" s="215"/>
      <c r="M27" s="236">
        <f t="shared" si="1"/>
        <v>168839</v>
      </c>
      <c r="N27" s="502"/>
      <c r="O27" s="236">
        <v>130615</v>
      </c>
      <c r="P27" s="236"/>
      <c r="Q27" s="215"/>
      <c r="R27" s="236">
        <f t="shared" si="2"/>
        <v>130615</v>
      </c>
      <c r="S27" s="502"/>
      <c r="T27" s="236">
        <v>187218</v>
      </c>
      <c r="U27" s="236"/>
      <c r="V27" s="215"/>
      <c r="W27" s="236">
        <f t="shared" si="3"/>
        <v>187218</v>
      </c>
      <c r="X27" s="501" t="s">
        <v>2242</v>
      </c>
      <c r="Y27" s="501" t="s">
        <v>1392</v>
      </c>
    </row>
    <row r="28" spans="1:25" ht="23.25" customHeight="1" x14ac:dyDescent="0.2">
      <c r="A28" s="503"/>
      <c r="B28" s="208" t="s">
        <v>2405</v>
      </c>
      <c r="C28" s="241" t="s">
        <v>2406</v>
      </c>
      <c r="D28" s="502"/>
      <c r="E28" s="236">
        <v>109057</v>
      </c>
      <c r="F28" s="236"/>
      <c r="G28" s="215"/>
      <c r="H28" s="236">
        <f t="shared" si="0"/>
        <v>109057</v>
      </c>
      <c r="I28" s="502"/>
      <c r="J28" s="236">
        <v>150000</v>
      </c>
      <c r="K28" s="236"/>
      <c r="L28" s="215"/>
      <c r="M28" s="236">
        <f t="shared" si="1"/>
        <v>150000</v>
      </c>
      <c r="N28" s="502"/>
      <c r="O28" s="236">
        <v>199024</v>
      </c>
      <c r="P28" s="236"/>
      <c r="Q28" s="215"/>
      <c r="R28" s="236">
        <f t="shared" si="2"/>
        <v>199024</v>
      </c>
      <c r="S28" s="502"/>
      <c r="T28" s="236">
        <f>220000+1187908</f>
        <v>1407908</v>
      </c>
      <c r="U28" s="236"/>
      <c r="V28" s="215"/>
      <c r="W28" s="236">
        <f t="shared" si="3"/>
        <v>1407908</v>
      </c>
      <c r="X28" s="501" t="s">
        <v>2407</v>
      </c>
      <c r="Y28" s="501" t="s">
        <v>9</v>
      </c>
    </row>
    <row r="29" spans="1:25" ht="23.25" customHeight="1" x14ac:dyDescent="0.2">
      <c r="A29" s="503"/>
      <c r="B29" s="208">
        <v>513899153</v>
      </c>
      <c r="C29" s="241" t="s">
        <v>2514</v>
      </c>
      <c r="D29" s="502"/>
      <c r="E29" s="236">
        <v>83281</v>
      </c>
      <c r="F29" s="236"/>
      <c r="G29" s="215"/>
      <c r="H29" s="236">
        <f t="shared" si="0"/>
        <v>83281</v>
      </c>
      <c r="I29" s="502"/>
      <c r="J29" s="236">
        <v>72771</v>
      </c>
      <c r="K29" s="236"/>
      <c r="L29" s="215"/>
      <c r="M29" s="236">
        <f t="shared" si="1"/>
        <v>72771</v>
      </c>
      <c r="N29" s="502"/>
      <c r="O29" s="236">
        <v>120110</v>
      </c>
      <c r="P29" s="236"/>
      <c r="Q29" s="215"/>
      <c r="R29" s="236">
        <f t="shared" si="2"/>
        <v>120110</v>
      </c>
      <c r="S29" s="502"/>
      <c r="T29" s="236">
        <v>250000</v>
      </c>
      <c r="U29" s="236"/>
      <c r="V29" s="215"/>
      <c r="W29" s="236">
        <f t="shared" si="3"/>
        <v>250000</v>
      </c>
      <c r="X29" s="501" t="s">
        <v>416</v>
      </c>
      <c r="Y29" s="501" t="s">
        <v>136</v>
      </c>
    </row>
    <row r="30" spans="1:25" ht="23.25" customHeight="1" x14ac:dyDescent="0.2">
      <c r="A30" s="503"/>
      <c r="B30" s="208" t="s">
        <v>2984</v>
      </c>
      <c r="C30" s="241" t="s">
        <v>2985</v>
      </c>
      <c r="D30" s="502"/>
      <c r="E30" s="236"/>
      <c r="F30" s="236"/>
      <c r="G30" s="215"/>
      <c r="H30" s="236"/>
      <c r="I30" s="502"/>
      <c r="J30" s="236">
        <v>64865</v>
      </c>
      <c r="K30" s="236"/>
      <c r="L30" s="215"/>
      <c r="M30" s="236">
        <f t="shared" si="1"/>
        <v>64865</v>
      </c>
      <c r="N30" s="502"/>
      <c r="O30" s="236">
        <v>97959</v>
      </c>
      <c r="P30" s="236"/>
      <c r="Q30" s="215"/>
      <c r="R30" s="236">
        <f t="shared" si="2"/>
        <v>97959</v>
      </c>
      <c r="S30" s="502"/>
      <c r="T30" s="236"/>
      <c r="U30" s="236"/>
      <c r="V30" s="215"/>
      <c r="W30" s="236">
        <f t="shared" si="3"/>
        <v>0</v>
      </c>
      <c r="X30" s="501" t="s">
        <v>73</v>
      </c>
      <c r="Y30" s="501" t="s">
        <v>1392</v>
      </c>
    </row>
    <row r="31" spans="1:25" ht="23.25" customHeight="1" x14ac:dyDescent="0.2">
      <c r="A31" s="503"/>
      <c r="B31" s="208">
        <v>500262548</v>
      </c>
      <c r="C31" s="241" t="s">
        <v>2512</v>
      </c>
      <c r="D31" s="502"/>
      <c r="E31" s="236">
        <v>160520</v>
      </c>
      <c r="F31" s="236"/>
      <c r="G31" s="215"/>
      <c r="H31" s="236">
        <f t="shared" si="0"/>
        <v>160520</v>
      </c>
      <c r="I31" s="502"/>
      <c r="J31" s="236">
        <v>190367</v>
      </c>
      <c r="K31" s="236"/>
      <c r="L31" s="215"/>
      <c r="M31" s="236">
        <f t="shared" si="1"/>
        <v>190367</v>
      </c>
      <c r="N31" s="502"/>
      <c r="O31" s="236">
        <v>195922</v>
      </c>
      <c r="P31" s="236"/>
      <c r="Q31" s="215"/>
      <c r="R31" s="236">
        <f>SUM(O31:Q31)</f>
        <v>195922</v>
      </c>
      <c r="S31" s="502"/>
      <c r="T31" s="236">
        <v>300000</v>
      </c>
      <c r="U31" s="236"/>
      <c r="V31" s="215"/>
      <c r="W31" s="236">
        <f>SUM(T31:V31)</f>
        <v>300000</v>
      </c>
      <c r="X31" s="501" t="s">
        <v>2513</v>
      </c>
      <c r="Y31" s="501" t="s">
        <v>32</v>
      </c>
    </row>
    <row r="32" spans="1:25" ht="23.25" customHeight="1" x14ac:dyDescent="0.2">
      <c r="A32" s="503"/>
      <c r="B32" s="208" t="s">
        <v>3139</v>
      </c>
      <c r="C32" s="241" t="s">
        <v>3140</v>
      </c>
      <c r="D32" s="502"/>
      <c r="E32" s="236"/>
      <c r="F32" s="236"/>
      <c r="G32" s="215"/>
      <c r="H32" s="236"/>
      <c r="I32" s="502"/>
      <c r="J32" s="236"/>
      <c r="K32" s="236"/>
      <c r="L32" s="215"/>
      <c r="M32" s="236"/>
      <c r="N32" s="502"/>
      <c r="O32" s="236">
        <v>130443</v>
      </c>
      <c r="P32" s="236"/>
      <c r="Q32" s="215"/>
      <c r="R32" s="236">
        <f>SUM(O32:Q32)</f>
        <v>130443</v>
      </c>
      <c r="S32" s="502"/>
      <c r="T32" s="236"/>
      <c r="U32" s="236"/>
      <c r="V32" s="215"/>
      <c r="W32" s="236">
        <f>SUM(T32:V32)</f>
        <v>0</v>
      </c>
      <c r="X32" s="501" t="s">
        <v>73</v>
      </c>
      <c r="Y32" s="501" t="s">
        <v>136</v>
      </c>
    </row>
    <row r="33" spans="1:25" ht="23.25" customHeight="1" x14ac:dyDescent="0.2">
      <c r="A33" s="503"/>
      <c r="B33" s="208">
        <v>510623812</v>
      </c>
      <c r="C33" s="241" t="s">
        <v>3366</v>
      </c>
      <c r="D33" s="502"/>
      <c r="E33" s="236"/>
      <c r="F33" s="236"/>
      <c r="G33" s="215"/>
      <c r="H33" s="236"/>
      <c r="I33" s="502"/>
      <c r="J33" s="236"/>
      <c r="K33" s="236"/>
      <c r="L33" s="215"/>
      <c r="M33" s="236"/>
      <c r="N33" s="502"/>
      <c r="O33" s="236"/>
      <c r="P33" s="236"/>
      <c r="Q33" s="215"/>
      <c r="R33" s="236"/>
      <c r="S33" s="502"/>
      <c r="T33" s="236">
        <v>97200</v>
      </c>
      <c r="U33" s="236"/>
      <c r="V33" s="215"/>
      <c r="W33" s="236">
        <f>SUM(T33:V33)</f>
        <v>97200</v>
      </c>
      <c r="X33" s="501" t="s">
        <v>1202</v>
      </c>
      <c r="Y33" s="501" t="s">
        <v>32</v>
      </c>
    </row>
    <row r="34" spans="1:25" ht="23.25" customHeight="1" x14ac:dyDescent="0.2">
      <c r="A34" s="503"/>
      <c r="B34" s="208">
        <v>580162220</v>
      </c>
      <c r="C34" s="241" t="s">
        <v>3367</v>
      </c>
      <c r="D34" s="502"/>
      <c r="E34" s="236"/>
      <c r="F34" s="236"/>
      <c r="G34" s="215"/>
      <c r="H34" s="236"/>
      <c r="I34" s="502"/>
      <c r="J34" s="236"/>
      <c r="K34" s="236"/>
      <c r="L34" s="215"/>
      <c r="M34" s="236"/>
      <c r="N34" s="502"/>
      <c r="O34" s="236"/>
      <c r="P34" s="236"/>
      <c r="Q34" s="215"/>
      <c r="R34" s="236"/>
      <c r="S34" s="502"/>
      <c r="T34" s="236">
        <v>400000</v>
      </c>
      <c r="U34" s="236"/>
      <c r="V34" s="215"/>
      <c r="W34" s="236">
        <f>SUM(T34:V34)</f>
        <v>400000</v>
      </c>
      <c r="X34" s="501" t="s">
        <v>53</v>
      </c>
      <c r="Y34" s="501" t="s">
        <v>749</v>
      </c>
    </row>
    <row r="35" spans="1:25" ht="38.25" customHeight="1" x14ac:dyDescent="0.2">
      <c r="A35" s="503"/>
      <c r="B35" s="208">
        <v>500222062</v>
      </c>
      <c r="C35" s="241" t="s">
        <v>1414</v>
      </c>
      <c r="D35" s="502"/>
      <c r="E35" s="236">
        <v>271353</v>
      </c>
      <c r="F35" s="236"/>
      <c r="G35" s="236"/>
      <c r="H35" s="236">
        <f t="shared" si="0"/>
        <v>271353</v>
      </c>
      <c r="I35" s="502"/>
      <c r="J35" s="236">
        <v>250790</v>
      </c>
      <c r="K35" s="236"/>
      <c r="L35" s="236"/>
      <c r="M35" s="236">
        <f t="shared" si="1"/>
        <v>250790</v>
      </c>
      <c r="N35" s="502"/>
      <c r="O35" s="236">
        <v>225938</v>
      </c>
      <c r="P35" s="236"/>
      <c r="Q35" s="236"/>
      <c r="R35" s="236">
        <f t="shared" si="2"/>
        <v>225938</v>
      </c>
      <c r="S35" s="502"/>
      <c r="T35" s="236">
        <v>300000</v>
      </c>
      <c r="U35" s="236"/>
      <c r="V35" s="236"/>
      <c r="W35" s="236">
        <f t="shared" ref="W35" si="4">SUM(T35:V35)</f>
        <v>300000</v>
      </c>
      <c r="X35" s="501" t="s">
        <v>2241</v>
      </c>
      <c r="Y35" s="501" t="s">
        <v>9</v>
      </c>
    </row>
    <row r="37" spans="1:25" x14ac:dyDescent="0.2">
      <c r="H37" s="424"/>
      <c r="M37" s="424"/>
      <c r="R37" s="424"/>
      <c r="W37" s="424"/>
    </row>
  </sheetData>
  <mergeCells count="4">
    <mergeCell ref="E1:H1"/>
    <mergeCell ref="J1:M1"/>
    <mergeCell ref="O1:R1"/>
    <mergeCell ref="T1:W1"/>
  </mergeCells>
  <pageMargins left="0.15748031496062992" right="0.27559055118110237" top="1.4566929133858268" bottom="0.35433070866141736" header="1.0236220472440944" footer="0.11811023622047245"/>
  <pageSetup paperSize="9" scale="60" fitToHeight="2" orientation="landscape" r:id="rId1"/>
  <headerFooter alignWithMargins="0">
    <oddHeader>&amp;L&amp;D&amp;C&amp;"Arial,מודגש"&amp;11מינהל תרבות
&amp;12תקציב על שינויו 2016-2019 
 בש"ח בהתאם להחלטת ועדת התמיכות&amp;R&amp;"Arial,מודגש"&amp;16 42-02-28- קולנוע</oddHeader>
    <oddFooter>&amp;L&amp;F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A1:L193"/>
  <sheetViews>
    <sheetView rightToLeft="1" zoomScale="90" zoomScaleNormal="90" workbookViewId="0">
      <pane xSplit="3" ySplit="4" topLeftCell="D66" activePane="bottomRight" state="frozen"/>
      <selection activeCell="Y31" sqref="Y31"/>
      <selection pane="topRight" activeCell="Y31" sqref="Y31"/>
      <selection pane="bottomLeft" activeCell="Y31" sqref="Y31"/>
      <selection pane="bottomRight" activeCell="K1" sqref="K1:L1048576"/>
    </sheetView>
  </sheetViews>
  <sheetFormatPr defaultColWidth="6.7109375" defaultRowHeight="12.75" x14ac:dyDescent="0.2"/>
  <cols>
    <col min="1" max="1" width="0.140625" style="163" customWidth="1"/>
    <col min="2" max="2" width="14.140625" style="163" bestFit="1" customWidth="1"/>
    <col min="3" max="3" width="33.5703125" style="343" customWidth="1"/>
    <col min="4" max="4" width="13.85546875" style="342" bestFit="1" customWidth="1"/>
    <col min="5" max="5" width="0.5703125" style="201" customWidth="1"/>
    <col min="6" max="6" width="13.85546875" style="342" bestFit="1" customWidth="1"/>
    <col min="7" max="7" width="0.5703125" style="201" customWidth="1"/>
    <col min="8" max="8" width="13.85546875" style="342" bestFit="1" customWidth="1"/>
    <col min="9" max="9" width="0.5703125" style="201" customWidth="1"/>
    <col min="10" max="10" width="13.85546875" style="342" bestFit="1" customWidth="1"/>
    <col min="11" max="12" width="13.140625" style="342" hidden="1" customWidth="1"/>
    <col min="13" max="207" width="9.140625" style="163" customWidth="1"/>
    <col min="208" max="244" width="6.7109375" style="163"/>
    <col min="245" max="245" width="0.140625" style="163" customWidth="1"/>
    <col min="246" max="246" width="14.140625" style="163" bestFit="1" customWidth="1"/>
    <col min="247" max="247" width="33.5703125" style="163" customWidth="1"/>
    <col min="248" max="248" width="0.7109375" style="163" customWidth="1"/>
    <col min="249" max="249" width="13.85546875" style="163" bestFit="1" customWidth="1"/>
    <col min="250" max="250" width="11.5703125" style="163" customWidth="1"/>
    <col min="251" max="251" width="13.85546875" style="163" bestFit="1" customWidth="1"/>
    <col min="252" max="252" width="13.85546875" style="163" customWidth="1"/>
    <col min="253" max="253" width="0.7109375" style="163" customWidth="1"/>
    <col min="254" max="254" width="13.85546875" style="163" bestFit="1" customWidth="1"/>
    <col min="255" max="255" width="11.5703125" style="163" customWidth="1"/>
    <col min="256" max="256" width="13.85546875" style="163" bestFit="1" customWidth="1"/>
    <col min="257" max="257" width="0.7109375" style="163" customWidth="1"/>
    <col min="258" max="258" width="13.85546875" style="163" bestFit="1" customWidth="1"/>
    <col min="259" max="259" width="11.5703125" style="163" customWidth="1"/>
    <col min="260" max="260" width="13.85546875" style="163" bestFit="1" customWidth="1"/>
    <col min="261" max="261" width="13.85546875" style="163" customWidth="1"/>
    <col min="262" max="262" width="0.7109375" style="163" customWidth="1"/>
    <col min="263" max="263" width="13.85546875" style="163" bestFit="1" customWidth="1"/>
    <col min="264" max="264" width="11.5703125" style="163" customWidth="1"/>
    <col min="265" max="265" width="13.85546875" style="163" bestFit="1" customWidth="1"/>
    <col min="266" max="266" width="13.85546875" style="163" customWidth="1"/>
    <col min="267" max="268" width="13.140625" style="163" customWidth="1"/>
    <col min="269" max="463" width="9.140625" style="163" customWidth="1"/>
    <col min="464" max="500" width="6.7109375" style="163"/>
    <col min="501" max="501" width="0.140625" style="163" customWidth="1"/>
    <col min="502" max="502" width="14.140625" style="163" bestFit="1" customWidth="1"/>
    <col min="503" max="503" width="33.5703125" style="163" customWidth="1"/>
    <col min="504" max="504" width="0.7109375" style="163" customWidth="1"/>
    <col min="505" max="505" width="13.85546875" style="163" bestFit="1" customWidth="1"/>
    <col min="506" max="506" width="11.5703125" style="163" customWidth="1"/>
    <col min="507" max="507" width="13.85546875" style="163" bestFit="1" customWidth="1"/>
    <col min="508" max="508" width="13.85546875" style="163" customWidth="1"/>
    <col min="509" max="509" width="0.7109375" style="163" customWidth="1"/>
    <col min="510" max="510" width="13.85546875" style="163" bestFit="1" customWidth="1"/>
    <col min="511" max="511" width="11.5703125" style="163" customWidth="1"/>
    <col min="512" max="512" width="13.85546875" style="163" bestFit="1" customWidth="1"/>
    <col min="513" max="513" width="0.7109375" style="163" customWidth="1"/>
    <col min="514" max="514" width="13.85546875" style="163" bestFit="1" customWidth="1"/>
    <col min="515" max="515" width="11.5703125" style="163" customWidth="1"/>
    <col min="516" max="516" width="13.85546875" style="163" bestFit="1" customWidth="1"/>
    <col min="517" max="517" width="13.85546875" style="163" customWidth="1"/>
    <col min="518" max="518" width="0.7109375" style="163" customWidth="1"/>
    <col min="519" max="519" width="13.85546875" style="163" bestFit="1" customWidth="1"/>
    <col min="520" max="520" width="11.5703125" style="163" customWidth="1"/>
    <col min="521" max="521" width="13.85546875" style="163" bestFit="1" customWidth="1"/>
    <col min="522" max="522" width="13.85546875" style="163" customWidth="1"/>
    <col min="523" max="524" width="13.140625" style="163" customWidth="1"/>
    <col min="525" max="719" width="9.140625" style="163" customWidth="1"/>
    <col min="720" max="756" width="6.7109375" style="163"/>
    <col min="757" max="757" width="0.140625" style="163" customWidth="1"/>
    <col min="758" max="758" width="14.140625" style="163" bestFit="1" customWidth="1"/>
    <col min="759" max="759" width="33.5703125" style="163" customWidth="1"/>
    <col min="760" max="760" width="0.7109375" style="163" customWidth="1"/>
    <col min="761" max="761" width="13.85546875" style="163" bestFit="1" customWidth="1"/>
    <col min="762" max="762" width="11.5703125" style="163" customWidth="1"/>
    <col min="763" max="763" width="13.85546875" style="163" bestFit="1" customWidth="1"/>
    <col min="764" max="764" width="13.85546875" style="163" customWidth="1"/>
    <col min="765" max="765" width="0.7109375" style="163" customWidth="1"/>
    <col min="766" max="766" width="13.85546875" style="163" bestFit="1" customWidth="1"/>
    <col min="767" max="767" width="11.5703125" style="163" customWidth="1"/>
    <col min="768" max="768" width="13.85546875" style="163" bestFit="1" customWidth="1"/>
    <col min="769" max="769" width="0.7109375" style="163" customWidth="1"/>
    <col min="770" max="770" width="13.85546875" style="163" bestFit="1" customWidth="1"/>
    <col min="771" max="771" width="11.5703125" style="163" customWidth="1"/>
    <col min="772" max="772" width="13.85546875" style="163" bestFit="1" customWidth="1"/>
    <col min="773" max="773" width="13.85546875" style="163" customWidth="1"/>
    <col min="774" max="774" width="0.7109375" style="163" customWidth="1"/>
    <col min="775" max="775" width="13.85546875" style="163" bestFit="1" customWidth="1"/>
    <col min="776" max="776" width="11.5703125" style="163" customWidth="1"/>
    <col min="777" max="777" width="13.85546875" style="163" bestFit="1" customWidth="1"/>
    <col min="778" max="778" width="13.85546875" style="163" customWidth="1"/>
    <col min="779" max="780" width="13.140625" style="163" customWidth="1"/>
    <col min="781" max="975" width="9.140625" style="163" customWidth="1"/>
    <col min="976" max="1012" width="6.7109375" style="163"/>
    <col min="1013" max="1013" width="0.140625" style="163" customWidth="1"/>
    <col min="1014" max="1014" width="14.140625" style="163" bestFit="1" customWidth="1"/>
    <col min="1015" max="1015" width="33.5703125" style="163" customWidth="1"/>
    <col min="1016" max="1016" width="0.7109375" style="163" customWidth="1"/>
    <col min="1017" max="1017" width="13.85546875" style="163" bestFit="1" customWidth="1"/>
    <col min="1018" max="1018" width="11.5703125" style="163" customWidth="1"/>
    <col min="1019" max="1019" width="13.85546875" style="163" bestFit="1" customWidth="1"/>
    <col min="1020" max="1020" width="13.85546875" style="163" customWidth="1"/>
    <col min="1021" max="1021" width="0.7109375" style="163" customWidth="1"/>
    <col min="1022" max="1022" width="13.85546875" style="163" bestFit="1" customWidth="1"/>
    <col min="1023" max="1023" width="11.5703125" style="163" customWidth="1"/>
    <col min="1024" max="1024" width="13.85546875" style="163" bestFit="1" customWidth="1"/>
    <col min="1025" max="1025" width="0.7109375" style="163" customWidth="1"/>
    <col min="1026" max="1026" width="13.85546875" style="163" bestFit="1" customWidth="1"/>
    <col min="1027" max="1027" width="11.5703125" style="163" customWidth="1"/>
    <col min="1028" max="1028" width="13.85546875" style="163" bestFit="1" customWidth="1"/>
    <col min="1029" max="1029" width="13.85546875" style="163" customWidth="1"/>
    <col min="1030" max="1030" width="0.7109375" style="163" customWidth="1"/>
    <col min="1031" max="1031" width="13.85546875" style="163" bestFit="1" customWidth="1"/>
    <col min="1032" max="1032" width="11.5703125" style="163" customWidth="1"/>
    <col min="1033" max="1033" width="13.85546875" style="163" bestFit="1" customWidth="1"/>
    <col min="1034" max="1034" width="13.85546875" style="163" customWidth="1"/>
    <col min="1035" max="1036" width="13.140625" style="163" customWidth="1"/>
    <col min="1037" max="1231" width="9.140625" style="163" customWidth="1"/>
    <col min="1232" max="1268" width="6.7109375" style="163"/>
    <col min="1269" max="1269" width="0.140625" style="163" customWidth="1"/>
    <col min="1270" max="1270" width="14.140625" style="163" bestFit="1" customWidth="1"/>
    <col min="1271" max="1271" width="33.5703125" style="163" customWidth="1"/>
    <col min="1272" max="1272" width="0.7109375" style="163" customWidth="1"/>
    <col min="1273" max="1273" width="13.85546875" style="163" bestFit="1" customWidth="1"/>
    <col min="1274" max="1274" width="11.5703125" style="163" customWidth="1"/>
    <col min="1275" max="1275" width="13.85546875" style="163" bestFit="1" customWidth="1"/>
    <col min="1276" max="1276" width="13.85546875" style="163" customWidth="1"/>
    <col min="1277" max="1277" width="0.7109375" style="163" customWidth="1"/>
    <col min="1278" max="1278" width="13.85546875" style="163" bestFit="1" customWidth="1"/>
    <col min="1279" max="1279" width="11.5703125" style="163" customWidth="1"/>
    <col min="1280" max="1280" width="13.85546875" style="163" bestFit="1" customWidth="1"/>
    <col min="1281" max="1281" width="0.7109375" style="163" customWidth="1"/>
    <col min="1282" max="1282" width="13.85546875" style="163" bestFit="1" customWidth="1"/>
    <col min="1283" max="1283" width="11.5703125" style="163" customWidth="1"/>
    <col min="1284" max="1284" width="13.85546875" style="163" bestFit="1" customWidth="1"/>
    <col min="1285" max="1285" width="13.85546875" style="163" customWidth="1"/>
    <col min="1286" max="1286" width="0.7109375" style="163" customWidth="1"/>
    <col min="1287" max="1287" width="13.85546875" style="163" bestFit="1" customWidth="1"/>
    <col min="1288" max="1288" width="11.5703125" style="163" customWidth="1"/>
    <col min="1289" max="1289" width="13.85546875" style="163" bestFit="1" customWidth="1"/>
    <col min="1290" max="1290" width="13.85546875" style="163" customWidth="1"/>
    <col min="1291" max="1292" width="13.140625" style="163" customWidth="1"/>
    <col min="1293" max="1487" width="9.140625" style="163" customWidth="1"/>
    <col min="1488" max="1524" width="6.7109375" style="163"/>
    <col min="1525" max="1525" width="0.140625" style="163" customWidth="1"/>
    <col min="1526" max="1526" width="14.140625" style="163" bestFit="1" customWidth="1"/>
    <col min="1527" max="1527" width="33.5703125" style="163" customWidth="1"/>
    <col min="1528" max="1528" width="0.7109375" style="163" customWidth="1"/>
    <col min="1529" max="1529" width="13.85546875" style="163" bestFit="1" customWidth="1"/>
    <col min="1530" max="1530" width="11.5703125" style="163" customWidth="1"/>
    <col min="1531" max="1531" width="13.85546875" style="163" bestFit="1" customWidth="1"/>
    <col min="1532" max="1532" width="13.85546875" style="163" customWidth="1"/>
    <col min="1533" max="1533" width="0.7109375" style="163" customWidth="1"/>
    <col min="1534" max="1534" width="13.85546875" style="163" bestFit="1" customWidth="1"/>
    <col min="1535" max="1535" width="11.5703125" style="163" customWidth="1"/>
    <col min="1536" max="1536" width="13.85546875" style="163" bestFit="1" customWidth="1"/>
    <col min="1537" max="1537" width="0.7109375" style="163" customWidth="1"/>
    <col min="1538" max="1538" width="13.85546875" style="163" bestFit="1" customWidth="1"/>
    <col min="1539" max="1539" width="11.5703125" style="163" customWidth="1"/>
    <col min="1540" max="1540" width="13.85546875" style="163" bestFit="1" customWidth="1"/>
    <col min="1541" max="1541" width="13.85546875" style="163" customWidth="1"/>
    <col min="1542" max="1542" width="0.7109375" style="163" customWidth="1"/>
    <col min="1543" max="1543" width="13.85546875" style="163" bestFit="1" customWidth="1"/>
    <col min="1544" max="1544" width="11.5703125" style="163" customWidth="1"/>
    <col min="1545" max="1545" width="13.85546875" style="163" bestFit="1" customWidth="1"/>
    <col min="1546" max="1546" width="13.85546875" style="163" customWidth="1"/>
    <col min="1547" max="1548" width="13.140625" style="163" customWidth="1"/>
    <col min="1549" max="1743" width="9.140625" style="163" customWidth="1"/>
    <col min="1744" max="1780" width="6.7109375" style="163"/>
    <col min="1781" max="1781" width="0.140625" style="163" customWidth="1"/>
    <col min="1782" max="1782" width="14.140625" style="163" bestFit="1" customWidth="1"/>
    <col min="1783" max="1783" width="33.5703125" style="163" customWidth="1"/>
    <col min="1784" max="1784" width="0.7109375" style="163" customWidth="1"/>
    <col min="1785" max="1785" width="13.85546875" style="163" bestFit="1" customWidth="1"/>
    <col min="1786" max="1786" width="11.5703125" style="163" customWidth="1"/>
    <col min="1787" max="1787" width="13.85546875" style="163" bestFit="1" customWidth="1"/>
    <col min="1788" max="1788" width="13.85546875" style="163" customWidth="1"/>
    <col min="1789" max="1789" width="0.7109375" style="163" customWidth="1"/>
    <col min="1790" max="1790" width="13.85546875" style="163" bestFit="1" customWidth="1"/>
    <col min="1791" max="1791" width="11.5703125" style="163" customWidth="1"/>
    <col min="1792" max="1792" width="13.85546875" style="163" bestFit="1" customWidth="1"/>
    <col min="1793" max="1793" width="0.7109375" style="163" customWidth="1"/>
    <col min="1794" max="1794" width="13.85546875" style="163" bestFit="1" customWidth="1"/>
    <col min="1795" max="1795" width="11.5703125" style="163" customWidth="1"/>
    <col min="1796" max="1796" width="13.85546875" style="163" bestFit="1" customWidth="1"/>
    <col min="1797" max="1797" width="13.85546875" style="163" customWidth="1"/>
    <col min="1798" max="1798" width="0.7109375" style="163" customWidth="1"/>
    <col min="1799" max="1799" width="13.85546875" style="163" bestFit="1" customWidth="1"/>
    <col min="1800" max="1800" width="11.5703125" style="163" customWidth="1"/>
    <col min="1801" max="1801" width="13.85546875" style="163" bestFit="1" customWidth="1"/>
    <col min="1802" max="1802" width="13.85546875" style="163" customWidth="1"/>
    <col min="1803" max="1804" width="13.140625" style="163" customWidth="1"/>
    <col min="1805" max="1999" width="9.140625" style="163" customWidth="1"/>
    <col min="2000" max="2036" width="6.7109375" style="163"/>
    <col min="2037" max="2037" width="0.140625" style="163" customWidth="1"/>
    <col min="2038" max="2038" width="14.140625" style="163" bestFit="1" customWidth="1"/>
    <col min="2039" max="2039" width="33.5703125" style="163" customWidth="1"/>
    <col min="2040" max="2040" width="0.7109375" style="163" customWidth="1"/>
    <col min="2041" max="2041" width="13.85546875" style="163" bestFit="1" customWidth="1"/>
    <col min="2042" max="2042" width="11.5703125" style="163" customWidth="1"/>
    <col min="2043" max="2043" width="13.85546875" style="163" bestFit="1" customWidth="1"/>
    <col min="2044" max="2044" width="13.85546875" style="163" customWidth="1"/>
    <col min="2045" max="2045" width="0.7109375" style="163" customWidth="1"/>
    <col min="2046" max="2046" width="13.85546875" style="163" bestFit="1" customWidth="1"/>
    <col min="2047" max="2047" width="11.5703125" style="163" customWidth="1"/>
    <col min="2048" max="2048" width="13.85546875" style="163" bestFit="1" customWidth="1"/>
    <col min="2049" max="2049" width="0.7109375" style="163" customWidth="1"/>
    <col min="2050" max="2050" width="13.85546875" style="163" bestFit="1" customWidth="1"/>
    <col min="2051" max="2051" width="11.5703125" style="163" customWidth="1"/>
    <col min="2052" max="2052" width="13.85546875" style="163" bestFit="1" customWidth="1"/>
    <col min="2053" max="2053" width="13.85546875" style="163" customWidth="1"/>
    <col min="2054" max="2054" width="0.7109375" style="163" customWidth="1"/>
    <col min="2055" max="2055" width="13.85546875" style="163" bestFit="1" customWidth="1"/>
    <col min="2056" max="2056" width="11.5703125" style="163" customWidth="1"/>
    <col min="2057" max="2057" width="13.85546875" style="163" bestFit="1" customWidth="1"/>
    <col min="2058" max="2058" width="13.85546875" style="163" customWidth="1"/>
    <col min="2059" max="2060" width="13.140625" style="163" customWidth="1"/>
    <col min="2061" max="2255" width="9.140625" style="163" customWidth="1"/>
    <col min="2256" max="2292" width="6.7109375" style="163"/>
    <col min="2293" max="2293" width="0.140625" style="163" customWidth="1"/>
    <col min="2294" max="2294" width="14.140625" style="163" bestFit="1" customWidth="1"/>
    <col min="2295" max="2295" width="33.5703125" style="163" customWidth="1"/>
    <col min="2296" max="2296" width="0.7109375" style="163" customWidth="1"/>
    <col min="2297" max="2297" width="13.85546875" style="163" bestFit="1" customWidth="1"/>
    <col min="2298" max="2298" width="11.5703125" style="163" customWidth="1"/>
    <col min="2299" max="2299" width="13.85546875" style="163" bestFit="1" customWidth="1"/>
    <col min="2300" max="2300" width="13.85546875" style="163" customWidth="1"/>
    <col min="2301" max="2301" width="0.7109375" style="163" customWidth="1"/>
    <col min="2302" max="2302" width="13.85546875" style="163" bestFit="1" customWidth="1"/>
    <col min="2303" max="2303" width="11.5703125" style="163" customWidth="1"/>
    <col min="2304" max="2304" width="13.85546875" style="163" bestFit="1" customWidth="1"/>
    <col min="2305" max="2305" width="0.7109375" style="163" customWidth="1"/>
    <col min="2306" max="2306" width="13.85546875" style="163" bestFit="1" customWidth="1"/>
    <col min="2307" max="2307" width="11.5703125" style="163" customWidth="1"/>
    <col min="2308" max="2308" width="13.85546875" style="163" bestFit="1" customWidth="1"/>
    <col min="2309" max="2309" width="13.85546875" style="163" customWidth="1"/>
    <col min="2310" max="2310" width="0.7109375" style="163" customWidth="1"/>
    <col min="2311" max="2311" width="13.85546875" style="163" bestFit="1" customWidth="1"/>
    <col min="2312" max="2312" width="11.5703125" style="163" customWidth="1"/>
    <col min="2313" max="2313" width="13.85546875" style="163" bestFit="1" customWidth="1"/>
    <col min="2314" max="2314" width="13.85546875" style="163" customWidth="1"/>
    <col min="2315" max="2316" width="13.140625" style="163" customWidth="1"/>
    <col min="2317" max="2511" width="9.140625" style="163" customWidth="1"/>
    <col min="2512" max="2548" width="6.7109375" style="163"/>
    <col min="2549" max="2549" width="0.140625" style="163" customWidth="1"/>
    <col min="2550" max="2550" width="14.140625" style="163" bestFit="1" customWidth="1"/>
    <col min="2551" max="2551" width="33.5703125" style="163" customWidth="1"/>
    <col min="2552" max="2552" width="0.7109375" style="163" customWidth="1"/>
    <col min="2553" max="2553" width="13.85546875" style="163" bestFit="1" customWidth="1"/>
    <col min="2554" max="2554" width="11.5703125" style="163" customWidth="1"/>
    <col min="2555" max="2555" width="13.85546875" style="163" bestFit="1" customWidth="1"/>
    <col min="2556" max="2556" width="13.85546875" style="163" customWidth="1"/>
    <col min="2557" max="2557" width="0.7109375" style="163" customWidth="1"/>
    <col min="2558" max="2558" width="13.85546875" style="163" bestFit="1" customWidth="1"/>
    <col min="2559" max="2559" width="11.5703125" style="163" customWidth="1"/>
    <col min="2560" max="2560" width="13.85546875" style="163" bestFit="1" customWidth="1"/>
    <col min="2561" max="2561" width="0.7109375" style="163" customWidth="1"/>
    <col min="2562" max="2562" width="13.85546875" style="163" bestFit="1" customWidth="1"/>
    <col min="2563" max="2563" width="11.5703125" style="163" customWidth="1"/>
    <col min="2564" max="2564" width="13.85546875" style="163" bestFit="1" customWidth="1"/>
    <col min="2565" max="2565" width="13.85546875" style="163" customWidth="1"/>
    <col min="2566" max="2566" width="0.7109375" style="163" customWidth="1"/>
    <col min="2567" max="2567" width="13.85546875" style="163" bestFit="1" customWidth="1"/>
    <col min="2568" max="2568" width="11.5703125" style="163" customWidth="1"/>
    <col min="2569" max="2569" width="13.85546875" style="163" bestFit="1" customWidth="1"/>
    <col min="2570" max="2570" width="13.85546875" style="163" customWidth="1"/>
    <col min="2571" max="2572" width="13.140625" style="163" customWidth="1"/>
    <col min="2573" max="2767" width="9.140625" style="163" customWidth="1"/>
    <col min="2768" max="2804" width="6.7109375" style="163"/>
    <col min="2805" max="2805" width="0.140625" style="163" customWidth="1"/>
    <col min="2806" max="2806" width="14.140625" style="163" bestFit="1" customWidth="1"/>
    <col min="2807" max="2807" width="33.5703125" style="163" customWidth="1"/>
    <col min="2808" max="2808" width="0.7109375" style="163" customWidth="1"/>
    <col min="2809" max="2809" width="13.85546875" style="163" bestFit="1" customWidth="1"/>
    <col min="2810" max="2810" width="11.5703125" style="163" customWidth="1"/>
    <col min="2811" max="2811" width="13.85546875" style="163" bestFit="1" customWidth="1"/>
    <col min="2812" max="2812" width="13.85546875" style="163" customWidth="1"/>
    <col min="2813" max="2813" width="0.7109375" style="163" customWidth="1"/>
    <col min="2814" max="2814" width="13.85546875" style="163" bestFit="1" customWidth="1"/>
    <col min="2815" max="2815" width="11.5703125" style="163" customWidth="1"/>
    <col min="2816" max="2816" width="13.85546875" style="163" bestFit="1" customWidth="1"/>
    <col min="2817" max="2817" width="0.7109375" style="163" customWidth="1"/>
    <col min="2818" max="2818" width="13.85546875" style="163" bestFit="1" customWidth="1"/>
    <col min="2819" max="2819" width="11.5703125" style="163" customWidth="1"/>
    <col min="2820" max="2820" width="13.85546875" style="163" bestFit="1" customWidth="1"/>
    <col min="2821" max="2821" width="13.85546875" style="163" customWidth="1"/>
    <col min="2822" max="2822" width="0.7109375" style="163" customWidth="1"/>
    <col min="2823" max="2823" width="13.85546875" style="163" bestFit="1" customWidth="1"/>
    <col min="2824" max="2824" width="11.5703125" style="163" customWidth="1"/>
    <col min="2825" max="2825" width="13.85546875" style="163" bestFit="1" customWidth="1"/>
    <col min="2826" max="2826" width="13.85546875" style="163" customWidth="1"/>
    <col min="2827" max="2828" width="13.140625" style="163" customWidth="1"/>
    <col min="2829" max="3023" width="9.140625" style="163" customWidth="1"/>
    <col min="3024" max="3060" width="6.7109375" style="163"/>
    <col min="3061" max="3061" width="0.140625" style="163" customWidth="1"/>
    <col min="3062" max="3062" width="14.140625" style="163" bestFit="1" customWidth="1"/>
    <col min="3063" max="3063" width="33.5703125" style="163" customWidth="1"/>
    <col min="3064" max="3064" width="0.7109375" style="163" customWidth="1"/>
    <col min="3065" max="3065" width="13.85546875" style="163" bestFit="1" customWidth="1"/>
    <col min="3066" max="3066" width="11.5703125" style="163" customWidth="1"/>
    <col min="3067" max="3067" width="13.85546875" style="163" bestFit="1" customWidth="1"/>
    <col min="3068" max="3068" width="13.85546875" style="163" customWidth="1"/>
    <col min="3069" max="3069" width="0.7109375" style="163" customWidth="1"/>
    <col min="3070" max="3070" width="13.85546875" style="163" bestFit="1" customWidth="1"/>
    <col min="3071" max="3071" width="11.5703125" style="163" customWidth="1"/>
    <col min="3072" max="3072" width="13.85546875" style="163" bestFit="1" customWidth="1"/>
    <col min="3073" max="3073" width="0.7109375" style="163" customWidth="1"/>
    <col min="3074" max="3074" width="13.85546875" style="163" bestFit="1" customWidth="1"/>
    <col min="3075" max="3075" width="11.5703125" style="163" customWidth="1"/>
    <col min="3076" max="3076" width="13.85546875" style="163" bestFit="1" customWidth="1"/>
    <col min="3077" max="3077" width="13.85546875" style="163" customWidth="1"/>
    <col min="3078" max="3078" width="0.7109375" style="163" customWidth="1"/>
    <col min="3079" max="3079" width="13.85546875" style="163" bestFit="1" customWidth="1"/>
    <col min="3080" max="3080" width="11.5703125" style="163" customWidth="1"/>
    <col min="3081" max="3081" width="13.85546875" style="163" bestFit="1" customWidth="1"/>
    <col min="3082" max="3082" width="13.85546875" style="163" customWidth="1"/>
    <col min="3083" max="3084" width="13.140625" style="163" customWidth="1"/>
    <col min="3085" max="3279" width="9.140625" style="163" customWidth="1"/>
    <col min="3280" max="3316" width="6.7109375" style="163"/>
    <col min="3317" max="3317" width="0.140625" style="163" customWidth="1"/>
    <col min="3318" max="3318" width="14.140625" style="163" bestFit="1" customWidth="1"/>
    <col min="3319" max="3319" width="33.5703125" style="163" customWidth="1"/>
    <col min="3320" max="3320" width="0.7109375" style="163" customWidth="1"/>
    <col min="3321" max="3321" width="13.85546875" style="163" bestFit="1" customWidth="1"/>
    <col min="3322" max="3322" width="11.5703125" style="163" customWidth="1"/>
    <col min="3323" max="3323" width="13.85546875" style="163" bestFit="1" customWidth="1"/>
    <col min="3324" max="3324" width="13.85546875" style="163" customWidth="1"/>
    <col min="3325" max="3325" width="0.7109375" style="163" customWidth="1"/>
    <col min="3326" max="3326" width="13.85546875" style="163" bestFit="1" customWidth="1"/>
    <col min="3327" max="3327" width="11.5703125" style="163" customWidth="1"/>
    <col min="3328" max="3328" width="13.85546875" style="163" bestFit="1" customWidth="1"/>
    <col min="3329" max="3329" width="0.7109375" style="163" customWidth="1"/>
    <col min="3330" max="3330" width="13.85546875" style="163" bestFit="1" customWidth="1"/>
    <col min="3331" max="3331" width="11.5703125" style="163" customWidth="1"/>
    <col min="3332" max="3332" width="13.85546875" style="163" bestFit="1" customWidth="1"/>
    <col min="3333" max="3333" width="13.85546875" style="163" customWidth="1"/>
    <col min="3334" max="3334" width="0.7109375" style="163" customWidth="1"/>
    <col min="3335" max="3335" width="13.85546875" style="163" bestFit="1" customWidth="1"/>
    <col min="3336" max="3336" width="11.5703125" style="163" customWidth="1"/>
    <col min="3337" max="3337" width="13.85546875" style="163" bestFit="1" customWidth="1"/>
    <col min="3338" max="3338" width="13.85546875" style="163" customWidth="1"/>
    <col min="3339" max="3340" width="13.140625" style="163" customWidth="1"/>
    <col min="3341" max="3535" width="9.140625" style="163" customWidth="1"/>
    <col min="3536" max="3572" width="6.7109375" style="163"/>
    <col min="3573" max="3573" width="0.140625" style="163" customWidth="1"/>
    <col min="3574" max="3574" width="14.140625" style="163" bestFit="1" customWidth="1"/>
    <col min="3575" max="3575" width="33.5703125" style="163" customWidth="1"/>
    <col min="3576" max="3576" width="0.7109375" style="163" customWidth="1"/>
    <col min="3577" max="3577" width="13.85546875" style="163" bestFit="1" customWidth="1"/>
    <col min="3578" max="3578" width="11.5703125" style="163" customWidth="1"/>
    <col min="3579" max="3579" width="13.85546875" style="163" bestFit="1" customWidth="1"/>
    <col min="3580" max="3580" width="13.85546875" style="163" customWidth="1"/>
    <col min="3581" max="3581" width="0.7109375" style="163" customWidth="1"/>
    <col min="3582" max="3582" width="13.85546875" style="163" bestFit="1" customWidth="1"/>
    <col min="3583" max="3583" width="11.5703125" style="163" customWidth="1"/>
    <col min="3584" max="3584" width="13.85546875" style="163" bestFit="1" customWidth="1"/>
    <col min="3585" max="3585" width="0.7109375" style="163" customWidth="1"/>
    <col min="3586" max="3586" width="13.85546875" style="163" bestFit="1" customWidth="1"/>
    <col min="3587" max="3587" width="11.5703125" style="163" customWidth="1"/>
    <col min="3588" max="3588" width="13.85546875" style="163" bestFit="1" customWidth="1"/>
    <col min="3589" max="3589" width="13.85546875" style="163" customWidth="1"/>
    <col min="3590" max="3590" width="0.7109375" style="163" customWidth="1"/>
    <col min="3591" max="3591" width="13.85546875" style="163" bestFit="1" customWidth="1"/>
    <col min="3592" max="3592" width="11.5703125" style="163" customWidth="1"/>
    <col min="3593" max="3593" width="13.85546875" style="163" bestFit="1" customWidth="1"/>
    <col min="3594" max="3594" width="13.85546875" style="163" customWidth="1"/>
    <col min="3595" max="3596" width="13.140625" style="163" customWidth="1"/>
    <col min="3597" max="3791" width="9.140625" style="163" customWidth="1"/>
    <col min="3792" max="3828" width="6.7109375" style="163"/>
    <col min="3829" max="3829" width="0.140625" style="163" customWidth="1"/>
    <col min="3830" max="3830" width="14.140625" style="163" bestFit="1" customWidth="1"/>
    <col min="3831" max="3831" width="33.5703125" style="163" customWidth="1"/>
    <col min="3832" max="3832" width="0.7109375" style="163" customWidth="1"/>
    <col min="3833" max="3833" width="13.85546875" style="163" bestFit="1" customWidth="1"/>
    <col min="3834" max="3834" width="11.5703125" style="163" customWidth="1"/>
    <col min="3835" max="3835" width="13.85546875" style="163" bestFit="1" customWidth="1"/>
    <col min="3836" max="3836" width="13.85546875" style="163" customWidth="1"/>
    <col min="3837" max="3837" width="0.7109375" style="163" customWidth="1"/>
    <col min="3838" max="3838" width="13.85546875" style="163" bestFit="1" customWidth="1"/>
    <col min="3839" max="3839" width="11.5703125" style="163" customWidth="1"/>
    <col min="3840" max="3840" width="13.85546875" style="163" bestFit="1" customWidth="1"/>
    <col min="3841" max="3841" width="0.7109375" style="163" customWidth="1"/>
    <col min="3842" max="3842" width="13.85546875" style="163" bestFit="1" customWidth="1"/>
    <col min="3843" max="3843" width="11.5703125" style="163" customWidth="1"/>
    <col min="3844" max="3844" width="13.85546875" style="163" bestFit="1" customWidth="1"/>
    <col min="3845" max="3845" width="13.85546875" style="163" customWidth="1"/>
    <col min="3846" max="3846" width="0.7109375" style="163" customWidth="1"/>
    <col min="3847" max="3847" width="13.85546875" style="163" bestFit="1" customWidth="1"/>
    <col min="3848" max="3848" width="11.5703125" style="163" customWidth="1"/>
    <col min="3849" max="3849" width="13.85546875" style="163" bestFit="1" customWidth="1"/>
    <col min="3850" max="3850" width="13.85546875" style="163" customWidth="1"/>
    <col min="3851" max="3852" width="13.140625" style="163" customWidth="1"/>
    <col min="3853" max="4047" width="9.140625" style="163" customWidth="1"/>
    <col min="4048" max="4084" width="6.7109375" style="163"/>
    <col min="4085" max="4085" width="0.140625" style="163" customWidth="1"/>
    <col min="4086" max="4086" width="14.140625" style="163" bestFit="1" customWidth="1"/>
    <col min="4087" max="4087" width="33.5703125" style="163" customWidth="1"/>
    <col min="4088" max="4088" width="0.7109375" style="163" customWidth="1"/>
    <col min="4089" max="4089" width="13.85546875" style="163" bestFit="1" customWidth="1"/>
    <col min="4090" max="4090" width="11.5703125" style="163" customWidth="1"/>
    <col min="4091" max="4091" width="13.85546875" style="163" bestFit="1" customWidth="1"/>
    <col min="4092" max="4092" width="13.85546875" style="163" customWidth="1"/>
    <col min="4093" max="4093" width="0.7109375" style="163" customWidth="1"/>
    <col min="4094" max="4094" width="13.85546875" style="163" bestFit="1" customWidth="1"/>
    <col min="4095" max="4095" width="11.5703125" style="163" customWidth="1"/>
    <col min="4096" max="4096" width="13.85546875" style="163" bestFit="1" customWidth="1"/>
    <col min="4097" max="4097" width="0.7109375" style="163" customWidth="1"/>
    <col min="4098" max="4098" width="13.85546875" style="163" bestFit="1" customWidth="1"/>
    <col min="4099" max="4099" width="11.5703125" style="163" customWidth="1"/>
    <col min="4100" max="4100" width="13.85546875" style="163" bestFit="1" customWidth="1"/>
    <col min="4101" max="4101" width="13.85546875" style="163" customWidth="1"/>
    <col min="4102" max="4102" width="0.7109375" style="163" customWidth="1"/>
    <col min="4103" max="4103" width="13.85546875" style="163" bestFit="1" customWidth="1"/>
    <col min="4104" max="4104" width="11.5703125" style="163" customWidth="1"/>
    <col min="4105" max="4105" width="13.85546875" style="163" bestFit="1" customWidth="1"/>
    <col min="4106" max="4106" width="13.85546875" style="163" customWidth="1"/>
    <col min="4107" max="4108" width="13.140625" style="163" customWidth="1"/>
    <col min="4109" max="4303" width="9.140625" style="163" customWidth="1"/>
    <col min="4304" max="4340" width="6.7109375" style="163"/>
    <col min="4341" max="4341" width="0.140625" style="163" customWidth="1"/>
    <col min="4342" max="4342" width="14.140625" style="163" bestFit="1" customWidth="1"/>
    <col min="4343" max="4343" width="33.5703125" style="163" customWidth="1"/>
    <col min="4344" max="4344" width="0.7109375" style="163" customWidth="1"/>
    <col min="4345" max="4345" width="13.85546875" style="163" bestFit="1" customWidth="1"/>
    <col min="4346" max="4346" width="11.5703125" style="163" customWidth="1"/>
    <col min="4347" max="4347" width="13.85546875" style="163" bestFit="1" customWidth="1"/>
    <col min="4348" max="4348" width="13.85546875" style="163" customWidth="1"/>
    <col min="4349" max="4349" width="0.7109375" style="163" customWidth="1"/>
    <col min="4350" max="4350" width="13.85546875" style="163" bestFit="1" customWidth="1"/>
    <col min="4351" max="4351" width="11.5703125" style="163" customWidth="1"/>
    <col min="4352" max="4352" width="13.85546875" style="163" bestFit="1" customWidth="1"/>
    <col min="4353" max="4353" width="0.7109375" style="163" customWidth="1"/>
    <col min="4354" max="4354" width="13.85546875" style="163" bestFit="1" customWidth="1"/>
    <col min="4355" max="4355" width="11.5703125" style="163" customWidth="1"/>
    <col min="4356" max="4356" width="13.85546875" style="163" bestFit="1" customWidth="1"/>
    <col min="4357" max="4357" width="13.85546875" style="163" customWidth="1"/>
    <col min="4358" max="4358" width="0.7109375" style="163" customWidth="1"/>
    <col min="4359" max="4359" width="13.85546875" style="163" bestFit="1" customWidth="1"/>
    <col min="4360" max="4360" width="11.5703125" style="163" customWidth="1"/>
    <col min="4361" max="4361" width="13.85546875" style="163" bestFit="1" customWidth="1"/>
    <col min="4362" max="4362" width="13.85546875" style="163" customWidth="1"/>
    <col min="4363" max="4364" width="13.140625" style="163" customWidth="1"/>
    <col min="4365" max="4559" width="9.140625" style="163" customWidth="1"/>
    <col min="4560" max="4596" width="6.7109375" style="163"/>
    <col min="4597" max="4597" width="0.140625" style="163" customWidth="1"/>
    <col min="4598" max="4598" width="14.140625" style="163" bestFit="1" customWidth="1"/>
    <col min="4599" max="4599" width="33.5703125" style="163" customWidth="1"/>
    <col min="4600" max="4600" width="0.7109375" style="163" customWidth="1"/>
    <col min="4601" max="4601" width="13.85546875" style="163" bestFit="1" customWidth="1"/>
    <col min="4602" max="4602" width="11.5703125" style="163" customWidth="1"/>
    <col min="4603" max="4603" width="13.85546875" style="163" bestFit="1" customWidth="1"/>
    <col min="4604" max="4604" width="13.85546875" style="163" customWidth="1"/>
    <col min="4605" max="4605" width="0.7109375" style="163" customWidth="1"/>
    <col min="4606" max="4606" width="13.85546875" style="163" bestFit="1" customWidth="1"/>
    <col min="4607" max="4607" width="11.5703125" style="163" customWidth="1"/>
    <col min="4608" max="4608" width="13.85546875" style="163" bestFit="1" customWidth="1"/>
    <col min="4609" max="4609" width="0.7109375" style="163" customWidth="1"/>
    <col min="4610" max="4610" width="13.85546875" style="163" bestFit="1" customWidth="1"/>
    <col min="4611" max="4611" width="11.5703125" style="163" customWidth="1"/>
    <col min="4612" max="4612" width="13.85546875" style="163" bestFit="1" customWidth="1"/>
    <col min="4613" max="4613" width="13.85546875" style="163" customWidth="1"/>
    <col min="4614" max="4614" width="0.7109375" style="163" customWidth="1"/>
    <col min="4615" max="4615" width="13.85546875" style="163" bestFit="1" customWidth="1"/>
    <col min="4616" max="4616" width="11.5703125" style="163" customWidth="1"/>
    <col min="4617" max="4617" width="13.85546875" style="163" bestFit="1" customWidth="1"/>
    <col min="4618" max="4618" width="13.85546875" style="163" customWidth="1"/>
    <col min="4619" max="4620" width="13.140625" style="163" customWidth="1"/>
    <col min="4621" max="4815" width="9.140625" style="163" customWidth="1"/>
    <col min="4816" max="4852" width="6.7109375" style="163"/>
    <col min="4853" max="4853" width="0.140625" style="163" customWidth="1"/>
    <col min="4854" max="4854" width="14.140625" style="163" bestFit="1" customWidth="1"/>
    <col min="4855" max="4855" width="33.5703125" style="163" customWidth="1"/>
    <col min="4856" max="4856" width="0.7109375" style="163" customWidth="1"/>
    <col min="4857" max="4857" width="13.85546875" style="163" bestFit="1" customWidth="1"/>
    <col min="4858" max="4858" width="11.5703125" style="163" customWidth="1"/>
    <col min="4859" max="4859" width="13.85546875" style="163" bestFit="1" customWidth="1"/>
    <col min="4860" max="4860" width="13.85546875" style="163" customWidth="1"/>
    <col min="4861" max="4861" width="0.7109375" style="163" customWidth="1"/>
    <col min="4862" max="4862" width="13.85546875" style="163" bestFit="1" customWidth="1"/>
    <col min="4863" max="4863" width="11.5703125" style="163" customWidth="1"/>
    <col min="4864" max="4864" width="13.85546875" style="163" bestFit="1" customWidth="1"/>
    <col min="4865" max="4865" width="0.7109375" style="163" customWidth="1"/>
    <col min="4866" max="4866" width="13.85546875" style="163" bestFit="1" customWidth="1"/>
    <col min="4867" max="4867" width="11.5703125" style="163" customWidth="1"/>
    <col min="4868" max="4868" width="13.85546875" style="163" bestFit="1" customWidth="1"/>
    <col min="4869" max="4869" width="13.85546875" style="163" customWidth="1"/>
    <col min="4870" max="4870" width="0.7109375" style="163" customWidth="1"/>
    <col min="4871" max="4871" width="13.85546875" style="163" bestFit="1" customWidth="1"/>
    <col min="4872" max="4872" width="11.5703125" style="163" customWidth="1"/>
    <col min="4873" max="4873" width="13.85546875" style="163" bestFit="1" customWidth="1"/>
    <col min="4874" max="4874" width="13.85546875" style="163" customWidth="1"/>
    <col min="4875" max="4876" width="13.140625" style="163" customWidth="1"/>
    <col min="4877" max="5071" width="9.140625" style="163" customWidth="1"/>
    <col min="5072" max="5108" width="6.7109375" style="163"/>
    <col min="5109" max="5109" width="0.140625" style="163" customWidth="1"/>
    <col min="5110" max="5110" width="14.140625" style="163" bestFit="1" customWidth="1"/>
    <col min="5111" max="5111" width="33.5703125" style="163" customWidth="1"/>
    <col min="5112" max="5112" width="0.7109375" style="163" customWidth="1"/>
    <col min="5113" max="5113" width="13.85546875" style="163" bestFit="1" customWidth="1"/>
    <col min="5114" max="5114" width="11.5703125" style="163" customWidth="1"/>
    <col min="5115" max="5115" width="13.85546875" style="163" bestFit="1" customWidth="1"/>
    <col min="5116" max="5116" width="13.85546875" style="163" customWidth="1"/>
    <col min="5117" max="5117" width="0.7109375" style="163" customWidth="1"/>
    <col min="5118" max="5118" width="13.85546875" style="163" bestFit="1" customWidth="1"/>
    <col min="5119" max="5119" width="11.5703125" style="163" customWidth="1"/>
    <col min="5120" max="5120" width="13.85546875" style="163" bestFit="1" customWidth="1"/>
    <col min="5121" max="5121" width="0.7109375" style="163" customWidth="1"/>
    <col min="5122" max="5122" width="13.85546875" style="163" bestFit="1" customWidth="1"/>
    <col min="5123" max="5123" width="11.5703125" style="163" customWidth="1"/>
    <col min="5124" max="5124" width="13.85546875" style="163" bestFit="1" customWidth="1"/>
    <col min="5125" max="5125" width="13.85546875" style="163" customWidth="1"/>
    <col min="5126" max="5126" width="0.7109375" style="163" customWidth="1"/>
    <col min="5127" max="5127" width="13.85546875" style="163" bestFit="1" customWidth="1"/>
    <col min="5128" max="5128" width="11.5703125" style="163" customWidth="1"/>
    <col min="5129" max="5129" width="13.85546875" style="163" bestFit="1" customWidth="1"/>
    <col min="5130" max="5130" width="13.85546875" style="163" customWidth="1"/>
    <col min="5131" max="5132" width="13.140625" style="163" customWidth="1"/>
    <col min="5133" max="5327" width="9.140625" style="163" customWidth="1"/>
    <col min="5328" max="5364" width="6.7109375" style="163"/>
    <col min="5365" max="5365" width="0.140625" style="163" customWidth="1"/>
    <col min="5366" max="5366" width="14.140625" style="163" bestFit="1" customWidth="1"/>
    <col min="5367" max="5367" width="33.5703125" style="163" customWidth="1"/>
    <col min="5368" max="5368" width="0.7109375" style="163" customWidth="1"/>
    <col min="5369" max="5369" width="13.85546875" style="163" bestFit="1" customWidth="1"/>
    <col min="5370" max="5370" width="11.5703125" style="163" customWidth="1"/>
    <col min="5371" max="5371" width="13.85546875" style="163" bestFit="1" customWidth="1"/>
    <col min="5372" max="5372" width="13.85546875" style="163" customWidth="1"/>
    <col min="5373" max="5373" width="0.7109375" style="163" customWidth="1"/>
    <col min="5374" max="5374" width="13.85546875" style="163" bestFit="1" customWidth="1"/>
    <col min="5375" max="5375" width="11.5703125" style="163" customWidth="1"/>
    <col min="5376" max="5376" width="13.85546875" style="163" bestFit="1" customWidth="1"/>
    <col min="5377" max="5377" width="0.7109375" style="163" customWidth="1"/>
    <col min="5378" max="5378" width="13.85546875" style="163" bestFit="1" customWidth="1"/>
    <col min="5379" max="5379" width="11.5703125" style="163" customWidth="1"/>
    <col min="5380" max="5380" width="13.85546875" style="163" bestFit="1" customWidth="1"/>
    <col min="5381" max="5381" width="13.85546875" style="163" customWidth="1"/>
    <col min="5382" max="5382" width="0.7109375" style="163" customWidth="1"/>
    <col min="5383" max="5383" width="13.85546875" style="163" bestFit="1" customWidth="1"/>
    <col min="5384" max="5384" width="11.5703125" style="163" customWidth="1"/>
    <col min="5385" max="5385" width="13.85546875" style="163" bestFit="1" customWidth="1"/>
    <col min="5386" max="5386" width="13.85546875" style="163" customWidth="1"/>
    <col min="5387" max="5388" width="13.140625" style="163" customWidth="1"/>
    <col min="5389" max="5583" width="9.140625" style="163" customWidth="1"/>
    <col min="5584" max="5620" width="6.7109375" style="163"/>
    <col min="5621" max="5621" width="0.140625" style="163" customWidth="1"/>
    <col min="5622" max="5622" width="14.140625" style="163" bestFit="1" customWidth="1"/>
    <col min="5623" max="5623" width="33.5703125" style="163" customWidth="1"/>
    <col min="5624" max="5624" width="0.7109375" style="163" customWidth="1"/>
    <col min="5625" max="5625" width="13.85546875" style="163" bestFit="1" customWidth="1"/>
    <col min="5626" max="5626" width="11.5703125" style="163" customWidth="1"/>
    <col min="5627" max="5627" width="13.85546875" style="163" bestFit="1" customWidth="1"/>
    <col min="5628" max="5628" width="13.85546875" style="163" customWidth="1"/>
    <col min="5629" max="5629" width="0.7109375" style="163" customWidth="1"/>
    <col min="5630" max="5630" width="13.85546875" style="163" bestFit="1" customWidth="1"/>
    <col min="5631" max="5631" width="11.5703125" style="163" customWidth="1"/>
    <col min="5632" max="5632" width="13.85546875" style="163" bestFit="1" customWidth="1"/>
    <col min="5633" max="5633" width="0.7109375" style="163" customWidth="1"/>
    <col min="5634" max="5634" width="13.85546875" style="163" bestFit="1" customWidth="1"/>
    <col min="5635" max="5635" width="11.5703125" style="163" customWidth="1"/>
    <col min="5636" max="5636" width="13.85546875" style="163" bestFit="1" customWidth="1"/>
    <col min="5637" max="5637" width="13.85546875" style="163" customWidth="1"/>
    <col min="5638" max="5638" width="0.7109375" style="163" customWidth="1"/>
    <col min="5639" max="5639" width="13.85546875" style="163" bestFit="1" customWidth="1"/>
    <col min="5640" max="5640" width="11.5703125" style="163" customWidth="1"/>
    <col min="5641" max="5641" width="13.85546875" style="163" bestFit="1" customWidth="1"/>
    <col min="5642" max="5642" width="13.85546875" style="163" customWidth="1"/>
    <col min="5643" max="5644" width="13.140625" style="163" customWidth="1"/>
    <col min="5645" max="5839" width="9.140625" style="163" customWidth="1"/>
    <col min="5840" max="5876" width="6.7109375" style="163"/>
    <col min="5877" max="5877" width="0.140625" style="163" customWidth="1"/>
    <col min="5878" max="5878" width="14.140625" style="163" bestFit="1" customWidth="1"/>
    <col min="5879" max="5879" width="33.5703125" style="163" customWidth="1"/>
    <col min="5880" max="5880" width="0.7109375" style="163" customWidth="1"/>
    <col min="5881" max="5881" width="13.85546875" style="163" bestFit="1" customWidth="1"/>
    <col min="5882" max="5882" width="11.5703125" style="163" customWidth="1"/>
    <col min="5883" max="5883" width="13.85546875" style="163" bestFit="1" customWidth="1"/>
    <col min="5884" max="5884" width="13.85546875" style="163" customWidth="1"/>
    <col min="5885" max="5885" width="0.7109375" style="163" customWidth="1"/>
    <col min="5886" max="5886" width="13.85546875" style="163" bestFit="1" customWidth="1"/>
    <col min="5887" max="5887" width="11.5703125" style="163" customWidth="1"/>
    <col min="5888" max="5888" width="13.85546875" style="163" bestFit="1" customWidth="1"/>
    <col min="5889" max="5889" width="0.7109375" style="163" customWidth="1"/>
    <col min="5890" max="5890" width="13.85546875" style="163" bestFit="1" customWidth="1"/>
    <col min="5891" max="5891" width="11.5703125" style="163" customWidth="1"/>
    <col min="5892" max="5892" width="13.85546875" style="163" bestFit="1" customWidth="1"/>
    <col min="5893" max="5893" width="13.85546875" style="163" customWidth="1"/>
    <col min="5894" max="5894" width="0.7109375" style="163" customWidth="1"/>
    <col min="5895" max="5895" width="13.85546875" style="163" bestFit="1" customWidth="1"/>
    <col min="5896" max="5896" width="11.5703125" style="163" customWidth="1"/>
    <col min="5897" max="5897" width="13.85546875" style="163" bestFit="1" customWidth="1"/>
    <col min="5898" max="5898" width="13.85546875" style="163" customWidth="1"/>
    <col min="5899" max="5900" width="13.140625" style="163" customWidth="1"/>
    <col min="5901" max="6095" width="9.140625" style="163" customWidth="1"/>
    <col min="6096" max="6132" width="6.7109375" style="163"/>
    <col min="6133" max="6133" width="0.140625" style="163" customWidth="1"/>
    <col min="6134" max="6134" width="14.140625" style="163" bestFit="1" customWidth="1"/>
    <col min="6135" max="6135" width="33.5703125" style="163" customWidth="1"/>
    <col min="6136" max="6136" width="0.7109375" style="163" customWidth="1"/>
    <col min="6137" max="6137" width="13.85546875" style="163" bestFit="1" customWidth="1"/>
    <col min="6138" max="6138" width="11.5703125" style="163" customWidth="1"/>
    <col min="6139" max="6139" width="13.85546875" style="163" bestFit="1" customWidth="1"/>
    <col min="6140" max="6140" width="13.85546875" style="163" customWidth="1"/>
    <col min="6141" max="6141" width="0.7109375" style="163" customWidth="1"/>
    <col min="6142" max="6142" width="13.85546875" style="163" bestFit="1" customWidth="1"/>
    <col min="6143" max="6143" width="11.5703125" style="163" customWidth="1"/>
    <col min="6144" max="6144" width="13.85546875" style="163" bestFit="1" customWidth="1"/>
    <col min="6145" max="6145" width="0.7109375" style="163" customWidth="1"/>
    <col min="6146" max="6146" width="13.85546875" style="163" bestFit="1" customWidth="1"/>
    <col min="6147" max="6147" width="11.5703125" style="163" customWidth="1"/>
    <col min="6148" max="6148" width="13.85546875" style="163" bestFit="1" customWidth="1"/>
    <col min="6149" max="6149" width="13.85546875" style="163" customWidth="1"/>
    <col min="6150" max="6150" width="0.7109375" style="163" customWidth="1"/>
    <col min="6151" max="6151" width="13.85546875" style="163" bestFit="1" customWidth="1"/>
    <col min="6152" max="6152" width="11.5703125" style="163" customWidth="1"/>
    <col min="6153" max="6153" width="13.85546875" style="163" bestFit="1" customWidth="1"/>
    <col min="6154" max="6154" width="13.85546875" style="163" customWidth="1"/>
    <col min="6155" max="6156" width="13.140625" style="163" customWidth="1"/>
    <col min="6157" max="6351" width="9.140625" style="163" customWidth="1"/>
    <col min="6352" max="6388" width="6.7109375" style="163"/>
    <col min="6389" max="6389" width="0.140625" style="163" customWidth="1"/>
    <col min="6390" max="6390" width="14.140625" style="163" bestFit="1" customWidth="1"/>
    <col min="6391" max="6391" width="33.5703125" style="163" customWidth="1"/>
    <col min="6392" max="6392" width="0.7109375" style="163" customWidth="1"/>
    <col min="6393" max="6393" width="13.85546875" style="163" bestFit="1" customWidth="1"/>
    <col min="6394" max="6394" width="11.5703125" style="163" customWidth="1"/>
    <col min="6395" max="6395" width="13.85546875" style="163" bestFit="1" customWidth="1"/>
    <col min="6396" max="6396" width="13.85546875" style="163" customWidth="1"/>
    <col min="6397" max="6397" width="0.7109375" style="163" customWidth="1"/>
    <col min="6398" max="6398" width="13.85546875" style="163" bestFit="1" customWidth="1"/>
    <col min="6399" max="6399" width="11.5703125" style="163" customWidth="1"/>
    <col min="6400" max="6400" width="13.85546875" style="163" bestFit="1" customWidth="1"/>
    <col min="6401" max="6401" width="0.7109375" style="163" customWidth="1"/>
    <col min="6402" max="6402" width="13.85546875" style="163" bestFit="1" customWidth="1"/>
    <col min="6403" max="6403" width="11.5703125" style="163" customWidth="1"/>
    <col min="6404" max="6404" width="13.85546875" style="163" bestFit="1" customWidth="1"/>
    <col min="6405" max="6405" width="13.85546875" style="163" customWidth="1"/>
    <col min="6406" max="6406" width="0.7109375" style="163" customWidth="1"/>
    <col min="6407" max="6407" width="13.85546875" style="163" bestFit="1" customWidth="1"/>
    <col min="6408" max="6408" width="11.5703125" style="163" customWidth="1"/>
    <col min="6409" max="6409" width="13.85546875" style="163" bestFit="1" customWidth="1"/>
    <col min="6410" max="6410" width="13.85546875" style="163" customWidth="1"/>
    <col min="6411" max="6412" width="13.140625" style="163" customWidth="1"/>
    <col min="6413" max="6607" width="9.140625" style="163" customWidth="1"/>
    <col min="6608" max="6644" width="6.7109375" style="163"/>
    <col min="6645" max="6645" width="0.140625" style="163" customWidth="1"/>
    <col min="6646" max="6646" width="14.140625" style="163" bestFit="1" customWidth="1"/>
    <col min="6647" max="6647" width="33.5703125" style="163" customWidth="1"/>
    <col min="6648" max="6648" width="0.7109375" style="163" customWidth="1"/>
    <col min="6649" max="6649" width="13.85546875" style="163" bestFit="1" customWidth="1"/>
    <col min="6650" max="6650" width="11.5703125" style="163" customWidth="1"/>
    <col min="6651" max="6651" width="13.85546875" style="163" bestFit="1" customWidth="1"/>
    <col min="6652" max="6652" width="13.85546875" style="163" customWidth="1"/>
    <col min="6653" max="6653" width="0.7109375" style="163" customWidth="1"/>
    <col min="6654" max="6654" width="13.85546875" style="163" bestFit="1" customWidth="1"/>
    <col min="6655" max="6655" width="11.5703125" style="163" customWidth="1"/>
    <col min="6656" max="6656" width="13.85546875" style="163" bestFit="1" customWidth="1"/>
    <col min="6657" max="6657" width="0.7109375" style="163" customWidth="1"/>
    <col min="6658" max="6658" width="13.85546875" style="163" bestFit="1" customWidth="1"/>
    <col min="6659" max="6659" width="11.5703125" style="163" customWidth="1"/>
    <col min="6660" max="6660" width="13.85546875" style="163" bestFit="1" customWidth="1"/>
    <col min="6661" max="6661" width="13.85546875" style="163" customWidth="1"/>
    <col min="6662" max="6662" width="0.7109375" style="163" customWidth="1"/>
    <col min="6663" max="6663" width="13.85546875" style="163" bestFit="1" customWidth="1"/>
    <col min="6664" max="6664" width="11.5703125" style="163" customWidth="1"/>
    <col min="6665" max="6665" width="13.85546875" style="163" bestFit="1" customWidth="1"/>
    <col min="6666" max="6666" width="13.85546875" style="163" customWidth="1"/>
    <col min="6667" max="6668" width="13.140625" style="163" customWidth="1"/>
    <col min="6669" max="6863" width="9.140625" style="163" customWidth="1"/>
    <col min="6864" max="6900" width="6.7109375" style="163"/>
    <col min="6901" max="6901" width="0.140625" style="163" customWidth="1"/>
    <col min="6902" max="6902" width="14.140625" style="163" bestFit="1" customWidth="1"/>
    <col min="6903" max="6903" width="33.5703125" style="163" customWidth="1"/>
    <col min="6904" max="6904" width="0.7109375" style="163" customWidth="1"/>
    <col min="6905" max="6905" width="13.85546875" style="163" bestFit="1" customWidth="1"/>
    <col min="6906" max="6906" width="11.5703125" style="163" customWidth="1"/>
    <col min="6907" max="6907" width="13.85546875" style="163" bestFit="1" customWidth="1"/>
    <col min="6908" max="6908" width="13.85546875" style="163" customWidth="1"/>
    <col min="6909" max="6909" width="0.7109375" style="163" customWidth="1"/>
    <col min="6910" max="6910" width="13.85546875" style="163" bestFit="1" customWidth="1"/>
    <col min="6911" max="6911" width="11.5703125" style="163" customWidth="1"/>
    <col min="6912" max="6912" width="13.85546875" style="163" bestFit="1" customWidth="1"/>
    <col min="6913" max="6913" width="0.7109375" style="163" customWidth="1"/>
    <col min="6914" max="6914" width="13.85546875" style="163" bestFit="1" customWidth="1"/>
    <col min="6915" max="6915" width="11.5703125" style="163" customWidth="1"/>
    <col min="6916" max="6916" width="13.85546875" style="163" bestFit="1" customWidth="1"/>
    <col min="6917" max="6917" width="13.85546875" style="163" customWidth="1"/>
    <col min="6918" max="6918" width="0.7109375" style="163" customWidth="1"/>
    <col min="6919" max="6919" width="13.85546875" style="163" bestFit="1" customWidth="1"/>
    <col min="6920" max="6920" width="11.5703125" style="163" customWidth="1"/>
    <col min="6921" max="6921" width="13.85546875" style="163" bestFit="1" customWidth="1"/>
    <col min="6922" max="6922" width="13.85546875" style="163" customWidth="1"/>
    <col min="6923" max="6924" width="13.140625" style="163" customWidth="1"/>
    <col min="6925" max="7119" width="9.140625" style="163" customWidth="1"/>
    <col min="7120" max="7156" width="6.7109375" style="163"/>
    <col min="7157" max="7157" width="0.140625" style="163" customWidth="1"/>
    <col min="7158" max="7158" width="14.140625" style="163" bestFit="1" customWidth="1"/>
    <col min="7159" max="7159" width="33.5703125" style="163" customWidth="1"/>
    <col min="7160" max="7160" width="0.7109375" style="163" customWidth="1"/>
    <col min="7161" max="7161" width="13.85546875" style="163" bestFit="1" customWidth="1"/>
    <col min="7162" max="7162" width="11.5703125" style="163" customWidth="1"/>
    <col min="7163" max="7163" width="13.85546875" style="163" bestFit="1" customWidth="1"/>
    <col min="7164" max="7164" width="13.85546875" style="163" customWidth="1"/>
    <col min="7165" max="7165" width="0.7109375" style="163" customWidth="1"/>
    <col min="7166" max="7166" width="13.85546875" style="163" bestFit="1" customWidth="1"/>
    <col min="7167" max="7167" width="11.5703125" style="163" customWidth="1"/>
    <col min="7168" max="7168" width="13.85546875" style="163" bestFit="1" customWidth="1"/>
    <col min="7169" max="7169" width="0.7109375" style="163" customWidth="1"/>
    <col min="7170" max="7170" width="13.85546875" style="163" bestFit="1" customWidth="1"/>
    <col min="7171" max="7171" width="11.5703125" style="163" customWidth="1"/>
    <col min="7172" max="7172" width="13.85546875" style="163" bestFit="1" customWidth="1"/>
    <col min="7173" max="7173" width="13.85546875" style="163" customWidth="1"/>
    <col min="7174" max="7174" width="0.7109375" style="163" customWidth="1"/>
    <col min="7175" max="7175" width="13.85546875" style="163" bestFit="1" customWidth="1"/>
    <col min="7176" max="7176" width="11.5703125" style="163" customWidth="1"/>
    <col min="7177" max="7177" width="13.85546875" style="163" bestFit="1" customWidth="1"/>
    <col min="7178" max="7178" width="13.85546875" style="163" customWidth="1"/>
    <col min="7179" max="7180" width="13.140625" style="163" customWidth="1"/>
    <col min="7181" max="7375" width="9.140625" style="163" customWidth="1"/>
    <col min="7376" max="7412" width="6.7109375" style="163"/>
    <col min="7413" max="7413" width="0.140625" style="163" customWidth="1"/>
    <col min="7414" max="7414" width="14.140625" style="163" bestFit="1" customWidth="1"/>
    <col min="7415" max="7415" width="33.5703125" style="163" customWidth="1"/>
    <col min="7416" max="7416" width="0.7109375" style="163" customWidth="1"/>
    <col min="7417" max="7417" width="13.85546875" style="163" bestFit="1" customWidth="1"/>
    <col min="7418" max="7418" width="11.5703125" style="163" customWidth="1"/>
    <col min="7419" max="7419" width="13.85546875" style="163" bestFit="1" customWidth="1"/>
    <col min="7420" max="7420" width="13.85546875" style="163" customWidth="1"/>
    <col min="7421" max="7421" width="0.7109375" style="163" customWidth="1"/>
    <col min="7422" max="7422" width="13.85546875" style="163" bestFit="1" customWidth="1"/>
    <col min="7423" max="7423" width="11.5703125" style="163" customWidth="1"/>
    <col min="7424" max="7424" width="13.85546875" style="163" bestFit="1" customWidth="1"/>
    <col min="7425" max="7425" width="0.7109375" style="163" customWidth="1"/>
    <col min="7426" max="7426" width="13.85546875" style="163" bestFit="1" customWidth="1"/>
    <col min="7427" max="7427" width="11.5703125" style="163" customWidth="1"/>
    <col min="7428" max="7428" width="13.85546875" style="163" bestFit="1" customWidth="1"/>
    <col min="7429" max="7429" width="13.85546875" style="163" customWidth="1"/>
    <col min="7430" max="7430" width="0.7109375" style="163" customWidth="1"/>
    <col min="7431" max="7431" width="13.85546875" style="163" bestFit="1" customWidth="1"/>
    <col min="7432" max="7432" width="11.5703125" style="163" customWidth="1"/>
    <col min="7433" max="7433" width="13.85546875" style="163" bestFit="1" customWidth="1"/>
    <col min="7434" max="7434" width="13.85546875" style="163" customWidth="1"/>
    <col min="7435" max="7436" width="13.140625" style="163" customWidth="1"/>
    <col min="7437" max="7631" width="9.140625" style="163" customWidth="1"/>
    <col min="7632" max="7668" width="6.7109375" style="163"/>
    <col min="7669" max="7669" width="0.140625" style="163" customWidth="1"/>
    <col min="7670" max="7670" width="14.140625" style="163" bestFit="1" customWidth="1"/>
    <col min="7671" max="7671" width="33.5703125" style="163" customWidth="1"/>
    <col min="7672" max="7672" width="0.7109375" style="163" customWidth="1"/>
    <col min="7673" max="7673" width="13.85546875" style="163" bestFit="1" customWidth="1"/>
    <col min="7674" max="7674" width="11.5703125" style="163" customWidth="1"/>
    <col min="7675" max="7675" width="13.85546875" style="163" bestFit="1" customWidth="1"/>
    <col min="7676" max="7676" width="13.85546875" style="163" customWidth="1"/>
    <col min="7677" max="7677" width="0.7109375" style="163" customWidth="1"/>
    <col min="7678" max="7678" width="13.85546875" style="163" bestFit="1" customWidth="1"/>
    <col min="7679" max="7679" width="11.5703125" style="163" customWidth="1"/>
    <col min="7680" max="7680" width="13.85546875" style="163" bestFit="1" customWidth="1"/>
    <col min="7681" max="7681" width="0.7109375" style="163" customWidth="1"/>
    <col min="7682" max="7682" width="13.85546875" style="163" bestFit="1" customWidth="1"/>
    <col min="7683" max="7683" width="11.5703125" style="163" customWidth="1"/>
    <col min="7684" max="7684" width="13.85546875" style="163" bestFit="1" customWidth="1"/>
    <col min="7685" max="7685" width="13.85546875" style="163" customWidth="1"/>
    <col min="7686" max="7686" width="0.7109375" style="163" customWidth="1"/>
    <col min="7687" max="7687" width="13.85546875" style="163" bestFit="1" customWidth="1"/>
    <col min="7688" max="7688" width="11.5703125" style="163" customWidth="1"/>
    <col min="7689" max="7689" width="13.85546875" style="163" bestFit="1" customWidth="1"/>
    <col min="7690" max="7690" width="13.85546875" style="163" customWidth="1"/>
    <col min="7691" max="7692" width="13.140625" style="163" customWidth="1"/>
    <col min="7693" max="7887" width="9.140625" style="163" customWidth="1"/>
    <col min="7888" max="7924" width="6.7109375" style="163"/>
    <col min="7925" max="7925" width="0.140625" style="163" customWidth="1"/>
    <col min="7926" max="7926" width="14.140625" style="163" bestFit="1" customWidth="1"/>
    <col min="7927" max="7927" width="33.5703125" style="163" customWidth="1"/>
    <col min="7928" max="7928" width="0.7109375" style="163" customWidth="1"/>
    <col min="7929" max="7929" width="13.85546875" style="163" bestFit="1" customWidth="1"/>
    <col min="7930" max="7930" width="11.5703125" style="163" customWidth="1"/>
    <col min="7931" max="7931" width="13.85546875" style="163" bestFit="1" customWidth="1"/>
    <col min="7932" max="7932" width="13.85546875" style="163" customWidth="1"/>
    <col min="7933" max="7933" width="0.7109375" style="163" customWidth="1"/>
    <col min="7934" max="7934" width="13.85546875" style="163" bestFit="1" customWidth="1"/>
    <col min="7935" max="7935" width="11.5703125" style="163" customWidth="1"/>
    <col min="7936" max="7936" width="13.85546875" style="163" bestFit="1" customWidth="1"/>
    <col min="7937" max="7937" width="0.7109375" style="163" customWidth="1"/>
    <col min="7938" max="7938" width="13.85546875" style="163" bestFit="1" customWidth="1"/>
    <col min="7939" max="7939" width="11.5703125" style="163" customWidth="1"/>
    <col min="7940" max="7940" width="13.85546875" style="163" bestFit="1" customWidth="1"/>
    <col min="7941" max="7941" width="13.85546875" style="163" customWidth="1"/>
    <col min="7942" max="7942" width="0.7109375" style="163" customWidth="1"/>
    <col min="7943" max="7943" width="13.85546875" style="163" bestFit="1" customWidth="1"/>
    <col min="7944" max="7944" width="11.5703125" style="163" customWidth="1"/>
    <col min="7945" max="7945" width="13.85546875" style="163" bestFit="1" customWidth="1"/>
    <col min="7946" max="7946" width="13.85546875" style="163" customWidth="1"/>
    <col min="7947" max="7948" width="13.140625" style="163" customWidth="1"/>
    <col min="7949" max="8143" width="9.140625" style="163" customWidth="1"/>
    <col min="8144" max="8180" width="6.7109375" style="163"/>
    <col min="8181" max="8181" width="0.140625" style="163" customWidth="1"/>
    <col min="8182" max="8182" width="14.140625" style="163" bestFit="1" customWidth="1"/>
    <col min="8183" max="8183" width="33.5703125" style="163" customWidth="1"/>
    <col min="8184" max="8184" width="0.7109375" style="163" customWidth="1"/>
    <col min="8185" max="8185" width="13.85546875" style="163" bestFit="1" customWidth="1"/>
    <col min="8186" max="8186" width="11.5703125" style="163" customWidth="1"/>
    <col min="8187" max="8187" width="13.85546875" style="163" bestFit="1" customWidth="1"/>
    <col min="8188" max="8188" width="13.85546875" style="163" customWidth="1"/>
    <col min="8189" max="8189" width="0.7109375" style="163" customWidth="1"/>
    <col min="8190" max="8190" width="13.85546875" style="163" bestFit="1" customWidth="1"/>
    <col min="8191" max="8191" width="11.5703125" style="163" customWidth="1"/>
    <col min="8192" max="8192" width="13.85546875" style="163" bestFit="1" customWidth="1"/>
    <col min="8193" max="8193" width="0.7109375" style="163" customWidth="1"/>
    <col min="8194" max="8194" width="13.85546875" style="163" bestFit="1" customWidth="1"/>
    <col min="8195" max="8195" width="11.5703125" style="163" customWidth="1"/>
    <col min="8196" max="8196" width="13.85546875" style="163" bestFit="1" customWidth="1"/>
    <col min="8197" max="8197" width="13.85546875" style="163" customWidth="1"/>
    <col min="8198" max="8198" width="0.7109375" style="163" customWidth="1"/>
    <col min="8199" max="8199" width="13.85546875" style="163" bestFit="1" customWidth="1"/>
    <col min="8200" max="8200" width="11.5703125" style="163" customWidth="1"/>
    <col min="8201" max="8201" width="13.85546875" style="163" bestFit="1" customWidth="1"/>
    <col min="8202" max="8202" width="13.85546875" style="163" customWidth="1"/>
    <col min="8203" max="8204" width="13.140625" style="163" customWidth="1"/>
    <col min="8205" max="8399" width="9.140625" style="163" customWidth="1"/>
    <col min="8400" max="8436" width="6.7109375" style="163"/>
    <col min="8437" max="8437" width="0.140625" style="163" customWidth="1"/>
    <col min="8438" max="8438" width="14.140625" style="163" bestFit="1" customWidth="1"/>
    <col min="8439" max="8439" width="33.5703125" style="163" customWidth="1"/>
    <col min="8440" max="8440" width="0.7109375" style="163" customWidth="1"/>
    <col min="8441" max="8441" width="13.85546875" style="163" bestFit="1" customWidth="1"/>
    <col min="8442" max="8442" width="11.5703125" style="163" customWidth="1"/>
    <col min="8443" max="8443" width="13.85546875" style="163" bestFit="1" customWidth="1"/>
    <col min="8444" max="8444" width="13.85546875" style="163" customWidth="1"/>
    <col min="8445" max="8445" width="0.7109375" style="163" customWidth="1"/>
    <col min="8446" max="8446" width="13.85546875" style="163" bestFit="1" customWidth="1"/>
    <col min="8447" max="8447" width="11.5703125" style="163" customWidth="1"/>
    <col min="8448" max="8448" width="13.85546875" style="163" bestFit="1" customWidth="1"/>
    <col min="8449" max="8449" width="0.7109375" style="163" customWidth="1"/>
    <col min="8450" max="8450" width="13.85546875" style="163" bestFit="1" customWidth="1"/>
    <col min="8451" max="8451" width="11.5703125" style="163" customWidth="1"/>
    <col min="8452" max="8452" width="13.85546875" style="163" bestFit="1" customWidth="1"/>
    <col min="8453" max="8453" width="13.85546875" style="163" customWidth="1"/>
    <col min="8454" max="8454" width="0.7109375" style="163" customWidth="1"/>
    <col min="8455" max="8455" width="13.85546875" style="163" bestFit="1" customWidth="1"/>
    <col min="8456" max="8456" width="11.5703125" style="163" customWidth="1"/>
    <col min="8457" max="8457" width="13.85546875" style="163" bestFit="1" customWidth="1"/>
    <col min="8458" max="8458" width="13.85546875" style="163" customWidth="1"/>
    <col min="8459" max="8460" width="13.140625" style="163" customWidth="1"/>
    <col min="8461" max="8655" width="9.140625" style="163" customWidth="1"/>
    <col min="8656" max="8692" width="6.7109375" style="163"/>
    <col min="8693" max="8693" width="0.140625" style="163" customWidth="1"/>
    <col min="8694" max="8694" width="14.140625" style="163" bestFit="1" customWidth="1"/>
    <col min="8695" max="8695" width="33.5703125" style="163" customWidth="1"/>
    <col min="8696" max="8696" width="0.7109375" style="163" customWidth="1"/>
    <col min="8697" max="8697" width="13.85546875" style="163" bestFit="1" customWidth="1"/>
    <col min="8698" max="8698" width="11.5703125" style="163" customWidth="1"/>
    <col min="8699" max="8699" width="13.85546875" style="163" bestFit="1" customWidth="1"/>
    <col min="8700" max="8700" width="13.85546875" style="163" customWidth="1"/>
    <col min="8701" max="8701" width="0.7109375" style="163" customWidth="1"/>
    <col min="8702" max="8702" width="13.85546875" style="163" bestFit="1" customWidth="1"/>
    <col min="8703" max="8703" width="11.5703125" style="163" customWidth="1"/>
    <col min="8704" max="8704" width="13.85546875" style="163" bestFit="1" customWidth="1"/>
    <col min="8705" max="8705" width="0.7109375" style="163" customWidth="1"/>
    <col min="8706" max="8706" width="13.85546875" style="163" bestFit="1" customWidth="1"/>
    <col min="8707" max="8707" width="11.5703125" style="163" customWidth="1"/>
    <col min="8708" max="8708" width="13.85546875" style="163" bestFit="1" customWidth="1"/>
    <col min="8709" max="8709" width="13.85546875" style="163" customWidth="1"/>
    <col min="8710" max="8710" width="0.7109375" style="163" customWidth="1"/>
    <col min="8711" max="8711" width="13.85546875" style="163" bestFit="1" customWidth="1"/>
    <col min="8712" max="8712" width="11.5703125" style="163" customWidth="1"/>
    <col min="8713" max="8713" width="13.85546875" style="163" bestFit="1" customWidth="1"/>
    <col min="8714" max="8714" width="13.85546875" style="163" customWidth="1"/>
    <col min="8715" max="8716" width="13.140625" style="163" customWidth="1"/>
    <col min="8717" max="8911" width="9.140625" style="163" customWidth="1"/>
    <col min="8912" max="8948" width="6.7109375" style="163"/>
    <col min="8949" max="8949" width="0.140625" style="163" customWidth="1"/>
    <col min="8950" max="8950" width="14.140625" style="163" bestFit="1" customWidth="1"/>
    <col min="8951" max="8951" width="33.5703125" style="163" customWidth="1"/>
    <col min="8952" max="8952" width="0.7109375" style="163" customWidth="1"/>
    <col min="8953" max="8953" width="13.85546875" style="163" bestFit="1" customWidth="1"/>
    <col min="8954" max="8954" width="11.5703125" style="163" customWidth="1"/>
    <col min="8955" max="8955" width="13.85546875" style="163" bestFit="1" customWidth="1"/>
    <col min="8956" max="8956" width="13.85546875" style="163" customWidth="1"/>
    <col min="8957" max="8957" width="0.7109375" style="163" customWidth="1"/>
    <col min="8958" max="8958" width="13.85546875" style="163" bestFit="1" customWidth="1"/>
    <col min="8959" max="8959" width="11.5703125" style="163" customWidth="1"/>
    <col min="8960" max="8960" width="13.85546875" style="163" bestFit="1" customWidth="1"/>
    <col min="8961" max="8961" width="0.7109375" style="163" customWidth="1"/>
    <col min="8962" max="8962" width="13.85546875" style="163" bestFit="1" customWidth="1"/>
    <col min="8963" max="8963" width="11.5703125" style="163" customWidth="1"/>
    <col min="8964" max="8964" width="13.85546875" style="163" bestFit="1" customWidth="1"/>
    <col min="8965" max="8965" width="13.85546875" style="163" customWidth="1"/>
    <col min="8966" max="8966" width="0.7109375" style="163" customWidth="1"/>
    <col min="8967" max="8967" width="13.85546875" style="163" bestFit="1" customWidth="1"/>
    <col min="8968" max="8968" width="11.5703125" style="163" customWidth="1"/>
    <col min="8969" max="8969" width="13.85546875" style="163" bestFit="1" customWidth="1"/>
    <col min="8970" max="8970" width="13.85546875" style="163" customWidth="1"/>
    <col min="8971" max="8972" width="13.140625" style="163" customWidth="1"/>
    <col min="8973" max="9167" width="9.140625" style="163" customWidth="1"/>
    <col min="9168" max="9204" width="6.7109375" style="163"/>
    <col min="9205" max="9205" width="0.140625" style="163" customWidth="1"/>
    <col min="9206" max="9206" width="14.140625" style="163" bestFit="1" customWidth="1"/>
    <col min="9207" max="9207" width="33.5703125" style="163" customWidth="1"/>
    <col min="9208" max="9208" width="0.7109375" style="163" customWidth="1"/>
    <col min="9209" max="9209" width="13.85546875" style="163" bestFit="1" customWidth="1"/>
    <col min="9210" max="9210" width="11.5703125" style="163" customWidth="1"/>
    <col min="9211" max="9211" width="13.85546875" style="163" bestFit="1" customWidth="1"/>
    <col min="9212" max="9212" width="13.85546875" style="163" customWidth="1"/>
    <col min="9213" max="9213" width="0.7109375" style="163" customWidth="1"/>
    <col min="9214" max="9214" width="13.85546875" style="163" bestFit="1" customWidth="1"/>
    <col min="9215" max="9215" width="11.5703125" style="163" customWidth="1"/>
    <col min="9216" max="9216" width="13.85546875" style="163" bestFit="1" customWidth="1"/>
    <col min="9217" max="9217" width="0.7109375" style="163" customWidth="1"/>
    <col min="9218" max="9218" width="13.85546875" style="163" bestFit="1" customWidth="1"/>
    <col min="9219" max="9219" width="11.5703125" style="163" customWidth="1"/>
    <col min="9220" max="9220" width="13.85546875" style="163" bestFit="1" customWidth="1"/>
    <col min="9221" max="9221" width="13.85546875" style="163" customWidth="1"/>
    <col min="9222" max="9222" width="0.7109375" style="163" customWidth="1"/>
    <col min="9223" max="9223" width="13.85546875" style="163" bestFit="1" customWidth="1"/>
    <col min="9224" max="9224" width="11.5703125" style="163" customWidth="1"/>
    <col min="9225" max="9225" width="13.85546875" style="163" bestFit="1" customWidth="1"/>
    <col min="9226" max="9226" width="13.85546875" style="163" customWidth="1"/>
    <col min="9227" max="9228" width="13.140625" style="163" customWidth="1"/>
    <col min="9229" max="9423" width="9.140625" style="163" customWidth="1"/>
    <col min="9424" max="9460" width="6.7109375" style="163"/>
    <col min="9461" max="9461" width="0.140625" style="163" customWidth="1"/>
    <col min="9462" max="9462" width="14.140625" style="163" bestFit="1" customWidth="1"/>
    <col min="9463" max="9463" width="33.5703125" style="163" customWidth="1"/>
    <col min="9464" max="9464" width="0.7109375" style="163" customWidth="1"/>
    <col min="9465" max="9465" width="13.85546875" style="163" bestFit="1" customWidth="1"/>
    <col min="9466" max="9466" width="11.5703125" style="163" customWidth="1"/>
    <col min="9467" max="9467" width="13.85546875" style="163" bestFit="1" customWidth="1"/>
    <col min="9468" max="9468" width="13.85546875" style="163" customWidth="1"/>
    <col min="9469" max="9469" width="0.7109375" style="163" customWidth="1"/>
    <col min="9470" max="9470" width="13.85546875" style="163" bestFit="1" customWidth="1"/>
    <col min="9471" max="9471" width="11.5703125" style="163" customWidth="1"/>
    <col min="9472" max="9472" width="13.85546875" style="163" bestFit="1" customWidth="1"/>
    <col min="9473" max="9473" width="0.7109375" style="163" customWidth="1"/>
    <col min="9474" max="9474" width="13.85546875" style="163" bestFit="1" customWidth="1"/>
    <col min="9475" max="9475" width="11.5703125" style="163" customWidth="1"/>
    <col min="9476" max="9476" width="13.85546875" style="163" bestFit="1" customWidth="1"/>
    <col min="9477" max="9477" width="13.85546875" style="163" customWidth="1"/>
    <col min="9478" max="9478" width="0.7109375" style="163" customWidth="1"/>
    <col min="9479" max="9479" width="13.85546875" style="163" bestFit="1" customWidth="1"/>
    <col min="9480" max="9480" width="11.5703125" style="163" customWidth="1"/>
    <col min="9481" max="9481" width="13.85546875" style="163" bestFit="1" customWidth="1"/>
    <col min="9482" max="9482" width="13.85546875" style="163" customWidth="1"/>
    <col min="9483" max="9484" width="13.140625" style="163" customWidth="1"/>
    <col min="9485" max="9679" width="9.140625" style="163" customWidth="1"/>
    <col min="9680" max="9716" width="6.7109375" style="163"/>
    <col min="9717" max="9717" width="0.140625" style="163" customWidth="1"/>
    <col min="9718" max="9718" width="14.140625" style="163" bestFit="1" customWidth="1"/>
    <col min="9719" max="9719" width="33.5703125" style="163" customWidth="1"/>
    <col min="9720" max="9720" width="0.7109375" style="163" customWidth="1"/>
    <col min="9721" max="9721" width="13.85546875" style="163" bestFit="1" customWidth="1"/>
    <col min="9722" max="9722" width="11.5703125" style="163" customWidth="1"/>
    <col min="9723" max="9723" width="13.85546875" style="163" bestFit="1" customWidth="1"/>
    <col min="9724" max="9724" width="13.85546875" style="163" customWidth="1"/>
    <col min="9725" max="9725" width="0.7109375" style="163" customWidth="1"/>
    <col min="9726" max="9726" width="13.85546875" style="163" bestFit="1" customWidth="1"/>
    <col min="9727" max="9727" width="11.5703125" style="163" customWidth="1"/>
    <col min="9728" max="9728" width="13.85546875" style="163" bestFit="1" customWidth="1"/>
    <col min="9729" max="9729" width="0.7109375" style="163" customWidth="1"/>
    <col min="9730" max="9730" width="13.85546875" style="163" bestFit="1" customWidth="1"/>
    <col min="9731" max="9731" width="11.5703125" style="163" customWidth="1"/>
    <col min="9732" max="9732" width="13.85546875" style="163" bestFit="1" customWidth="1"/>
    <col min="9733" max="9733" width="13.85546875" style="163" customWidth="1"/>
    <col min="9734" max="9734" width="0.7109375" style="163" customWidth="1"/>
    <col min="9735" max="9735" width="13.85546875" style="163" bestFit="1" customWidth="1"/>
    <col min="9736" max="9736" width="11.5703125" style="163" customWidth="1"/>
    <col min="9737" max="9737" width="13.85546875" style="163" bestFit="1" customWidth="1"/>
    <col min="9738" max="9738" width="13.85546875" style="163" customWidth="1"/>
    <col min="9739" max="9740" width="13.140625" style="163" customWidth="1"/>
    <col min="9741" max="9935" width="9.140625" style="163" customWidth="1"/>
    <col min="9936" max="9972" width="6.7109375" style="163"/>
    <col min="9973" max="9973" width="0.140625" style="163" customWidth="1"/>
    <col min="9974" max="9974" width="14.140625" style="163" bestFit="1" customWidth="1"/>
    <col min="9975" max="9975" width="33.5703125" style="163" customWidth="1"/>
    <col min="9976" max="9976" width="0.7109375" style="163" customWidth="1"/>
    <col min="9977" max="9977" width="13.85546875" style="163" bestFit="1" customWidth="1"/>
    <col min="9978" max="9978" width="11.5703125" style="163" customWidth="1"/>
    <col min="9979" max="9979" width="13.85546875" style="163" bestFit="1" customWidth="1"/>
    <col min="9980" max="9980" width="13.85546875" style="163" customWidth="1"/>
    <col min="9981" max="9981" width="0.7109375" style="163" customWidth="1"/>
    <col min="9982" max="9982" width="13.85546875" style="163" bestFit="1" customWidth="1"/>
    <col min="9983" max="9983" width="11.5703125" style="163" customWidth="1"/>
    <col min="9984" max="9984" width="13.85546875" style="163" bestFit="1" customWidth="1"/>
    <col min="9985" max="9985" width="0.7109375" style="163" customWidth="1"/>
    <col min="9986" max="9986" width="13.85546875" style="163" bestFit="1" customWidth="1"/>
    <col min="9987" max="9987" width="11.5703125" style="163" customWidth="1"/>
    <col min="9988" max="9988" width="13.85546875" style="163" bestFit="1" customWidth="1"/>
    <col min="9989" max="9989" width="13.85546875" style="163" customWidth="1"/>
    <col min="9990" max="9990" width="0.7109375" style="163" customWidth="1"/>
    <col min="9991" max="9991" width="13.85546875" style="163" bestFit="1" customWidth="1"/>
    <col min="9992" max="9992" width="11.5703125" style="163" customWidth="1"/>
    <col min="9993" max="9993" width="13.85546875" style="163" bestFit="1" customWidth="1"/>
    <col min="9994" max="9994" width="13.85546875" style="163" customWidth="1"/>
    <col min="9995" max="9996" width="13.140625" style="163" customWidth="1"/>
    <col min="9997" max="10191" width="9.140625" style="163" customWidth="1"/>
    <col min="10192" max="10228" width="6.7109375" style="163"/>
    <col min="10229" max="10229" width="0.140625" style="163" customWidth="1"/>
    <col min="10230" max="10230" width="14.140625" style="163" bestFit="1" customWidth="1"/>
    <col min="10231" max="10231" width="33.5703125" style="163" customWidth="1"/>
    <col min="10232" max="10232" width="0.7109375" style="163" customWidth="1"/>
    <col min="10233" max="10233" width="13.85546875" style="163" bestFit="1" customWidth="1"/>
    <col min="10234" max="10234" width="11.5703125" style="163" customWidth="1"/>
    <col min="10235" max="10235" width="13.85546875" style="163" bestFit="1" customWidth="1"/>
    <col min="10236" max="10236" width="13.85546875" style="163" customWidth="1"/>
    <col min="10237" max="10237" width="0.7109375" style="163" customWidth="1"/>
    <col min="10238" max="10238" width="13.85546875" style="163" bestFit="1" customWidth="1"/>
    <col min="10239" max="10239" width="11.5703125" style="163" customWidth="1"/>
    <col min="10240" max="10240" width="13.85546875" style="163" bestFit="1" customWidth="1"/>
    <col min="10241" max="10241" width="0.7109375" style="163" customWidth="1"/>
    <col min="10242" max="10242" width="13.85546875" style="163" bestFit="1" customWidth="1"/>
    <col min="10243" max="10243" width="11.5703125" style="163" customWidth="1"/>
    <col min="10244" max="10244" width="13.85546875" style="163" bestFit="1" customWidth="1"/>
    <col min="10245" max="10245" width="13.85546875" style="163" customWidth="1"/>
    <col min="10246" max="10246" width="0.7109375" style="163" customWidth="1"/>
    <col min="10247" max="10247" width="13.85546875" style="163" bestFit="1" customWidth="1"/>
    <col min="10248" max="10248" width="11.5703125" style="163" customWidth="1"/>
    <col min="10249" max="10249" width="13.85546875" style="163" bestFit="1" customWidth="1"/>
    <col min="10250" max="10250" width="13.85546875" style="163" customWidth="1"/>
    <col min="10251" max="10252" width="13.140625" style="163" customWidth="1"/>
    <col min="10253" max="10447" width="9.140625" style="163" customWidth="1"/>
    <col min="10448" max="10484" width="6.7109375" style="163"/>
    <col min="10485" max="10485" width="0.140625" style="163" customWidth="1"/>
    <col min="10486" max="10486" width="14.140625" style="163" bestFit="1" customWidth="1"/>
    <col min="10487" max="10487" width="33.5703125" style="163" customWidth="1"/>
    <col min="10488" max="10488" width="0.7109375" style="163" customWidth="1"/>
    <col min="10489" max="10489" width="13.85546875" style="163" bestFit="1" customWidth="1"/>
    <col min="10490" max="10490" width="11.5703125" style="163" customWidth="1"/>
    <col min="10491" max="10491" width="13.85546875" style="163" bestFit="1" customWidth="1"/>
    <col min="10492" max="10492" width="13.85546875" style="163" customWidth="1"/>
    <col min="10493" max="10493" width="0.7109375" style="163" customWidth="1"/>
    <col min="10494" max="10494" width="13.85546875" style="163" bestFit="1" customWidth="1"/>
    <col min="10495" max="10495" width="11.5703125" style="163" customWidth="1"/>
    <col min="10496" max="10496" width="13.85546875" style="163" bestFit="1" customWidth="1"/>
    <col min="10497" max="10497" width="0.7109375" style="163" customWidth="1"/>
    <col min="10498" max="10498" width="13.85546875" style="163" bestFit="1" customWidth="1"/>
    <col min="10499" max="10499" width="11.5703125" style="163" customWidth="1"/>
    <col min="10500" max="10500" width="13.85546875" style="163" bestFit="1" customWidth="1"/>
    <col min="10501" max="10501" width="13.85546875" style="163" customWidth="1"/>
    <col min="10502" max="10502" width="0.7109375" style="163" customWidth="1"/>
    <col min="10503" max="10503" width="13.85546875" style="163" bestFit="1" customWidth="1"/>
    <col min="10504" max="10504" width="11.5703125" style="163" customWidth="1"/>
    <col min="10505" max="10505" width="13.85546875" style="163" bestFit="1" customWidth="1"/>
    <col min="10506" max="10506" width="13.85546875" style="163" customWidth="1"/>
    <col min="10507" max="10508" width="13.140625" style="163" customWidth="1"/>
    <col min="10509" max="10703" width="9.140625" style="163" customWidth="1"/>
    <col min="10704" max="10740" width="6.7109375" style="163"/>
    <col min="10741" max="10741" width="0.140625" style="163" customWidth="1"/>
    <col min="10742" max="10742" width="14.140625" style="163" bestFit="1" customWidth="1"/>
    <col min="10743" max="10743" width="33.5703125" style="163" customWidth="1"/>
    <col min="10744" max="10744" width="0.7109375" style="163" customWidth="1"/>
    <col min="10745" max="10745" width="13.85546875" style="163" bestFit="1" customWidth="1"/>
    <col min="10746" max="10746" width="11.5703125" style="163" customWidth="1"/>
    <col min="10747" max="10747" width="13.85546875" style="163" bestFit="1" customWidth="1"/>
    <col min="10748" max="10748" width="13.85546875" style="163" customWidth="1"/>
    <col min="10749" max="10749" width="0.7109375" style="163" customWidth="1"/>
    <col min="10750" max="10750" width="13.85546875" style="163" bestFit="1" customWidth="1"/>
    <col min="10751" max="10751" width="11.5703125" style="163" customWidth="1"/>
    <col min="10752" max="10752" width="13.85546875" style="163" bestFit="1" customWidth="1"/>
    <col min="10753" max="10753" width="0.7109375" style="163" customWidth="1"/>
    <col min="10754" max="10754" width="13.85546875" style="163" bestFit="1" customWidth="1"/>
    <col min="10755" max="10755" width="11.5703125" style="163" customWidth="1"/>
    <col min="10756" max="10756" width="13.85546875" style="163" bestFit="1" customWidth="1"/>
    <col min="10757" max="10757" width="13.85546875" style="163" customWidth="1"/>
    <col min="10758" max="10758" width="0.7109375" style="163" customWidth="1"/>
    <col min="10759" max="10759" width="13.85546875" style="163" bestFit="1" customWidth="1"/>
    <col min="10760" max="10760" width="11.5703125" style="163" customWidth="1"/>
    <col min="10761" max="10761" width="13.85546875" style="163" bestFit="1" customWidth="1"/>
    <col min="10762" max="10762" width="13.85546875" style="163" customWidth="1"/>
    <col min="10763" max="10764" width="13.140625" style="163" customWidth="1"/>
    <col min="10765" max="10959" width="9.140625" style="163" customWidth="1"/>
    <col min="10960" max="10996" width="6.7109375" style="163"/>
    <col min="10997" max="10997" width="0.140625" style="163" customWidth="1"/>
    <col min="10998" max="10998" width="14.140625" style="163" bestFit="1" customWidth="1"/>
    <col min="10999" max="10999" width="33.5703125" style="163" customWidth="1"/>
    <col min="11000" max="11000" width="0.7109375" style="163" customWidth="1"/>
    <col min="11001" max="11001" width="13.85546875" style="163" bestFit="1" customWidth="1"/>
    <col min="11002" max="11002" width="11.5703125" style="163" customWidth="1"/>
    <col min="11003" max="11003" width="13.85546875" style="163" bestFit="1" customWidth="1"/>
    <col min="11004" max="11004" width="13.85546875" style="163" customWidth="1"/>
    <col min="11005" max="11005" width="0.7109375" style="163" customWidth="1"/>
    <col min="11006" max="11006" width="13.85546875" style="163" bestFit="1" customWidth="1"/>
    <col min="11007" max="11007" width="11.5703125" style="163" customWidth="1"/>
    <col min="11008" max="11008" width="13.85546875" style="163" bestFit="1" customWidth="1"/>
    <col min="11009" max="11009" width="0.7109375" style="163" customWidth="1"/>
    <col min="11010" max="11010" width="13.85546875" style="163" bestFit="1" customWidth="1"/>
    <col min="11011" max="11011" width="11.5703125" style="163" customWidth="1"/>
    <col min="11012" max="11012" width="13.85546875" style="163" bestFit="1" customWidth="1"/>
    <col min="11013" max="11013" width="13.85546875" style="163" customWidth="1"/>
    <col min="11014" max="11014" width="0.7109375" style="163" customWidth="1"/>
    <col min="11015" max="11015" width="13.85546875" style="163" bestFit="1" customWidth="1"/>
    <col min="11016" max="11016" width="11.5703125" style="163" customWidth="1"/>
    <col min="11017" max="11017" width="13.85546875" style="163" bestFit="1" customWidth="1"/>
    <col min="11018" max="11018" width="13.85546875" style="163" customWidth="1"/>
    <col min="11019" max="11020" width="13.140625" style="163" customWidth="1"/>
    <col min="11021" max="11215" width="9.140625" style="163" customWidth="1"/>
    <col min="11216" max="11252" width="6.7109375" style="163"/>
    <col min="11253" max="11253" width="0.140625" style="163" customWidth="1"/>
    <col min="11254" max="11254" width="14.140625" style="163" bestFit="1" customWidth="1"/>
    <col min="11255" max="11255" width="33.5703125" style="163" customWidth="1"/>
    <col min="11256" max="11256" width="0.7109375" style="163" customWidth="1"/>
    <col min="11257" max="11257" width="13.85546875" style="163" bestFit="1" customWidth="1"/>
    <col min="11258" max="11258" width="11.5703125" style="163" customWidth="1"/>
    <col min="11259" max="11259" width="13.85546875" style="163" bestFit="1" customWidth="1"/>
    <col min="11260" max="11260" width="13.85546875" style="163" customWidth="1"/>
    <col min="11261" max="11261" width="0.7109375" style="163" customWidth="1"/>
    <col min="11262" max="11262" width="13.85546875" style="163" bestFit="1" customWidth="1"/>
    <col min="11263" max="11263" width="11.5703125" style="163" customWidth="1"/>
    <col min="11264" max="11264" width="13.85546875" style="163" bestFit="1" customWidth="1"/>
    <col min="11265" max="11265" width="0.7109375" style="163" customWidth="1"/>
    <col min="11266" max="11266" width="13.85546875" style="163" bestFit="1" customWidth="1"/>
    <col min="11267" max="11267" width="11.5703125" style="163" customWidth="1"/>
    <col min="11268" max="11268" width="13.85546875" style="163" bestFit="1" customWidth="1"/>
    <col min="11269" max="11269" width="13.85546875" style="163" customWidth="1"/>
    <col min="11270" max="11270" width="0.7109375" style="163" customWidth="1"/>
    <col min="11271" max="11271" width="13.85546875" style="163" bestFit="1" customWidth="1"/>
    <col min="11272" max="11272" width="11.5703125" style="163" customWidth="1"/>
    <col min="11273" max="11273" width="13.85546875" style="163" bestFit="1" customWidth="1"/>
    <col min="11274" max="11274" width="13.85546875" style="163" customWidth="1"/>
    <col min="11275" max="11276" width="13.140625" style="163" customWidth="1"/>
    <col min="11277" max="11471" width="9.140625" style="163" customWidth="1"/>
    <col min="11472" max="11508" width="6.7109375" style="163"/>
    <col min="11509" max="11509" width="0.140625" style="163" customWidth="1"/>
    <col min="11510" max="11510" width="14.140625" style="163" bestFit="1" customWidth="1"/>
    <col min="11511" max="11511" width="33.5703125" style="163" customWidth="1"/>
    <col min="11512" max="11512" width="0.7109375" style="163" customWidth="1"/>
    <col min="11513" max="11513" width="13.85546875" style="163" bestFit="1" customWidth="1"/>
    <col min="11514" max="11514" width="11.5703125" style="163" customWidth="1"/>
    <col min="11515" max="11515" width="13.85546875" style="163" bestFit="1" customWidth="1"/>
    <col min="11516" max="11516" width="13.85546875" style="163" customWidth="1"/>
    <col min="11517" max="11517" width="0.7109375" style="163" customWidth="1"/>
    <col min="11518" max="11518" width="13.85546875" style="163" bestFit="1" customWidth="1"/>
    <col min="11519" max="11519" width="11.5703125" style="163" customWidth="1"/>
    <col min="11520" max="11520" width="13.85546875" style="163" bestFit="1" customWidth="1"/>
    <col min="11521" max="11521" width="0.7109375" style="163" customWidth="1"/>
    <col min="11522" max="11522" width="13.85546875" style="163" bestFit="1" customWidth="1"/>
    <col min="11523" max="11523" width="11.5703125" style="163" customWidth="1"/>
    <col min="11524" max="11524" width="13.85546875" style="163" bestFit="1" customWidth="1"/>
    <col min="11525" max="11525" width="13.85546875" style="163" customWidth="1"/>
    <col min="11526" max="11526" width="0.7109375" style="163" customWidth="1"/>
    <col min="11527" max="11527" width="13.85546875" style="163" bestFit="1" customWidth="1"/>
    <col min="11528" max="11528" width="11.5703125" style="163" customWidth="1"/>
    <col min="11529" max="11529" width="13.85546875" style="163" bestFit="1" customWidth="1"/>
    <col min="11530" max="11530" width="13.85546875" style="163" customWidth="1"/>
    <col min="11531" max="11532" width="13.140625" style="163" customWidth="1"/>
    <col min="11533" max="11727" width="9.140625" style="163" customWidth="1"/>
    <col min="11728" max="11764" width="6.7109375" style="163"/>
    <col min="11765" max="11765" width="0.140625" style="163" customWidth="1"/>
    <col min="11766" max="11766" width="14.140625" style="163" bestFit="1" customWidth="1"/>
    <col min="11767" max="11767" width="33.5703125" style="163" customWidth="1"/>
    <col min="11768" max="11768" width="0.7109375" style="163" customWidth="1"/>
    <col min="11769" max="11769" width="13.85546875" style="163" bestFit="1" customWidth="1"/>
    <col min="11770" max="11770" width="11.5703125" style="163" customWidth="1"/>
    <col min="11771" max="11771" width="13.85546875" style="163" bestFit="1" customWidth="1"/>
    <col min="11772" max="11772" width="13.85546875" style="163" customWidth="1"/>
    <col min="11773" max="11773" width="0.7109375" style="163" customWidth="1"/>
    <col min="11774" max="11774" width="13.85546875" style="163" bestFit="1" customWidth="1"/>
    <col min="11775" max="11775" width="11.5703125" style="163" customWidth="1"/>
    <col min="11776" max="11776" width="13.85546875" style="163" bestFit="1" customWidth="1"/>
    <col min="11777" max="11777" width="0.7109375" style="163" customWidth="1"/>
    <col min="11778" max="11778" width="13.85546875" style="163" bestFit="1" customWidth="1"/>
    <col min="11779" max="11779" width="11.5703125" style="163" customWidth="1"/>
    <col min="11780" max="11780" width="13.85546875" style="163" bestFit="1" customWidth="1"/>
    <col min="11781" max="11781" width="13.85546875" style="163" customWidth="1"/>
    <col min="11782" max="11782" width="0.7109375" style="163" customWidth="1"/>
    <col min="11783" max="11783" width="13.85546875" style="163" bestFit="1" customWidth="1"/>
    <col min="11784" max="11784" width="11.5703125" style="163" customWidth="1"/>
    <col min="11785" max="11785" width="13.85546875" style="163" bestFit="1" customWidth="1"/>
    <col min="11786" max="11786" width="13.85546875" style="163" customWidth="1"/>
    <col min="11787" max="11788" width="13.140625" style="163" customWidth="1"/>
    <col min="11789" max="11983" width="9.140625" style="163" customWidth="1"/>
    <col min="11984" max="12020" width="6.7109375" style="163"/>
    <col min="12021" max="12021" width="0.140625" style="163" customWidth="1"/>
    <col min="12022" max="12022" width="14.140625" style="163" bestFit="1" customWidth="1"/>
    <col min="12023" max="12023" width="33.5703125" style="163" customWidth="1"/>
    <col min="12024" max="12024" width="0.7109375" style="163" customWidth="1"/>
    <col min="12025" max="12025" width="13.85546875" style="163" bestFit="1" customWidth="1"/>
    <col min="12026" max="12026" width="11.5703125" style="163" customWidth="1"/>
    <col min="12027" max="12027" width="13.85546875" style="163" bestFit="1" customWidth="1"/>
    <col min="12028" max="12028" width="13.85546875" style="163" customWidth="1"/>
    <col min="12029" max="12029" width="0.7109375" style="163" customWidth="1"/>
    <col min="12030" max="12030" width="13.85546875" style="163" bestFit="1" customWidth="1"/>
    <col min="12031" max="12031" width="11.5703125" style="163" customWidth="1"/>
    <col min="12032" max="12032" width="13.85546875" style="163" bestFit="1" customWidth="1"/>
    <col min="12033" max="12033" width="0.7109375" style="163" customWidth="1"/>
    <col min="12034" max="12034" width="13.85546875" style="163" bestFit="1" customWidth="1"/>
    <col min="12035" max="12035" width="11.5703125" style="163" customWidth="1"/>
    <col min="12036" max="12036" width="13.85546875" style="163" bestFit="1" customWidth="1"/>
    <col min="12037" max="12037" width="13.85546875" style="163" customWidth="1"/>
    <col min="12038" max="12038" width="0.7109375" style="163" customWidth="1"/>
    <col min="12039" max="12039" width="13.85546875" style="163" bestFit="1" customWidth="1"/>
    <col min="12040" max="12040" width="11.5703125" style="163" customWidth="1"/>
    <col min="12041" max="12041" width="13.85546875" style="163" bestFit="1" customWidth="1"/>
    <col min="12042" max="12042" width="13.85546875" style="163" customWidth="1"/>
    <col min="12043" max="12044" width="13.140625" style="163" customWidth="1"/>
    <col min="12045" max="12239" width="9.140625" style="163" customWidth="1"/>
    <col min="12240" max="12276" width="6.7109375" style="163"/>
    <col min="12277" max="12277" width="0.140625" style="163" customWidth="1"/>
    <col min="12278" max="12278" width="14.140625" style="163" bestFit="1" customWidth="1"/>
    <col min="12279" max="12279" width="33.5703125" style="163" customWidth="1"/>
    <col min="12280" max="12280" width="0.7109375" style="163" customWidth="1"/>
    <col min="12281" max="12281" width="13.85546875" style="163" bestFit="1" customWidth="1"/>
    <col min="12282" max="12282" width="11.5703125" style="163" customWidth="1"/>
    <col min="12283" max="12283" width="13.85546875" style="163" bestFit="1" customWidth="1"/>
    <col min="12284" max="12284" width="13.85546875" style="163" customWidth="1"/>
    <col min="12285" max="12285" width="0.7109375" style="163" customWidth="1"/>
    <col min="12286" max="12286" width="13.85546875" style="163" bestFit="1" customWidth="1"/>
    <col min="12287" max="12287" width="11.5703125" style="163" customWidth="1"/>
    <col min="12288" max="12288" width="13.85546875" style="163" bestFit="1" customWidth="1"/>
    <col min="12289" max="12289" width="0.7109375" style="163" customWidth="1"/>
    <col min="12290" max="12290" width="13.85546875" style="163" bestFit="1" customWidth="1"/>
    <col min="12291" max="12291" width="11.5703125" style="163" customWidth="1"/>
    <col min="12292" max="12292" width="13.85546875" style="163" bestFit="1" customWidth="1"/>
    <col min="12293" max="12293" width="13.85546875" style="163" customWidth="1"/>
    <col min="12294" max="12294" width="0.7109375" style="163" customWidth="1"/>
    <col min="12295" max="12295" width="13.85546875" style="163" bestFit="1" customWidth="1"/>
    <col min="12296" max="12296" width="11.5703125" style="163" customWidth="1"/>
    <col min="12297" max="12297" width="13.85546875" style="163" bestFit="1" customWidth="1"/>
    <col min="12298" max="12298" width="13.85546875" style="163" customWidth="1"/>
    <col min="12299" max="12300" width="13.140625" style="163" customWidth="1"/>
    <col min="12301" max="12495" width="9.140625" style="163" customWidth="1"/>
    <col min="12496" max="12532" width="6.7109375" style="163"/>
    <col min="12533" max="12533" width="0.140625" style="163" customWidth="1"/>
    <col min="12534" max="12534" width="14.140625" style="163" bestFit="1" customWidth="1"/>
    <col min="12535" max="12535" width="33.5703125" style="163" customWidth="1"/>
    <col min="12536" max="12536" width="0.7109375" style="163" customWidth="1"/>
    <col min="12537" max="12537" width="13.85546875" style="163" bestFit="1" customWidth="1"/>
    <col min="12538" max="12538" width="11.5703125" style="163" customWidth="1"/>
    <col min="12539" max="12539" width="13.85546875" style="163" bestFit="1" customWidth="1"/>
    <col min="12540" max="12540" width="13.85546875" style="163" customWidth="1"/>
    <col min="12541" max="12541" width="0.7109375" style="163" customWidth="1"/>
    <col min="12542" max="12542" width="13.85546875" style="163" bestFit="1" customWidth="1"/>
    <col min="12543" max="12543" width="11.5703125" style="163" customWidth="1"/>
    <col min="12544" max="12544" width="13.85546875" style="163" bestFit="1" customWidth="1"/>
    <col min="12545" max="12545" width="0.7109375" style="163" customWidth="1"/>
    <col min="12546" max="12546" width="13.85546875" style="163" bestFit="1" customWidth="1"/>
    <col min="12547" max="12547" width="11.5703125" style="163" customWidth="1"/>
    <col min="12548" max="12548" width="13.85546875" style="163" bestFit="1" customWidth="1"/>
    <col min="12549" max="12549" width="13.85546875" style="163" customWidth="1"/>
    <col min="12550" max="12550" width="0.7109375" style="163" customWidth="1"/>
    <col min="12551" max="12551" width="13.85546875" style="163" bestFit="1" customWidth="1"/>
    <col min="12552" max="12552" width="11.5703125" style="163" customWidth="1"/>
    <col min="12553" max="12553" width="13.85546875" style="163" bestFit="1" customWidth="1"/>
    <col min="12554" max="12554" width="13.85546875" style="163" customWidth="1"/>
    <col min="12555" max="12556" width="13.140625" style="163" customWidth="1"/>
    <col min="12557" max="12751" width="9.140625" style="163" customWidth="1"/>
    <col min="12752" max="12788" width="6.7109375" style="163"/>
    <col min="12789" max="12789" width="0.140625" style="163" customWidth="1"/>
    <col min="12790" max="12790" width="14.140625" style="163" bestFit="1" customWidth="1"/>
    <col min="12791" max="12791" width="33.5703125" style="163" customWidth="1"/>
    <col min="12792" max="12792" width="0.7109375" style="163" customWidth="1"/>
    <col min="12793" max="12793" width="13.85546875" style="163" bestFit="1" customWidth="1"/>
    <col min="12794" max="12794" width="11.5703125" style="163" customWidth="1"/>
    <col min="12795" max="12795" width="13.85546875" style="163" bestFit="1" customWidth="1"/>
    <col min="12796" max="12796" width="13.85546875" style="163" customWidth="1"/>
    <col min="12797" max="12797" width="0.7109375" style="163" customWidth="1"/>
    <col min="12798" max="12798" width="13.85546875" style="163" bestFit="1" customWidth="1"/>
    <col min="12799" max="12799" width="11.5703125" style="163" customWidth="1"/>
    <col min="12800" max="12800" width="13.85546875" style="163" bestFit="1" customWidth="1"/>
    <col min="12801" max="12801" width="0.7109375" style="163" customWidth="1"/>
    <col min="12802" max="12802" width="13.85546875" style="163" bestFit="1" customWidth="1"/>
    <col min="12803" max="12803" width="11.5703125" style="163" customWidth="1"/>
    <col min="12804" max="12804" width="13.85546875" style="163" bestFit="1" customWidth="1"/>
    <col min="12805" max="12805" width="13.85546875" style="163" customWidth="1"/>
    <col min="12806" max="12806" width="0.7109375" style="163" customWidth="1"/>
    <col min="12807" max="12807" width="13.85546875" style="163" bestFit="1" customWidth="1"/>
    <col min="12808" max="12808" width="11.5703125" style="163" customWidth="1"/>
    <col min="12809" max="12809" width="13.85546875" style="163" bestFit="1" customWidth="1"/>
    <col min="12810" max="12810" width="13.85546875" style="163" customWidth="1"/>
    <col min="12811" max="12812" width="13.140625" style="163" customWidth="1"/>
    <col min="12813" max="13007" width="9.140625" style="163" customWidth="1"/>
    <col min="13008" max="13044" width="6.7109375" style="163"/>
    <col min="13045" max="13045" width="0.140625" style="163" customWidth="1"/>
    <col min="13046" max="13046" width="14.140625" style="163" bestFit="1" customWidth="1"/>
    <col min="13047" max="13047" width="33.5703125" style="163" customWidth="1"/>
    <col min="13048" max="13048" width="0.7109375" style="163" customWidth="1"/>
    <col min="13049" max="13049" width="13.85546875" style="163" bestFit="1" customWidth="1"/>
    <col min="13050" max="13050" width="11.5703125" style="163" customWidth="1"/>
    <col min="13051" max="13051" width="13.85546875" style="163" bestFit="1" customWidth="1"/>
    <col min="13052" max="13052" width="13.85546875" style="163" customWidth="1"/>
    <col min="13053" max="13053" width="0.7109375" style="163" customWidth="1"/>
    <col min="13054" max="13054" width="13.85546875" style="163" bestFit="1" customWidth="1"/>
    <col min="13055" max="13055" width="11.5703125" style="163" customWidth="1"/>
    <col min="13056" max="13056" width="13.85546875" style="163" bestFit="1" customWidth="1"/>
    <col min="13057" max="13057" width="0.7109375" style="163" customWidth="1"/>
    <col min="13058" max="13058" width="13.85546875" style="163" bestFit="1" customWidth="1"/>
    <col min="13059" max="13059" width="11.5703125" style="163" customWidth="1"/>
    <col min="13060" max="13060" width="13.85546875" style="163" bestFit="1" customWidth="1"/>
    <col min="13061" max="13061" width="13.85546875" style="163" customWidth="1"/>
    <col min="13062" max="13062" width="0.7109375" style="163" customWidth="1"/>
    <col min="13063" max="13063" width="13.85546875" style="163" bestFit="1" customWidth="1"/>
    <col min="13064" max="13064" width="11.5703125" style="163" customWidth="1"/>
    <col min="13065" max="13065" width="13.85546875" style="163" bestFit="1" customWidth="1"/>
    <col min="13066" max="13066" width="13.85546875" style="163" customWidth="1"/>
    <col min="13067" max="13068" width="13.140625" style="163" customWidth="1"/>
    <col min="13069" max="13263" width="9.140625" style="163" customWidth="1"/>
    <col min="13264" max="13300" width="6.7109375" style="163"/>
    <col min="13301" max="13301" width="0.140625" style="163" customWidth="1"/>
    <col min="13302" max="13302" width="14.140625" style="163" bestFit="1" customWidth="1"/>
    <col min="13303" max="13303" width="33.5703125" style="163" customWidth="1"/>
    <col min="13304" max="13304" width="0.7109375" style="163" customWidth="1"/>
    <col min="13305" max="13305" width="13.85546875" style="163" bestFit="1" customWidth="1"/>
    <col min="13306" max="13306" width="11.5703125" style="163" customWidth="1"/>
    <col min="13307" max="13307" width="13.85546875" style="163" bestFit="1" customWidth="1"/>
    <col min="13308" max="13308" width="13.85546875" style="163" customWidth="1"/>
    <col min="13309" max="13309" width="0.7109375" style="163" customWidth="1"/>
    <col min="13310" max="13310" width="13.85546875" style="163" bestFit="1" customWidth="1"/>
    <col min="13311" max="13311" width="11.5703125" style="163" customWidth="1"/>
    <col min="13312" max="13312" width="13.85546875" style="163" bestFit="1" customWidth="1"/>
    <col min="13313" max="13313" width="0.7109375" style="163" customWidth="1"/>
    <col min="13314" max="13314" width="13.85546875" style="163" bestFit="1" customWidth="1"/>
    <col min="13315" max="13315" width="11.5703125" style="163" customWidth="1"/>
    <col min="13316" max="13316" width="13.85546875" style="163" bestFit="1" customWidth="1"/>
    <col min="13317" max="13317" width="13.85546875" style="163" customWidth="1"/>
    <col min="13318" max="13318" width="0.7109375" style="163" customWidth="1"/>
    <col min="13319" max="13319" width="13.85546875" style="163" bestFit="1" customWidth="1"/>
    <col min="13320" max="13320" width="11.5703125" style="163" customWidth="1"/>
    <col min="13321" max="13321" width="13.85546875" style="163" bestFit="1" customWidth="1"/>
    <col min="13322" max="13322" width="13.85546875" style="163" customWidth="1"/>
    <col min="13323" max="13324" width="13.140625" style="163" customWidth="1"/>
    <col min="13325" max="13519" width="9.140625" style="163" customWidth="1"/>
    <col min="13520" max="13556" width="6.7109375" style="163"/>
    <col min="13557" max="13557" width="0.140625" style="163" customWidth="1"/>
    <col min="13558" max="13558" width="14.140625" style="163" bestFit="1" customWidth="1"/>
    <col min="13559" max="13559" width="33.5703125" style="163" customWidth="1"/>
    <col min="13560" max="13560" width="0.7109375" style="163" customWidth="1"/>
    <col min="13561" max="13561" width="13.85546875" style="163" bestFit="1" customWidth="1"/>
    <col min="13562" max="13562" width="11.5703125" style="163" customWidth="1"/>
    <col min="13563" max="13563" width="13.85546875" style="163" bestFit="1" customWidth="1"/>
    <col min="13564" max="13564" width="13.85546875" style="163" customWidth="1"/>
    <col min="13565" max="13565" width="0.7109375" style="163" customWidth="1"/>
    <col min="13566" max="13566" width="13.85546875" style="163" bestFit="1" customWidth="1"/>
    <col min="13567" max="13567" width="11.5703125" style="163" customWidth="1"/>
    <col min="13568" max="13568" width="13.85546875" style="163" bestFit="1" customWidth="1"/>
    <col min="13569" max="13569" width="0.7109375" style="163" customWidth="1"/>
    <col min="13570" max="13570" width="13.85546875" style="163" bestFit="1" customWidth="1"/>
    <col min="13571" max="13571" width="11.5703125" style="163" customWidth="1"/>
    <col min="13572" max="13572" width="13.85546875" style="163" bestFit="1" customWidth="1"/>
    <col min="13573" max="13573" width="13.85546875" style="163" customWidth="1"/>
    <col min="13574" max="13574" width="0.7109375" style="163" customWidth="1"/>
    <col min="13575" max="13575" width="13.85546875" style="163" bestFit="1" customWidth="1"/>
    <col min="13576" max="13576" width="11.5703125" style="163" customWidth="1"/>
    <col min="13577" max="13577" width="13.85546875" style="163" bestFit="1" customWidth="1"/>
    <col min="13578" max="13578" width="13.85546875" style="163" customWidth="1"/>
    <col min="13579" max="13580" width="13.140625" style="163" customWidth="1"/>
    <col min="13581" max="13775" width="9.140625" style="163" customWidth="1"/>
    <col min="13776" max="13812" width="6.7109375" style="163"/>
    <col min="13813" max="13813" width="0.140625" style="163" customWidth="1"/>
    <col min="13814" max="13814" width="14.140625" style="163" bestFit="1" customWidth="1"/>
    <col min="13815" max="13815" width="33.5703125" style="163" customWidth="1"/>
    <col min="13816" max="13816" width="0.7109375" style="163" customWidth="1"/>
    <col min="13817" max="13817" width="13.85546875" style="163" bestFit="1" customWidth="1"/>
    <col min="13818" max="13818" width="11.5703125" style="163" customWidth="1"/>
    <col min="13819" max="13819" width="13.85546875" style="163" bestFit="1" customWidth="1"/>
    <col min="13820" max="13820" width="13.85546875" style="163" customWidth="1"/>
    <col min="13821" max="13821" width="0.7109375" style="163" customWidth="1"/>
    <col min="13822" max="13822" width="13.85546875" style="163" bestFit="1" customWidth="1"/>
    <col min="13823" max="13823" width="11.5703125" style="163" customWidth="1"/>
    <col min="13824" max="13824" width="13.85546875" style="163" bestFit="1" customWidth="1"/>
    <col min="13825" max="13825" width="0.7109375" style="163" customWidth="1"/>
    <col min="13826" max="13826" width="13.85546875" style="163" bestFit="1" customWidth="1"/>
    <col min="13827" max="13827" width="11.5703125" style="163" customWidth="1"/>
    <col min="13828" max="13828" width="13.85546875" style="163" bestFit="1" customWidth="1"/>
    <col min="13829" max="13829" width="13.85546875" style="163" customWidth="1"/>
    <col min="13830" max="13830" width="0.7109375" style="163" customWidth="1"/>
    <col min="13831" max="13831" width="13.85546875" style="163" bestFit="1" customWidth="1"/>
    <col min="13832" max="13832" width="11.5703125" style="163" customWidth="1"/>
    <col min="13833" max="13833" width="13.85546875" style="163" bestFit="1" customWidth="1"/>
    <col min="13834" max="13834" width="13.85546875" style="163" customWidth="1"/>
    <col min="13835" max="13836" width="13.140625" style="163" customWidth="1"/>
    <col min="13837" max="14031" width="9.140625" style="163" customWidth="1"/>
    <col min="14032" max="14068" width="6.7109375" style="163"/>
    <col min="14069" max="14069" width="0.140625" style="163" customWidth="1"/>
    <col min="14070" max="14070" width="14.140625" style="163" bestFit="1" customWidth="1"/>
    <col min="14071" max="14071" width="33.5703125" style="163" customWidth="1"/>
    <col min="14072" max="14072" width="0.7109375" style="163" customWidth="1"/>
    <col min="14073" max="14073" width="13.85546875" style="163" bestFit="1" customWidth="1"/>
    <col min="14074" max="14074" width="11.5703125" style="163" customWidth="1"/>
    <col min="14075" max="14075" width="13.85546875" style="163" bestFit="1" customWidth="1"/>
    <col min="14076" max="14076" width="13.85546875" style="163" customWidth="1"/>
    <col min="14077" max="14077" width="0.7109375" style="163" customWidth="1"/>
    <col min="14078" max="14078" width="13.85546875" style="163" bestFit="1" customWidth="1"/>
    <col min="14079" max="14079" width="11.5703125" style="163" customWidth="1"/>
    <col min="14080" max="14080" width="13.85546875" style="163" bestFit="1" customWidth="1"/>
    <col min="14081" max="14081" width="0.7109375" style="163" customWidth="1"/>
    <col min="14082" max="14082" width="13.85546875" style="163" bestFit="1" customWidth="1"/>
    <col min="14083" max="14083" width="11.5703125" style="163" customWidth="1"/>
    <col min="14084" max="14084" width="13.85546875" style="163" bestFit="1" customWidth="1"/>
    <col min="14085" max="14085" width="13.85546875" style="163" customWidth="1"/>
    <col min="14086" max="14086" width="0.7109375" style="163" customWidth="1"/>
    <col min="14087" max="14087" width="13.85546875" style="163" bestFit="1" customWidth="1"/>
    <col min="14088" max="14088" width="11.5703125" style="163" customWidth="1"/>
    <col min="14089" max="14089" width="13.85546875" style="163" bestFit="1" customWidth="1"/>
    <col min="14090" max="14090" width="13.85546875" style="163" customWidth="1"/>
    <col min="14091" max="14092" width="13.140625" style="163" customWidth="1"/>
    <col min="14093" max="14287" width="9.140625" style="163" customWidth="1"/>
    <col min="14288" max="14324" width="6.7109375" style="163"/>
    <col min="14325" max="14325" width="0.140625" style="163" customWidth="1"/>
    <col min="14326" max="14326" width="14.140625" style="163" bestFit="1" customWidth="1"/>
    <col min="14327" max="14327" width="33.5703125" style="163" customWidth="1"/>
    <col min="14328" max="14328" width="0.7109375" style="163" customWidth="1"/>
    <col min="14329" max="14329" width="13.85546875" style="163" bestFit="1" customWidth="1"/>
    <col min="14330" max="14330" width="11.5703125" style="163" customWidth="1"/>
    <col min="14331" max="14331" width="13.85546875" style="163" bestFit="1" customWidth="1"/>
    <col min="14332" max="14332" width="13.85546875" style="163" customWidth="1"/>
    <col min="14333" max="14333" width="0.7109375" style="163" customWidth="1"/>
    <col min="14334" max="14334" width="13.85546875" style="163" bestFit="1" customWidth="1"/>
    <col min="14335" max="14335" width="11.5703125" style="163" customWidth="1"/>
    <col min="14336" max="14336" width="13.85546875" style="163" bestFit="1" customWidth="1"/>
    <col min="14337" max="14337" width="0.7109375" style="163" customWidth="1"/>
    <col min="14338" max="14338" width="13.85546875" style="163" bestFit="1" customWidth="1"/>
    <col min="14339" max="14339" width="11.5703125" style="163" customWidth="1"/>
    <col min="14340" max="14340" width="13.85546875" style="163" bestFit="1" customWidth="1"/>
    <col min="14341" max="14341" width="13.85546875" style="163" customWidth="1"/>
    <col min="14342" max="14342" width="0.7109375" style="163" customWidth="1"/>
    <col min="14343" max="14343" width="13.85546875" style="163" bestFit="1" customWidth="1"/>
    <col min="14344" max="14344" width="11.5703125" style="163" customWidth="1"/>
    <col min="14345" max="14345" width="13.85546875" style="163" bestFit="1" customWidth="1"/>
    <col min="14346" max="14346" width="13.85546875" style="163" customWidth="1"/>
    <col min="14347" max="14348" width="13.140625" style="163" customWidth="1"/>
    <col min="14349" max="14543" width="9.140625" style="163" customWidth="1"/>
    <col min="14544" max="14580" width="6.7109375" style="163"/>
    <col min="14581" max="14581" width="0.140625" style="163" customWidth="1"/>
    <col min="14582" max="14582" width="14.140625" style="163" bestFit="1" customWidth="1"/>
    <col min="14583" max="14583" width="33.5703125" style="163" customWidth="1"/>
    <col min="14584" max="14584" width="0.7109375" style="163" customWidth="1"/>
    <col min="14585" max="14585" width="13.85546875" style="163" bestFit="1" customWidth="1"/>
    <col min="14586" max="14586" width="11.5703125" style="163" customWidth="1"/>
    <col min="14587" max="14587" width="13.85546875" style="163" bestFit="1" customWidth="1"/>
    <col min="14588" max="14588" width="13.85546875" style="163" customWidth="1"/>
    <col min="14589" max="14589" width="0.7109375" style="163" customWidth="1"/>
    <col min="14590" max="14590" width="13.85546875" style="163" bestFit="1" customWidth="1"/>
    <col min="14591" max="14591" width="11.5703125" style="163" customWidth="1"/>
    <col min="14592" max="14592" width="13.85546875" style="163" bestFit="1" customWidth="1"/>
    <col min="14593" max="14593" width="0.7109375" style="163" customWidth="1"/>
    <col min="14594" max="14594" width="13.85546875" style="163" bestFit="1" customWidth="1"/>
    <col min="14595" max="14595" width="11.5703125" style="163" customWidth="1"/>
    <col min="14596" max="14596" width="13.85546875" style="163" bestFit="1" customWidth="1"/>
    <col min="14597" max="14597" width="13.85546875" style="163" customWidth="1"/>
    <col min="14598" max="14598" width="0.7109375" style="163" customWidth="1"/>
    <col min="14599" max="14599" width="13.85546875" style="163" bestFit="1" customWidth="1"/>
    <col min="14600" max="14600" width="11.5703125" style="163" customWidth="1"/>
    <col min="14601" max="14601" width="13.85546875" style="163" bestFit="1" customWidth="1"/>
    <col min="14602" max="14602" width="13.85546875" style="163" customWidth="1"/>
    <col min="14603" max="14604" width="13.140625" style="163" customWidth="1"/>
    <col min="14605" max="14799" width="9.140625" style="163" customWidth="1"/>
    <col min="14800" max="14836" width="6.7109375" style="163"/>
    <col min="14837" max="14837" width="0.140625" style="163" customWidth="1"/>
    <col min="14838" max="14838" width="14.140625" style="163" bestFit="1" customWidth="1"/>
    <col min="14839" max="14839" width="33.5703125" style="163" customWidth="1"/>
    <col min="14840" max="14840" width="0.7109375" style="163" customWidth="1"/>
    <col min="14841" max="14841" width="13.85546875" style="163" bestFit="1" customWidth="1"/>
    <col min="14842" max="14842" width="11.5703125" style="163" customWidth="1"/>
    <col min="14843" max="14843" width="13.85546875" style="163" bestFit="1" customWidth="1"/>
    <col min="14844" max="14844" width="13.85546875" style="163" customWidth="1"/>
    <col min="14845" max="14845" width="0.7109375" style="163" customWidth="1"/>
    <col min="14846" max="14846" width="13.85546875" style="163" bestFit="1" customWidth="1"/>
    <col min="14847" max="14847" width="11.5703125" style="163" customWidth="1"/>
    <col min="14848" max="14848" width="13.85546875" style="163" bestFit="1" customWidth="1"/>
    <col min="14849" max="14849" width="0.7109375" style="163" customWidth="1"/>
    <col min="14850" max="14850" width="13.85546875" style="163" bestFit="1" customWidth="1"/>
    <col min="14851" max="14851" width="11.5703125" style="163" customWidth="1"/>
    <col min="14852" max="14852" width="13.85546875" style="163" bestFit="1" customWidth="1"/>
    <col min="14853" max="14853" width="13.85546875" style="163" customWidth="1"/>
    <col min="14854" max="14854" width="0.7109375" style="163" customWidth="1"/>
    <col min="14855" max="14855" width="13.85546875" style="163" bestFit="1" customWidth="1"/>
    <col min="14856" max="14856" width="11.5703125" style="163" customWidth="1"/>
    <col min="14857" max="14857" width="13.85546875" style="163" bestFit="1" customWidth="1"/>
    <col min="14858" max="14858" width="13.85546875" style="163" customWidth="1"/>
    <col min="14859" max="14860" width="13.140625" style="163" customWidth="1"/>
    <col min="14861" max="15055" width="9.140625" style="163" customWidth="1"/>
    <col min="15056" max="15092" width="6.7109375" style="163"/>
    <col min="15093" max="15093" width="0.140625" style="163" customWidth="1"/>
    <col min="15094" max="15094" width="14.140625" style="163" bestFit="1" customWidth="1"/>
    <col min="15095" max="15095" width="33.5703125" style="163" customWidth="1"/>
    <col min="15096" max="15096" width="0.7109375" style="163" customWidth="1"/>
    <col min="15097" max="15097" width="13.85546875" style="163" bestFit="1" customWidth="1"/>
    <col min="15098" max="15098" width="11.5703125" style="163" customWidth="1"/>
    <col min="15099" max="15099" width="13.85546875" style="163" bestFit="1" customWidth="1"/>
    <col min="15100" max="15100" width="13.85546875" style="163" customWidth="1"/>
    <col min="15101" max="15101" width="0.7109375" style="163" customWidth="1"/>
    <col min="15102" max="15102" width="13.85546875" style="163" bestFit="1" customWidth="1"/>
    <col min="15103" max="15103" width="11.5703125" style="163" customWidth="1"/>
    <col min="15104" max="15104" width="13.85546875" style="163" bestFit="1" customWidth="1"/>
    <col min="15105" max="15105" width="0.7109375" style="163" customWidth="1"/>
    <col min="15106" max="15106" width="13.85546875" style="163" bestFit="1" customWidth="1"/>
    <col min="15107" max="15107" width="11.5703125" style="163" customWidth="1"/>
    <col min="15108" max="15108" width="13.85546875" style="163" bestFit="1" customWidth="1"/>
    <col min="15109" max="15109" width="13.85546875" style="163" customWidth="1"/>
    <col min="15110" max="15110" width="0.7109375" style="163" customWidth="1"/>
    <col min="15111" max="15111" width="13.85546875" style="163" bestFit="1" customWidth="1"/>
    <col min="15112" max="15112" width="11.5703125" style="163" customWidth="1"/>
    <col min="15113" max="15113" width="13.85546875" style="163" bestFit="1" customWidth="1"/>
    <col min="15114" max="15114" width="13.85546875" style="163" customWidth="1"/>
    <col min="15115" max="15116" width="13.140625" style="163" customWidth="1"/>
    <col min="15117" max="15311" width="9.140625" style="163" customWidth="1"/>
    <col min="15312" max="15348" width="6.7109375" style="163"/>
    <col min="15349" max="15349" width="0.140625" style="163" customWidth="1"/>
    <col min="15350" max="15350" width="14.140625" style="163" bestFit="1" customWidth="1"/>
    <col min="15351" max="15351" width="33.5703125" style="163" customWidth="1"/>
    <col min="15352" max="15352" width="0.7109375" style="163" customWidth="1"/>
    <col min="15353" max="15353" width="13.85546875" style="163" bestFit="1" customWidth="1"/>
    <col min="15354" max="15354" width="11.5703125" style="163" customWidth="1"/>
    <col min="15355" max="15355" width="13.85546875" style="163" bestFit="1" customWidth="1"/>
    <col min="15356" max="15356" width="13.85546875" style="163" customWidth="1"/>
    <col min="15357" max="15357" width="0.7109375" style="163" customWidth="1"/>
    <col min="15358" max="15358" width="13.85546875" style="163" bestFit="1" customWidth="1"/>
    <col min="15359" max="15359" width="11.5703125" style="163" customWidth="1"/>
    <col min="15360" max="15360" width="13.85546875" style="163" bestFit="1" customWidth="1"/>
    <col min="15361" max="15361" width="0.7109375" style="163" customWidth="1"/>
    <col min="15362" max="15362" width="13.85546875" style="163" bestFit="1" customWidth="1"/>
    <col min="15363" max="15363" width="11.5703125" style="163" customWidth="1"/>
    <col min="15364" max="15364" width="13.85546875" style="163" bestFit="1" customWidth="1"/>
    <col min="15365" max="15365" width="13.85546875" style="163" customWidth="1"/>
    <col min="15366" max="15366" width="0.7109375" style="163" customWidth="1"/>
    <col min="15367" max="15367" width="13.85546875" style="163" bestFit="1" customWidth="1"/>
    <col min="15368" max="15368" width="11.5703125" style="163" customWidth="1"/>
    <col min="15369" max="15369" width="13.85546875" style="163" bestFit="1" customWidth="1"/>
    <col min="15370" max="15370" width="13.85546875" style="163" customWidth="1"/>
    <col min="15371" max="15372" width="13.140625" style="163" customWidth="1"/>
    <col min="15373" max="15567" width="9.140625" style="163" customWidth="1"/>
    <col min="15568" max="15604" width="6.7109375" style="163"/>
    <col min="15605" max="15605" width="0.140625" style="163" customWidth="1"/>
    <col min="15606" max="15606" width="14.140625" style="163" bestFit="1" customWidth="1"/>
    <col min="15607" max="15607" width="33.5703125" style="163" customWidth="1"/>
    <col min="15608" max="15608" width="0.7109375" style="163" customWidth="1"/>
    <col min="15609" max="15609" width="13.85546875" style="163" bestFit="1" customWidth="1"/>
    <col min="15610" max="15610" width="11.5703125" style="163" customWidth="1"/>
    <col min="15611" max="15611" width="13.85546875" style="163" bestFit="1" customWidth="1"/>
    <col min="15612" max="15612" width="13.85546875" style="163" customWidth="1"/>
    <col min="15613" max="15613" width="0.7109375" style="163" customWidth="1"/>
    <col min="15614" max="15614" width="13.85546875" style="163" bestFit="1" customWidth="1"/>
    <col min="15615" max="15615" width="11.5703125" style="163" customWidth="1"/>
    <col min="15616" max="15616" width="13.85546875" style="163" bestFit="1" customWidth="1"/>
    <col min="15617" max="15617" width="0.7109375" style="163" customWidth="1"/>
    <col min="15618" max="15618" width="13.85546875" style="163" bestFit="1" customWidth="1"/>
    <col min="15619" max="15619" width="11.5703125" style="163" customWidth="1"/>
    <col min="15620" max="15620" width="13.85546875" style="163" bestFit="1" customWidth="1"/>
    <col min="15621" max="15621" width="13.85546875" style="163" customWidth="1"/>
    <col min="15622" max="15622" width="0.7109375" style="163" customWidth="1"/>
    <col min="15623" max="15623" width="13.85546875" style="163" bestFit="1" customWidth="1"/>
    <col min="15624" max="15624" width="11.5703125" style="163" customWidth="1"/>
    <col min="15625" max="15625" width="13.85546875" style="163" bestFit="1" customWidth="1"/>
    <col min="15626" max="15626" width="13.85546875" style="163" customWidth="1"/>
    <col min="15627" max="15628" width="13.140625" style="163" customWidth="1"/>
    <col min="15629" max="15823" width="9.140625" style="163" customWidth="1"/>
    <col min="15824" max="15860" width="6.7109375" style="163"/>
    <col min="15861" max="15861" width="0.140625" style="163" customWidth="1"/>
    <col min="15862" max="15862" width="14.140625" style="163" bestFit="1" customWidth="1"/>
    <col min="15863" max="15863" width="33.5703125" style="163" customWidth="1"/>
    <col min="15864" max="15864" width="0.7109375" style="163" customWidth="1"/>
    <col min="15865" max="15865" width="13.85546875" style="163" bestFit="1" customWidth="1"/>
    <col min="15866" max="15866" width="11.5703125" style="163" customWidth="1"/>
    <col min="15867" max="15867" width="13.85546875" style="163" bestFit="1" customWidth="1"/>
    <col min="15868" max="15868" width="13.85546875" style="163" customWidth="1"/>
    <col min="15869" max="15869" width="0.7109375" style="163" customWidth="1"/>
    <col min="15870" max="15870" width="13.85546875" style="163" bestFit="1" customWidth="1"/>
    <col min="15871" max="15871" width="11.5703125" style="163" customWidth="1"/>
    <col min="15872" max="15872" width="13.85546875" style="163" bestFit="1" customWidth="1"/>
    <col min="15873" max="15873" width="0.7109375" style="163" customWidth="1"/>
    <col min="15874" max="15874" width="13.85546875" style="163" bestFit="1" customWidth="1"/>
    <col min="15875" max="15875" width="11.5703125" style="163" customWidth="1"/>
    <col min="15876" max="15876" width="13.85546875" style="163" bestFit="1" customWidth="1"/>
    <col min="15877" max="15877" width="13.85546875" style="163" customWidth="1"/>
    <col min="15878" max="15878" width="0.7109375" style="163" customWidth="1"/>
    <col min="15879" max="15879" width="13.85546875" style="163" bestFit="1" customWidth="1"/>
    <col min="15880" max="15880" width="11.5703125" style="163" customWidth="1"/>
    <col min="15881" max="15881" width="13.85546875" style="163" bestFit="1" customWidth="1"/>
    <col min="15882" max="15882" width="13.85546875" style="163" customWidth="1"/>
    <col min="15883" max="15884" width="13.140625" style="163" customWidth="1"/>
    <col min="15885" max="16079" width="9.140625" style="163" customWidth="1"/>
    <col min="16080" max="16116" width="6.7109375" style="163"/>
    <col min="16117" max="16117" width="0.140625" style="163" customWidth="1"/>
    <col min="16118" max="16118" width="14.140625" style="163" bestFit="1" customWidth="1"/>
    <col min="16119" max="16119" width="33.5703125" style="163" customWidth="1"/>
    <col min="16120" max="16120" width="0.7109375" style="163" customWidth="1"/>
    <col min="16121" max="16121" width="13.85546875" style="163" bestFit="1" customWidth="1"/>
    <col min="16122" max="16122" width="11.5703125" style="163" customWidth="1"/>
    <col min="16123" max="16123" width="13.85546875" style="163" bestFit="1" customWidth="1"/>
    <col min="16124" max="16124" width="13.85546875" style="163" customWidth="1"/>
    <col min="16125" max="16125" width="0.7109375" style="163" customWidth="1"/>
    <col min="16126" max="16126" width="13.85546875" style="163" bestFit="1" customWidth="1"/>
    <col min="16127" max="16127" width="11.5703125" style="163" customWidth="1"/>
    <col min="16128" max="16128" width="13.85546875" style="163" bestFit="1" customWidth="1"/>
    <col min="16129" max="16129" width="0.7109375" style="163" customWidth="1"/>
    <col min="16130" max="16130" width="13.85546875" style="163" bestFit="1" customWidth="1"/>
    <col min="16131" max="16131" width="11.5703125" style="163" customWidth="1"/>
    <col min="16132" max="16132" width="13.85546875" style="163" bestFit="1" customWidth="1"/>
    <col min="16133" max="16133" width="13.85546875" style="163" customWidth="1"/>
    <col min="16134" max="16134" width="0.7109375" style="163" customWidth="1"/>
    <col min="16135" max="16135" width="13.85546875" style="163" bestFit="1" customWidth="1"/>
    <col min="16136" max="16136" width="11.5703125" style="163" customWidth="1"/>
    <col min="16137" max="16137" width="13.85546875" style="163" bestFit="1" customWidth="1"/>
    <col min="16138" max="16138" width="13.85546875" style="163" customWidth="1"/>
    <col min="16139" max="16140" width="13.140625" style="163" customWidth="1"/>
    <col min="16141" max="16335" width="9.140625" style="163" customWidth="1"/>
    <col min="16336" max="16384" width="6.7109375" style="163"/>
  </cols>
  <sheetData>
    <row r="1" spans="1:12" ht="24.75" customHeight="1" x14ac:dyDescent="0.35">
      <c r="D1" s="897">
        <v>2016</v>
      </c>
      <c r="F1" s="917">
        <v>2017</v>
      </c>
      <c r="H1" s="935">
        <v>2018</v>
      </c>
      <c r="J1" s="1008">
        <v>2019</v>
      </c>
      <c r="K1" s="163"/>
      <c r="L1" s="163"/>
    </row>
    <row r="2" spans="1:12" ht="49.5" customHeight="1" x14ac:dyDescent="0.2">
      <c r="A2" s="324" t="s">
        <v>383</v>
      </c>
      <c r="B2" s="425" t="s">
        <v>272</v>
      </c>
      <c r="C2" s="162" t="s">
        <v>1</v>
      </c>
      <c r="D2" s="162" t="s">
        <v>3</v>
      </c>
      <c r="F2" s="162" t="s">
        <v>3</v>
      </c>
      <c r="H2" s="162" t="s">
        <v>3</v>
      </c>
      <c r="J2" s="162" t="s">
        <v>3</v>
      </c>
      <c r="K2" s="162" t="s">
        <v>340</v>
      </c>
      <c r="L2" s="162" t="s">
        <v>6</v>
      </c>
    </row>
    <row r="3" spans="1:12" s="207" customFormat="1" ht="33" customHeight="1" x14ac:dyDescent="0.2">
      <c r="A3" s="202"/>
      <c r="B3" s="203"/>
      <c r="C3" s="511" t="s">
        <v>7</v>
      </c>
      <c r="D3" s="205">
        <f>D4+D121</f>
        <v>15599964</v>
      </c>
      <c r="E3" s="201"/>
      <c r="F3" s="205">
        <f>F4+F121</f>
        <v>19860650</v>
      </c>
      <c r="G3" s="201"/>
      <c r="H3" s="205">
        <f>H4+H121</f>
        <v>18552086.009999998</v>
      </c>
      <c r="I3" s="201"/>
      <c r="J3" s="205">
        <f>J4+J121</f>
        <v>18029258</v>
      </c>
      <c r="K3" s="205"/>
      <c r="L3" s="205"/>
    </row>
    <row r="4" spans="1:12" s="207" customFormat="1" ht="21" customHeight="1" x14ac:dyDescent="0.2">
      <c r="A4" s="202"/>
      <c r="B4" s="1097" t="s">
        <v>649</v>
      </c>
      <c r="C4" s="1098"/>
      <c r="D4" s="204">
        <f>SUM(D5:D120)</f>
        <v>10331674</v>
      </c>
      <c r="E4" s="201"/>
      <c r="F4" s="204">
        <f>SUM(F5:F120)</f>
        <v>13909296</v>
      </c>
      <c r="G4" s="201"/>
      <c r="H4" s="204">
        <f>SUM(H5:H120)</f>
        <v>11569868.01</v>
      </c>
      <c r="I4" s="201"/>
      <c r="J4" s="204">
        <f>SUM(J5:J120)</f>
        <v>12191892</v>
      </c>
      <c r="K4" s="204"/>
      <c r="L4" s="204"/>
    </row>
    <row r="5" spans="1:12" ht="19.5" customHeight="1" x14ac:dyDescent="0.2">
      <c r="A5" s="444">
        <v>2</v>
      </c>
      <c r="B5" s="195">
        <v>589227148</v>
      </c>
      <c r="C5" s="241" t="s">
        <v>1444</v>
      </c>
      <c r="D5" s="434">
        <v>50000</v>
      </c>
      <c r="F5" s="434">
        <v>72310</v>
      </c>
      <c r="H5" s="434">
        <v>78592</v>
      </c>
      <c r="J5" s="434">
        <v>80000</v>
      </c>
      <c r="K5" s="434" t="s">
        <v>670</v>
      </c>
      <c r="L5" s="434" t="s">
        <v>12</v>
      </c>
    </row>
    <row r="6" spans="1:12" ht="18.75" customHeight="1" x14ac:dyDescent="0.2">
      <c r="A6" s="444"/>
      <c r="B6" s="195">
        <v>510550759</v>
      </c>
      <c r="C6" s="241" t="s">
        <v>1445</v>
      </c>
      <c r="D6" s="434">
        <f>63806+49438+41198+292807+49438</f>
        <v>496687</v>
      </c>
      <c r="F6" s="434">
        <f>55000*2+50000*2+423457</f>
        <v>633457</v>
      </c>
      <c r="H6" s="434">
        <v>203009</v>
      </c>
      <c r="J6" s="434">
        <v>140597</v>
      </c>
      <c r="K6" s="434" t="s">
        <v>1409</v>
      </c>
      <c r="L6" s="434" t="s">
        <v>32</v>
      </c>
    </row>
    <row r="7" spans="1:12" ht="26.25" customHeight="1" x14ac:dyDescent="0.2">
      <c r="A7" s="444"/>
      <c r="B7" s="195">
        <v>580366110</v>
      </c>
      <c r="C7" s="241" t="s">
        <v>1446</v>
      </c>
      <c r="D7" s="434">
        <v>165268</v>
      </c>
      <c r="F7" s="434">
        <v>239011</v>
      </c>
      <c r="H7" s="434">
        <v>250000</v>
      </c>
      <c r="J7" s="434">
        <v>218158</v>
      </c>
      <c r="K7" s="434" t="s">
        <v>36</v>
      </c>
      <c r="L7" s="434" t="s">
        <v>9</v>
      </c>
    </row>
    <row r="8" spans="1:12" ht="25.5" x14ac:dyDescent="0.2">
      <c r="A8" s="444"/>
      <c r="B8" s="195">
        <v>580099638</v>
      </c>
      <c r="C8" s="241" t="s">
        <v>1448</v>
      </c>
      <c r="D8" s="434">
        <v>600000</v>
      </c>
      <c r="F8" s="434">
        <v>433859</v>
      </c>
      <c r="H8" s="434">
        <v>333000</v>
      </c>
      <c r="J8" s="434">
        <v>600000</v>
      </c>
      <c r="K8" s="434" t="s">
        <v>1447</v>
      </c>
      <c r="L8" s="512" t="s">
        <v>386</v>
      </c>
    </row>
    <row r="9" spans="1:12" ht="19.5" customHeight="1" x14ac:dyDescent="0.2">
      <c r="A9" s="444">
        <v>3</v>
      </c>
      <c r="B9" s="195">
        <v>580371045</v>
      </c>
      <c r="C9" s="241" t="s">
        <v>1449</v>
      </c>
      <c r="D9" s="434">
        <f>323190+89775</f>
        <v>412965</v>
      </c>
      <c r="F9" s="434">
        <f>467396+161452</f>
        <v>628848</v>
      </c>
      <c r="H9" s="434">
        <v>658272</v>
      </c>
      <c r="J9" s="434">
        <v>756745</v>
      </c>
      <c r="K9" s="434" t="s">
        <v>53</v>
      </c>
      <c r="L9" s="434" t="s">
        <v>53</v>
      </c>
    </row>
    <row r="10" spans="1:12" ht="25.5" x14ac:dyDescent="0.2">
      <c r="A10" s="444">
        <v>5</v>
      </c>
      <c r="B10" s="195">
        <v>580350841</v>
      </c>
      <c r="C10" s="241" t="s">
        <v>1450</v>
      </c>
      <c r="D10" s="434"/>
      <c r="F10" s="434">
        <f>147632+78870</f>
        <v>226502</v>
      </c>
      <c r="H10" s="434">
        <v>267273</v>
      </c>
      <c r="J10" s="434">
        <v>249234</v>
      </c>
      <c r="K10" s="434" t="s">
        <v>1517</v>
      </c>
      <c r="L10" s="434" t="s">
        <v>386</v>
      </c>
    </row>
    <row r="11" spans="1:12" ht="48" customHeight="1" x14ac:dyDescent="0.2">
      <c r="A11" s="444">
        <v>7</v>
      </c>
      <c r="B11" s="195">
        <v>580280550</v>
      </c>
      <c r="C11" s="241" t="s">
        <v>1451</v>
      </c>
      <c r="D11" s="434">
        <f>35910*2</f>
        <v>71820</v>
      </c>
      <c r="F11" s="434">
        <f>40000*2</f>
        <v>80000</v>
      </c>
      <c r="H11" s="434">
        <v>90000</v>
      </c>
      <c r="J11" s="434">
        <v>125000</v>
      </c>
      <c r="K11" s="434" t="s">
        <v>36</v>
      </c>
      <c r="L11" s="434" t="s">
        <v>9</v>
      </c>
    </row>
    <row r="12" spans="1:12" ht="18.75" customHeight="1" x14ac:dyDescent="0.2">
      <c r="A12" s="444">
        <v>11</v>
      </c>
      <c r="B12" s="195">
        <v>580244747</v>
      </c>
      <c r="C12" s="241" t="s">
        <v>1452</v>
      </c>
      <c r="D12" s="434">
        <v>44887</v>
      </c>
      <c r="F12" s="434">
        <v>64916</v>
      </c>
      <c r="H12" s="434">
        <v>60000</v>
      </c>
      <c r="J12" s="434">
        <v>60000</v>
      </c>
      <c r="K12" s="434" t="s">
        <v>53</v>
      </c>
      <c r="L12" s="434" t="s">
        <v>53</v>
      </c>
    </row>
    <row r="13" spans="1:12" ht="25.5" x14ac:dyDescent="0.2">
      <c r="A13" s="513">
        <v>16</v>
      </c>
      <c r="B13" s="469">
        <v>580234524</v>
      </c>
      <c r="C13" s="241" t="s">
        <v>1453</v>
      </c>
      <c r="D13" s="434">
        <v>161595</v>
      </c>
      <c r="F13" s="434">
        <v>200000</v>
      </c>
      <c r="H13" s="434">
        <v>200000</v>
      </c>
      <c r="J13" s="434">
        <v>174527</v>
      </c>
      <c r="K13" s="434" t="s">
        <v>73</v>
      </c>
      <c r="L13" s="434" t="s">
        <v>136</v>
      </c>
    </row>
    <row r="14" spans="1:12" ht="35.25" customHeight="1" x14ac:dyDescent="0.2">
      <c r="A14" s="444">
        <v>21</v>
      </c>
      <c r="B14" s="195">
        <v>580181394</v>
      </c>
      <c r="C14" s="241" t="s">
        <v>1454</v>
      </c>
      <c r="D14" s="434">
        <f>51898+119766+32437*2+51898*2</f>
        <v>340334</v>
      </c>
      <c r="F14" s="434">
        <f>60449*2+96719*3+223197</f>
        <v>634252</v>
      </c>
      <c r="H14" s="434"/>
      <c r="J14" s="434"/>
      <c r="K14" s="434" t="s">
        <v>53</v>
      </c>
      <c r="L14" s="434" t="s">
        <v>53</v>
      </c>
    </row>
    <row r="15" spans="1:12" ht="27" customHeight="1" x14ac:dyDescent="0.2">
      <c r="A15" s="444">
        <v>35</v>
      </c>
      <c r="B15" s="195">
        <v>580056687</v>
      </c>
      <c r="C15" s="241" t="s">
        <v>1455</v>
      </c>
      <c r="D15" s="837">
        <f>35000+40000*2+57425</f>
        <v>172425</v>
      </c>
      <c r="F15" s="434">
        <f>40000+80000+40000</f>
        <v>160000</v>
      </c>
      <c r="H15" s="434">
        <v>135202</v>
      </c>
      <c r="J15" s="434">
        <v>128180</v>
      </c>
      <c r="K15" s="434" t="s">
        <v>2911</v>
      </c>
      <c r="L15" s="434" t="s">
        <v>9</v>
      </c>
    </row>
    <row r="16" spans="1:12" ht="19.5" customHeight="1" x14ac:dyDescent="0.2">
      <c r="A16" s="444">
        <v>37</v>
      </c>
      <c r="B16" s="195">
        <v>580051415</v>
      </c>
      <c r="C16" s="241" t="s">
        <v>1456</v>
      </c>
      <c r="D16" s="434">
        <f>35910*2</f>
        <v>71820</v>
      </c>
      <c r="F16" s="434"/>
      <c r="H16" s="434"/>
      <c r="J16" s="434"/>
      <c r="K16" s="434" t="s">
        <v>1076</v>
      </c>
      <c r="L16" s="434" t="s">
        <v>9</v>
      </c>
    </row>
    <row r="17" spans="1:12" ht="28.5" customHeight="1" x14ac:dyDescent="0.2">
      <c r="A17" s="444">
        <v>50</v>
      </c>
      <c r="B17" s="195">
        <v>580020287</v>
      </c>
      <c r="C17" s="241" t="s">
        <v>1457</v>
      </c>
      <c r="D17" s="434">
        <v>44887</v>
      </c>
      <c r="F17" s="434">
        <v>50000</v>
      </c>
      <c r="H17" s="434"/>
      <c r="J17" s="434"/>
      <c r="K17" s="434" t="s">
        <v>53</v>
      </c>
      <c r="L17" s="434" t="s">
        <v>53</v>
      </c>
    </row>
    <row r="18" spans="1:12" ht="27.75" customHeight="1" x14ac:dyDescent="0.2">
      <c r="A18" s="444">
        <v>75</v>
      </c>
      <c r="B18" s="195">
        <v>510703499</v>
      </c>
      <c r="C18" s="241" t="s">
        <v>1458</v>
      </c>
      <c r="D18" s="434">
        <f>44887*2+53865+62842</f>
        <v>206481</v>
      </c>
      <c r="F18" s="434">
        <f>90833+64916*2+77899</f>
        <v>298564</v>
      </c>
      <c r="H18" s="434">
        <v>269925</v>
      </c>
      <c r="J18" s="837">
        <v>279938</v>
      </c>
      <c r="K18" s="434" t="s">
        <v>107</v>
      </c>
      <c r="L18" s="434" t="s">
        <v>9</v>
      </c>
    </row>
    <row r="19" spans="1:12" ht="24.75" customHeight="1" x14ac:dyDescent="0.2">
      <c r="A19" s="444">
        <v>79</v>
      </c>
      <c r="B19" s="195">
        <v>510662224</v>
      </c>
      <c r="C19" s="241" t="s">
        <v>1459</v>
      </c>
      <c r="D19" s="434">
        <f>76567+31903+25522</f>
        <v>133992</v>
      </c>
      <c r="F19" s="434">
        <f>100000+46138+36910</f>
        <v>183048</v>
      </c>
      <c r="H19" s="434">
        <v>167601</v>
      </c>
      <c r="J19" s="434">
        <v>159234</v>
      </c>
      <c r="K19" s="434" t="s">
        <v>434</v>
      </c>
      <c r="L19" s="434" t="s">
        <v>9</v>
      </c>
    </row>
    <row r="20" spans="1:12" ht="25.5" customHeight="1" x14ac:dyDescent="0.2">
      <c r="A20" s="444">
        <v>82</v>
      </c>
      <c r="B20" s="195">
        <v>510623705</v>
      </c>
      <c r="C20" s="241" t="s">
        <v>1460</v>
      </c>
      <c r="D20" s="434">
        <f>25522*3+44664</f>
        <v>121230</v>
      </c>
      <c r="F20" s="434">
        <f>36910+50000+36910+36155</f>
        <v>159975</v>
      </c>
      <c r="H20" s="434">
        <v>213139</v>
      </c>
      <c r="J20" s="837">
        <v>206546</v>
      </c>
      <c r="K20" s="434" t="s">
        <v>1461</v>
      </c>
      <c r="L20" s="434" t="s">
        <v>32</v>
      </c>
    </row>
    <row r="21" spans="1:12" ht="38.25" x14ac:dyDescent="0.2">
      <c r="A21" s="444">
        <v>84</v>
      </c>
      <c r="B21" s="195">
        <v>510623648</v>
      </c>
      <c r="C21" s="241" t="s">
        <v>1462</v>
      </c>
      <c r="D21" s="434">
        <f>50000+53865+25522</f>
        <v>129387</v>
      </c>
      <c r="F21" s="434"/>
      <c r="H21" s="434">
        <v>134858</v>
      </c>
      <c r="J21" s="434">
        <v>177600</v>
      </c>
      <c r="K21" s="434" t="s">
        <v>679</v>
      </c>
      <c r="L21" s="434" t="s">
        <v>32</v>
      </c>
    </row>
    <row r="22" spans="1:12" ht="38.25" x14ac:dyDescent="0.2">
      <c r="A22" s="513"/>
      <c r="B22" s="195">
        <v>580145696</v>
      </c>
      <c r="C22" s="514" t="s">
        <v>1463</v>
      </c>
      <c r="D22" s="434">
        <v>109820</v>
      </c>
      <c r="F22" s="434">
        <v>109820</v>
      </c>
      <c r="H22" s="434"/>
      <c r="J22" s="434"/>
      <c r="K22" s="434" t="s">
        <v>948</v>
      </c>
      <c r="L22" s="434" t="s">
        <v>9</v>
      </c>
    </row>
    <row r="23" spans="1:12" ht="25.5" customHeight="1" x14ac:dyDescent="0.2">
      <c r="A23" s="513"/>
      <c r="B23" s="195">
        <v>580150761</v>
      </c>
      <c r="C23" s="514" t="s">
        <v>1464</v>
      </c>
      <c r="D23" s="434">
        <v>43350</v>
      </c>
      <c r="F23" s="434"/>
      <c r="H23" s="434"/>
      <c r="J23" s="434"/>
      <c r="K23" s="434" t="s">
        <v>53</v>
      </c>
      <c r="L23" s="434" t="s">
        <v>53</v>
      </c>
    </row>
    <row r="24" spans="1:12" ht="25.5" customHeight="1" x14ac:dyDescent="0.2">
      <c r="A24" s="513"/>
      <c r="B24" s="195">
        <v>510542756</v>
      </c>
      <c r="C24" s="514" t="s">
        <v>1465</v>
      </c>
      <c r="D24" s="434">
        <f>44887+71820+53865+35910</f>
        <v>206482</v>
      </c>
      <c r="F24" s="434">
        <f>64916+77899+103866+51933</f>
        <v>298614</v>
      </c>
      <c r="H24" s="434">
        <v>284044</v>
      </c>
      <c r="J24" s="434">
        <v>276550</v>
      </c>
      <c r="K24" s="434" t="s">
        <v>658</v>
      </c>
      <c r="L24" s="434" t="s">
        <v>9</v>
      </c>
    </row>
    <row r="25" spans="1:12" ht="48" customHeight="1" x14ac:dyDescent="0.2">
      <c r="A25" s="513"/>
      <c r="B25" s="195">
        <v>580350783</v>
      </c>
      <c r="C25" s="514" t="s">
        <v>1466</v>
      </c>
      <c r="D25" s="434">
        <v>62000</v>
      </c>
      <c r="F25" s="434">
        <v>75000</v>
      </c>
      <c r="H25" s="434"/>
      <c r="J25" s="434"/>
      <c r="K25" s="434" t="s">
        <v>437</v>
      </c>
      <c r="L25" s="434" t="s">
        <v>9</v>
      </c>
    </row>
    <row r="26" spans="1:12" ht="25.5" customHeight="1" x14ac:dyDescent="0.2">
      <c r="A26" s="513"/>
      <c r="B26" s="195">
        <v>580146850</v>
      </c>
      <c r="C26" s="514" t="s">
        <v>1467</v>
      </c>
      <c r="D26" s="434">
        <f>60000+50000</f>
        <v>110000</v>
      </c>
      <c r="F26" s="434">
        <f>75000+72310</f>
        <v>147310</v>
      </c>
      <c r="H26" s="434">
        <v>201472</v>
      </c>
      <c r="J26" s="434">
        <v>76866</v>
      </c>
      <c r="K26" s="434" t="s">
        <v>680</v>
      </c>
      <c r="L26" s="434" t="s">
        <v>32</v>
      </c>
    </row>
    <row r="27" spans="1:12" ht="25.5" customHeight="1" x14ac:dyDescent="0.2">
      <c r="A27" s="513"/>
      <c r="B27" s="195">
        <v>510542764</v>
      </c>
      <c r="C27" s="514" t="s">
        <v>1468</v>
      </c>
      <c r="D27" s="434">
        <f>44887+62842+95708+44664+51045</f>
        <v>299146</v>
      </c>
      <c r="F27" s="434">
        <f>58000+90883+103000+91000</f>
        <v>342883</v>
      </c>
      <c r="H27" s="434">
        <v>312833</v>
      </c>
      <c r="J27" s="434">
        <v>290187</v>
      </c>
      <c r="K27" s="434" t="s">
        <v>701</v>
      </c>
      <c r="L27" s="434" t="s">
        <v>32</v>
      </c>
    </row>
    <row r="28" spans="1:12" ht="45" customHeight="1" x14ac:dyDescent="0.2">
      <c r="A28" s="513"/>
      <c r="B28" s="195">
        <v>510545833</v>
      </c>
      <c r="C28" s="514" t="s">
        <v>1469</v>
      </c>
      <c r="D28" s="434">
        <f>120000+140000+35910+180000+38283</f>
        <v>514193</v>
      </c>
      <c r="F28" s="434">
        <f>51933+55365+220000+150000+137484+36155</f>
        <v>650937</v>
      </c>
      <c r="H28" s="434">
        <v>600845</v>
      </c>
      <c r="J28" s="434">
        <v>496773</v>
      </c>
      <c r="K28" s="434" t="s">
        <v>456</v>
      </c>
      <c r="L28" s="434" t="s">
        <v>32</v>
      </c>
    </row>
    <row r="29" spans="1:12" ht="25.5" customHeight="1" x14ac:dyDescent="0.2">
      <c r="A29" s="513"/>
      <c r="B29" s="195">
        <v>510623812</v>
      </c>
      <c r="C29" s="514" t="s">
        <v>1470</v>
      </c>
      <c r="D29" s="434">
        <f>60000+42059+70000*2</f>
        <v>242059</v>
      </c>
      <c r="F29" s="434">
        <f>70000+50000+60000+70000</f>
        <v>250000</v>
      </c>
      <c r="H29" s="434">
        <v>266000</v>
      </c>
      <c r="J29" s="434">
        <v>296492</v>
      </c>
      <c r="K29" s="434" t="s">
        <v>1202</v>
      </c>
      <c r="L29" s="434" t="s">
        <v>32</v>
      </c>
    </row>
    <row r="30" spans="1:12" ht="25.5" customHeight="1" x14ac:dyDescent="0.2">
      <c r="A30" s="513"/>
      <c r="B30" s="195">
        <v>510833924</v>
      </c>
      <c r="C30" s="514" t="s">
        <v>1471</v>
      </c>
      <c r="D30" s="434">
        <f>44887+53865</f>
        <v>98752</v>
      </c>
      <c r="F30" s="434">
        <f>64916+77899+36155</f>
        <v>178970</v>
      </c>
      <c r="H30" s="434">
        <v>229718</v>
      </c>
      <c r="J30" s="434">
        <v>217551</v>
      </c>
      <c r="K30" s="434" t="s">
        <v>1472</v>
      </c>
      <c r="L30" s="434" t="s">
        <v>9</v>
      </c>
    </row>
    <row r="31" spans="1:12" ht="63" customHeight="1" x14ac:dyDescent="0.2">
      <c r="A31" s="513"/>
      <c r="B31" s="195">
        <v>510506504</v>
      </c>
      <c r="C31" s="514" t="s">
        <v>1473</v>
      </c>
      <c r="D31" s="434">
        <v>161595</v>
      </c>
      <c r="F31" s="434">
        <v>180000</v>
      </c>
      <c r="H31" s="434"/>
      <c r="J31" s="434"/>
      <c r="K31" s="434" t="s">
        <v>321</v>
      </c>
      <c r="L31" s="164" t="s">
        <v>386</v>
      </c>
    </row>
    <row r="32" spans="1:12" ht="25.5" customHeight="1" x14ac:dyDescent="0.2">
      <c r="A32" s="513"/>
      <c r="B32" s="195">
        <v>510542822</v>
      </c>
      <c r="C32" s="514" t="s">
        <v>1474</v>
      </c>
      <c r="D32" s="434">
        <f>35910+44887</f>
        <v>80797</v>
      </c>
      <c r="F32" s="434">
        <f>64916+51933</f>
        <v>116849</v>
      </c>
      <c r="H32" s="434">
        <v>187203</v>
      </c>
      <c r="J32" s="434">
        <v>183856</v>
      </c>
      <c r="K32" s="434" t="s">
        <v>704</v>
      </c>
      <c r="L32" s="434" t="s">
        <v>32</v>
      </c>
    </row>
    <row r="33" spans="1:12" ht="25.5" customHeight="1" x14ac:dyDescent="0.2">
      <c r="A33" s="513"/>
      <c r="B33" s="195">
        <v>510683816</v>
      </c>
      <c r="C33" s="514" t="s">
        <v>1475</v>
      </c>
      <c r="D33" s="434">
        <v>28900</v>
      </c>
      <c r="F33" s="434">
        <v>28900</v>
      </c>
      <c r="H33" s="434">
        <v>160000</v>
      </c>
      <c r="J33" s="434"/>
      <c r="K33" s="434" t="s">
        <v>1476</v>
      </c>
      <c r="L33" s="434" t="s">
        <v>9</v>
      </c>
    </row>
    <row r="34" spans="1:12" ht="25.5" customHeight="1" x14ac:dyDescent="0.2">
      <c r="A34" s="513"/>
      <c r="B34" s="195">
        <v>580005270</v>
      </c>
      <c r="C34" s="514" t="s">
        <v>1477</v>
      </c>
      <c r="D34" s="434">
        <v>50066</v>
      </c>
      <c r="F34" s="434">
        <v>60000</v>
      </c>
      <c r="H34" s="434"/>
      <c r="J34" s="434"/>
      <c r="K34" s="434" t="s">
        <v>1478</v>
      </c>
      <c r="L34" s="434" t="s">
        <v>9</v>
      </c>
    </row>
    <row r="35" spans="1:12" ht="25.5" customHeight="1" x14ac:dyDescent="0.2">
      <c r="A35" s="513"/>
      <c r="B35" s="195">
        <v>580016715</v>
      </c>
      <c r="C35" s="514" t="s">
        <v>1479</v>
      </c>
      <c r="D35" s="434">
        <v>54082</v>
      </c>
      <c r="F35" s="434">
        <v>75000</v>
      </c>
      <c r="H35" s="434"/>
      <c r="J35" s="434"/>
      <c r="K35" s="434" t="s">
        <v>73</v>
      </c>
      <c r="L35" s="434" t="s">
        <v>386</v>
      </c>
    </row>
    <row r="36" spans="1:12" ht="27.75" customHeight="1" x14ac:dyDescent="0.2">
      <c r="A36" s="513"/>
      <c r="B36" s="195">
        <v>580034924</v>
      </c>
      <c r="C36" s="514" t="s">
        <v>1480</v>
      </c>
      <c r="D36" s="434">
        <v>35910</v>
      </c>
      <c r="F36" s="434">
        <v>64581</v>
      </c>
      <c r="H36" s="434">
        <v>142468</v>
      </c>
      <c r="J36" s="434">
        <v>169000</v>
      </c>
      <c r="K36" s="434" t="s">
        <v>292</v>
      </c>
      <c r="L36" s="434" t="s">
        <v>53</v>
      </c>
    </row>
    <row r="37" spans="1:12" ht="25.5" customHeight="1" x14ac:dyDescent="0.2">
      <c r="A37" s="513"/>
      <c r="B37" s="195">
        <v>580069136</v>
      </c>
      <c r="C37" s="514" t="s">
        <v>1481</v>
      </c>
      <c r="D37" s="434">
        <v>23000</v>
      </c>
      <c r="F37" s="434"/>
      <c r="H37" s="434"/>
      <c r="J37" s="434"/>
      <c r="K37" s="434" t="s">
        <v>53</v>
      </c>
      <c r="L37" s="434" t="s">
        <v>53</v>
      </c>
    </row>
    <row r="38" spans="1:12" ht="25.5" customHeight="1" x14ac:dyDescent="0.2">
      <c r="A38" s="513"/>
      <c r="B38" s="195">
        <v>580238699</v>
      </c>
      <c r="C38" s="514" t="s">
        <v>1482</v>
      </c>
      <c r="D38" s="434">
        <v>71820</v>
      </c>
      <c r="F38" s="434">
        <v>103866</v>
      </c>
      <c r="H38" s="434">
        <v>116629</v>
      </c>
      <c r="J38" s="434">
        <v>118475</v>
      </c>
      <c r="K38" s="434" t="s">
        <v>757</v>
      </c>
      <c r="L38" s="434" t="s">
        <v>12</v>
      </c>
    </row>
    <row r="39" spans="1:12" ht="20.25" customHeight="1" x14ac:dyDescent="0.2">
      <c r="A39" s="513"/>
      <c r="B39" s="195">
        <v>580049120</v>
      </c>
      <c r="C39" s="514" t="s">
        <v>1483</v>
      </c>
      <c r="D39" s="434">
        <f>53865+44887+35910+62842</f>
        <v>197504</v>
      </c>
      <c r="F39" s="434"/>
      <c r="H39" s="434">
        <v>176702</v>
      </c>
      <c r="J39" s="434">
        <v>219566</v>
      </c>
      <c r="K39" s="434" t="s">
        <v>1484</v>
      </c>
      <c r="L39" s="434" t="s">
        <v>282</v>
      </c>
    </row>
    <row r="40" spans="1:12" ht="29.25" customHeight="1" x14ac:dyDescent="0.2">
      <c r="A40" s="513"/>
      <c r="B40" s="208">
        <v>580017580</v>
      </c>
      <c r="C40" s="515" t="s">
        <v>1485</v>
      </c>
      <c r="D40" s="434">
        <v>40000</v>
      </c>
      <c r="F40" s="434">
        <v>40000</v>
      </c>
      <c r="H40" s="434">
        <v>40000</v>
      </c>
      <c r="J40" s="434">
        <v>40000</v>
      </c>
      <c r="K40" s="434" t="s">
        <v>1476</v>
      </c>
      <c r="L40" s="434" t="s">
        <v>9</v>
      </c>
    </row>
    <row r="41" spans="1:12" ht="30.75" customHeight="1" x14ac:dyDescent="0.2">
      <c r="A41" s="513"/>
      <c r="B41" s="208">
        <v>580243590</v>
      </c>
      <c r="C41" s="515" t="s">
        <v>1486</v>
      </c>
      <c r="D41" s="434">
        <f>53865+70186</f>
        <v>124051</v>
      </c>
      <c r="F41" s="434">
        <f>65000+80000</f>
        <v>145000</v>
      </c>
      <c r="H41" s="434">
        <v>145000</v>
      </c>
      <c r="J41" s="434">
        <v>167697</v>
      </c>
      <c r="K41" s="434" t="s">
        <v>1487</v>
      </c>
      <c r="L41" s="434" t="s">
        <v>9</v>
      </c>
    </row>
    <row r="42" spans="1:12" ht="28.5" customHeight="1" x14ac:dyDescent="0.2">
      <c r="A42" s="513"/>
      <c r="B42" s="208">
        <v>580036242</v>
      </c>
      <c r="C42" s="515" t="s">
        <v>1488</v>
      </c>
      <c r="D42" s="434">
        <v>25000</v>
      </c>
      <c r="F42" s="434">
        <v>30000</v>
      </c>
      <c r="H42" s="434">
        <v>35000</v>
      </c>
      <c r="J42" s="434"/>
      <c r="K42" s="434" t="s">
        <v>43</v>
      </c>
      <c r="L42" s="434" t="s">
        <v>9</v>
      </c>
    </row>
    <row r="43" spans="1:12" ht="15.75" customHeight="1" x14ac:dyDescent="0.2">
      <c r="A43" s="513"/>
      <c r="B43" s="208">
        <v>580082824</v>
      </c>
      <c r="C43" s="515" t="s">
        <v>1489</v>
      </c>
      <c r="D43" s="434">
        <v>68633</v>
      </c>
      <c r="F43" s="434"/>
      <c r="H43" s="434"/>
      <c r="J43" s="434"/>
      <c r="K43" s="434" t="s">
        <v>33</v>
      </c>
      <c r="L43" s="434" t="s">
        <v>9</v>
      </c>
    </row>
    <row r="44" spans="1:12" ht="18.75" customHeight="1" x14ac:dyDescent="0.2">
      <c r="A44" s="513"/>
      <c r="B44" s="195">
        <v>580197408</v>
      </c>
      <c r="C44" s="514" t="s">
        <v>1490</v>
      </c>
      <c r="D44" s="434">
        <v>29941</v>
      </c>
      <c r="F44" s="434">
        <v>30000</v>
      </c>
      <c r="H44" s="434"/>
      <c r="J44" s="434">
        <v>40000</v>
      </c>
      <c r="K44" s="434" t="s">
        <v>53</v>
      </c>
      <c r="L44" s="434" t="s">
        <v>53</v>
      </c>
    </row>
    <row r="45" spans="1:12" ht="25.5" x14ac:dyDescent="0.2">
      <c r="A45" s="513"/>
      <c r="B45" s="195">
        <v>510766389</v>
      </c>
      <c r="C45" s="514" t="s">
        <v>1491</v>
      </c>
      <c r="D45" s="434">
        <f>44887+35910</f>
        <v>80797</v>
      </c>
      <c r="F45" s="434">
        <f>100000</f>
        <v>100000</v>
      </c>
      <c r="H45" s="434"/>
      <c r="J45" s="434"/>
      <c r="K45" s="434" t="s">
        <v>93</v>
      </c>
      <c r="L45" s="434" t="s">
        <v>12</v>
      </c>
    </row>
    <row r="46" spans="1:12" ht="22.5" customHeight="1" x14ac:dyDescent="0.2">
      <c r="A46" s="513"/>
      <c r="B46" s="195">
        <v>580416485</v>
      </c>
      <c r="C46" s="514" t="s">
        <v>1492</v>
      </c>
      <c r="D46" s="434">
        <v>26926</v>
      </c>
      <c r="F46" s="434">
        <v>39000</v>
      </c>
      <c r="H46" s="434"/>
      <c r="J46" s="434"/>
      <c r="K46" s="434" t="s">
        <v>53</v>
      </c>
      <c r="L46" s="434" t="s">
        <v>53</v>
      </c>
    </row>
    <row r="47" spans="1:12" ht="29.25" customHeight="1" x14ac:dyDescent="0.2">
      <c r="A47" s="513"/>
      <c r="B47" s="195">
        <v>580401776</v>
      </c>
      <c r="C47" s="514" t="s">
        <v>1493</v>
      </c>
      <c r="D47" s="434">
        <v>68819</v>
      </c>
      <c r="F47" s="434">
        <v>83792</v>
      </c>
      <c r="H47" s="434"/>
      <c r="J47" s="434"/>
      <c r="K47" s="434" t="s">
        <v>400</v>
      </c>
      <c r="L47" s="434" t="s">
        <v>32</v>
      </c>
    </row>
    <row r="48" spans="1:12" ht="16.5" customHeight="1" x14ac:dyDescent="0.2">
      <c r="A48" s="513"/>
      <c r="B48" s="195">
        <v>580019917</v>
      </c>
      <c r="C48" s="241" t="s">
        <v>1494</v>
      </c>
      <c r="D48" s="434">
        <v>89775</v>
      </c>
      <c r="F48" s="434">
        <v>129832</v>
      </c>
      <c r="H48" s="434">
        <v>165664</v>
      </c>
      <c r="J48" s="434"/>
      <c r="K48" s="434" t="s">
        <v>53</v>
      </c>
      <c r="L48" s="434" t="s">
        <v>53</v>
      </c>
    </row>
    <row r="49" spans="1:12" ht="27.75" customHeight="1" x14ac:dyDescent="0.2">
      <c r="A49" s="513"/>
      <c r="B49" s="195">
        <v>510632219</v>
      </c>
      <c r="C49" s="241" t="s">
        <v>1495</v>
      </c>
      <c r="D49" s="434">
        <f>89328+63806</f>
        <v>153134</v>
      </c>
      <c r="F49" s="434">
        <f>129186+92276</f>
        <v>221462</v>
      </c>
      <c r="H49" s="434">
        <v>278207</v>
      </c>
      <c r="J49" s="434">
        <v>212870</v>
      </c>
      <c r="K49" s="434" t="s">
        <v>43</v>
      </c>
      <c r="L49" s="434" t="s">
        <v>9</v>
      </c>
    </row>
    <row r="50" spans="1:12" ht="29.25" customHeight="1" x14ac:dyDescent="0.2">
      <c r="A50" s="513"/>
      <c r="B50" s="195">
        <v>510662190</v>
      </c>
      <c r="C50" s="241" t="s">
        <v>1496</v>
      </c>
      <c r="D50" s="434">
        <f>71820+35910+62842</f>
        <v>170572</v>
      </c>
      <c r="F50" s="434">
        <f>90883+36155+51933+103866</f>
        <v>282837</v>
      </c>
      <c r="H50" s="434">
        <v>330769</v>
      </c>
      <c r="J50" s="434">
        <v>285180</v>
      </c>
      <c r="K50" s="434" t="s">
        <v>1497</v>
      </c>
      <c r="L50" s="434" t="s">
        <v>9</v>
      </c>
    </row>
    <row r="51" spans="1:12" ht="31.5" customHeight="1" x14ac:dyDescent="0.2">
      <c r="A51" s="513"/>
      <c r="B51" s="195">
        <v>580503605</v>
      </c>
      <c r="C51" s="241" t="s">
        <v>1653</v>
      </c>
      <c r="D51" s="837">
        <v>38283</v>
      </c>
      <c r="F51" s="434"/>
      <c r="H51" s="434"/>
      <c r="J51" s="434"/>
      <c r="K51" s="434" t="s">
        <v>670</v>
      </c>
      <c r="L51" s="434" t="s">
        <v>12</v>
      </c>
    </row>
    <row r="52" spans="1:12" ht="22.5" customHeight="1" x14ac:dyDescent="0.2">
      <c r="A52" s="513"/>
      <c r="B52" s="195">
        <v>580503613</v>
      </c>
      <c r="C52" s="514" t="s">
        <v>3185</v>
      </c>
      <c r="D52" s="434"/>
      <c r="F52" s="434"/>
      <c r="H52" s="837">
        <v>165000</v>
      </c>
      <c r="J52" s="837">
        <v>165000</v>
      </c>
      <c r="K52" s="434" t="s">
        <v>1059</v>
      </c>
      <c r="L52" s="434" t="s">
        <v>9</v>
      </c>
    </row>
    <row r="53" spans="1:12" ht="25.5" customHeight="1" x14ac:dyDescent="0.2">
      <c r="A53" s="513"/>
      <c r="B53" s="195">
        <v>580005601</v>
      </c>
      <c r="C53" s="241" t="s">
        <v>1498</v>
      </c>
      <c r="D53" s="434">
        <f>50000+20000</f>
        <v>70000</v>
      </c>
      <c r="F53" s="434">
        <f>50000+28400</f>
        <v>78400</v>
      </c>
      <c r="H53" s="434"/>
      <c r="J53" s="434">
        <v>60000</v>
      </c>
      <c r="K53" s="434" t="s">
        <v>1499</v>
      </c>
      <c r="L53" s="434" t="s">
        <v>9</v>
      </c>
    </row>
    <row r="54" spans="1:12" ht="45.75" customHeight="1" x14ac:dyDescent="0.2">
      <c r="A54" s="513"/>
      <c r="B54" s="195">
        <v>580333896</v>
      </c>
      <c r="C54" s="241" t="s">
        <v>1500</v>
      </c>
      <c r="D54" s="434"/>
      <c r="F54" s="434">
        <v>40000</v>
      </c>
      <c r="H54" s="434">
        <v>68746</v>
      </c>
      <c r="J54" s="434"/>
      <c r="K54" s="434" t="s">
        <v>461</v>
      </c>
      <c r="L54" s="434" t="s">
        <v>12</v>
      </c>
    </row>
    <row r="55" spans="1:12" ht="25.5" customHeight="1" x14ac:dyDescent="0.2">
      <c r="A55" s="513"/>
      <c r="B55" s="195">
        <v>580002996</v>
      </c>
      <c r="C55" s="315" t="s">
        <v>1501</v>
      </c>
      <c r="D55" s="434">
        <v>164678</v>
      </c>
      <c r="F55" s="434">
        <v>306895</v>
      </c>
      <c r="H55" s="434"/>
      <c r="J55" s="434"/>
      <c r="K55" s="434" t="s">
        <v>53</v>
      </c>
      <c r="L55" s="434" t="s">
        <v>53</v>
      </c>
    </row>
    <row r="56" spans="1:12" ht="25.5" customHeight="1" x14ac:dyDescent="0.2">
      <c r="A56" s="513"/>
      <c r="B56" s="195">
        <v>580218543</v>
      </c>
      <c r="C56" s="315" t="s">
        <v>1502</v>
      </c>
      <c r="D56" s="434">
        <v>29941</v>
      </c>
      <c r="F56" s="434">
        <v>30000</v>
      </c>
      <c r="H56" s="434"/>
      <c r="J56" s="434">
        <v>38896</v>
      </c>
      <c r="K56" s="434" t="s">
        <v>329</v>
      </c>
      <c r="L56" s="434" t="s">
        <v>12</v>
      </c>
    </row>
    <row r="57" spans="1:12" ht="25.5" customHeight="1" x14ac:dyDescent="0.2">
      <c r="A57" s="513"/>
      <c r="B57" s="195">
        <v>580322451</v>
      </c>
      <c r="C57" s="315" t="s">
        <v>1503</v>
      </c>
      <c r="D57" s="434">
        <v>119213</v>
      </c>
      <c r="F57" s="434"/>
      <c r="H57" s="434"/>
      <c r="J57" s="434"/>
      <c r="K57" s="434" t="s">
        <v>1504</v>
      </c>
      <c r="L57" s="434" t="s">
        <v>32</v>
      </c>
    </row>
    <row r="58" spans="1:12" ht="38.25" customHeight="1" x14ac:dyDescent="0.2">
      <c r="A58" s="513"/>
      <c r="B58" s="195">
        <v>510490451</v>
      </c>
      <c r="C58" s="436" t="s">
        <v>1505</v>
      </c>
      <c r="D58" s="434"/>
      <c r="F58" s="434">
        <v>202468</v>
      </c>
      <c r="H58" s="434"/>
      <c r="J58" s="434"/>
      <c r="K58" s="434" t="s">
        <v>73</v>
      </c>
      <c r="L58" s="516" t="s">
        <v>386</v>
      </c>
    </row>
    <row r="59" spans="1:12" ht="25.5" customHeight="1" x14ac:dyDescent="0.2">
      <c r="A59" s="513"/>
      <c r="B59" s="195">
        <v>510729544</v>
      </c>
      <c r="C59" s="436" t="s">
        <v>1506</v>
      </c>
      <c r="D59" s="434">
        <v>30000</v>
      </c>
      <c r="F59" s="434">
        <v>39000</v>
      </c>
      <c r="H59" s="434"/>
      <c r="J59" s="434"/>
      <c r="K59" s="434" t="s">
        <v>53</v>
      </c>
      <c r="L59" s="516" t="s">
        <v>53</v>
      </c>
    </row>
    <row r="60" spans="1:12" ht="25.5" customHeight="1" x14ac:dyDescent="0.2">
      <c r="A60" s="513"/>
      <c r="B60" s="195">
        <v>580052363</v>
      </c>
      <c r="C60" s="436" t="s">
        <v>1507</v>
      </c>
      <c r="D60" s="434">
        <v>63806</v>
      </c>
      <c r="F60" s="434">
        <v>75000</v>
      </c>
      <c r="H60" s="434">
        <v>75000</v>
      </c>
      <c r="J60" s="434">
        <v>95000</v>
      </c>
      <c r="K60" s="434" t="s">
        <v>400</v>
      </c>
      <c r="L60" s="516" t="s">
        <v>32</v>
      </c>
    </row>
    <row r="61" spans="1:12" ht="25.5" customHeight="1" x14ac:dyDescent="0.2">
      <c r="A61" s="513"/>
      <c r="B61" s="195">
        <v>580238327</v>
      </c>
      <c r="C61" s="436" t="s">
        <v>1511</v>
      </c>
      <c r="D61" s="434">
        <v>30000</v>
      </c>
      <c r="F61" s="434">
        <v>43386</v>
      </c>
      <c r="H61" s="434">
        <v>45000</v>
      </c>
      <c r="J61" s="434">
        <v>50000</v>
      </c>
      <c r="K61" s="434" t="s">
        <v>53</v>
      </c>
      <c r="L61" s="516" t="s">
        <v>53</v>
      </c>
    </row>
    <row r="62" spans="1:12" ht="25.5" customHeight="1" x14ac:dyDescent="0.2">
      <c r="A62" s="513"/>
      <c r="B62" s="195">
        <v>580017077</v>
      </c>
      <c r="C62" s="436" t="s">
        <v>1512</v>
      </c>
      <c r="D62" s="434">
        <f>44887+35910</f>
        <v>80797</v>
      </c>
      <c r="F62" s="434">
        <v>60000</v>
      </c>
      <c r="H62" s="434">
        <v>120000</v>
      </c>
      <c r="J62" s="434">
        <v>55000</v>
      </c>
      <c r="K62" s="434" t="s">
        <v>652</v>
      </c>
      <c r="L62" s="516" t="s">
        <v>9</v>
      </c>
    </row>
    <row r="63" spans="1:12" ht="25.5" customHeight="1" x14ac:dyDescent="0.2">
      <c r="A63" s="513"/>
      <c r="B63" s="195">
        <v>580376010</v>
      </c>
      <c r="C63" s="436" t="s">
        <v>768</v>
      </c>
      <c r="D63" s="434">
        <v>120000</v>
      </c>
      <c r="F63" s="434">
        <v>173544</v>
      </c>
      <c r="H63" s="434">
        <v>188911</v>
      </c>
      <c r="J63" s="434">
        <v>199207</v>
      </c>
      <c r="K63" s="434" t="s">
        <v>53</v>
      </c>
      <c r="L63" s="516" t="s">
        <v>53</v>
      </c>
    </row>
    <row r="64" spans="1:12" ht="25.5" customHeight="1" x14ac:dyDescent="0.2">
      <c r="A64" s="513"/>
      <c r="B64" s="195">
        <v>580396752</v>
      </c>
      <c r="C64" s="436" t="s">
        <v>1513</v>
      </c>
      <c r="D64" s="434">
        <v>75000</v>
      </c>
      <c r="F64" s="434">
        <v>75000</v>
      </c>
      <c r="H64" s="434">
        <v>75000</v>
      </c>
      <c r="J64" s="434">
        <v>75000</v>
      </c>
      <c r="K64" s="434" t="s">
        <v>757</v>
      </c>
      <c r="L64" s="516" t="s">
        <v>386</v>
      </c>
    </row>
    <row r="65" spans="1:12" ht="25.5" customHeight="1" x14ac:dyDescent="0.2">
      <c r="A65" s="513"/>
      <c r="B65" s="195">
        <v>511854788</v>
      </c>
      <c r="C65" s="436" t="s">
        <v>1514</v>
      </c>
      <c r="D65" s="434">
        <f>35910+25000+44887</f>
        <v>105797</v>
      </c>
      <c r="F65" s="434">
        <f>25000+45000</f>
        <v>70000</v>
      </c>
      <c r="H65" s="434">
        <v>146115</v>
      </c>
      <c r="J65" s="837">
        <v>133438</v>
      </c>
      <c r="K65" s="434" t="s">
        <v>2327</v>
      </c>
      <c r="L65" s="516" t="s">
        <v>32</v>
      </c>
    </row>
    <row r="66" spans="1:12" ht="25.5" customHeight="1" x14ac:dyDescent="0.2">
      <c r="A66" s="513"/>
      <c r="B66" s="195">
        <v>580013399</v>
      </c>
      <c r="C66" s="436" t="s">
        <v>1515</v>
      </c>
      <c r="D66" s="434">
        <v>40000</v>
      </c>
      <c r="F66" s="434">
        <f>50000+36155</f>
        <v>86155</v>
      </c>
      <c r="H66" s="434">
        <v>80000</v>
      </c>
      <c r="J66" s="434">
        <v>179034</v>
      </c>
      <c r="K66" s="434" t="s">
        <v>300</v>
      </c>
      <c r="L66" s="516" t="s">
        <v>282</v>
      </c>
    </row>
    <row r="67" spans="1:12" ht="25.5" customHeight="1" x14ac:dyDescent="0.2">
      <c r="A67" s="513"/>
      <c r="B67" s="195">
        <v>580192391</v>
      </c>
      <c r="C67" s="436" t="s">
        <v>1516</v>
      </c>
      <c r="D67" s="434">
        <v>35910</v>
      </c>
      <c r="F67" s="434"/>
      <c r="H67" s="434"/>
      <c r="J67" s="434"/>
      <c r="K67" s="434" t="s">
        <v>53</v>
      </c>
      <c r="L67" s="516" t="s">
        <v>53</v>
      </c>
    </row>
    <row r="68" spans="1:12" ht="25.5" customHeight="1" x14ac:dyDescent="0.2">
      <c r="A68" s="513"/>
      <c r="B68" s="195">
        <v>580392280</v>
      </c>
      <c r="C68" s="436" t="s">
        <v>1518</v>
      </c>
      <c r="D68" s="434">
        <v>35910</v>
      </c>
      <c r="F68" s="434">
        <v>41852</v>
      </c>
      <c r="H68" s="434"/>
      <c r="J68" s="434"/>
      <c r="K68" s="434" t="s">
        <v>1519</v>
      </c>
      <c r="L68" s="516" t="s">
        <v>32</v>
      </c>
    </row>
    <row r="69" spans="1:12" ht="25.5" customHeight="1" x14ac:dyDescent="0.2">
      <c r="A69" s="513"/>
      <c r="B69" s="195">
        <v>580492593</v>
      </c>
      <c r="C69" s="436" t="s">
        <v>1520</v>
      </c>
      <c r="D69" s="434">
        <v>62751</v>
      </c>
      <c r="F69" s="434">
        <v>85631</v>
      </c>
      <c r="H69" s="434">
        <v>55689.01</v>
      </c>
      <c r="J69" s="434">
        <v>67048</v>
      </c>
      <c r="K69" s="434" t="s">
        <v>658</v>
      </c>
      <c r="L69" s="516" t="s">
        <v>9</v>
      </c>
    </row>
    <row r="70" spans="1:12" ht="25.5" customHeight="1" x14ac:dyDescent="0.2">
      <c r="A70" s="513"/>
      <c r="B70" s="195">
        <v>510513435</v>
      </c>
      <c r="C70" s="436" t="s">
        <v>1521</v>
      </c>
      <c r="D70" s="434">
        <f>35910+30000</f>
        <v>65910</v>
      </c>
      <c r="F70" s="434">
        <f>45000+30000</f>
        <v>75000</v>
      </c>
      <c r="H70" s="434">
        <v>120000</v>
      </c>
      <c r="J70" s="434">
        <v>122000</v>
      </c>
      <c r="K70" s="434" t="s">
        <v>672</v>
      </c>
      <c r="L70" s="516" t="s">
        <v>32</v>
      </c>
    </row>
    <row r="71" spans="1:12" ht="25.5" customHeight="1" x14ac:dyDescent="0.2">
      <c r="A71" s="513"/>
      <c r="B71" s="195">
        <v>580031326</v>
      </c>
      <c r="C71" s="436" t="s">
        <v>1522</v>
      </c>
      <c r="D71" s="434">
        <v>35000</v>
      </c>
      <c r="F71" s="434">
        <v>50000</v>
      </c>
      <c r="H71" s="434">
        <v>48000</v>
      </c>
      <c r="J71" s="434">
        <v>48750</v>
      </c>
      <c r="K71" s="434" t="s">
        <v>53</v>
      </c>
      <c r="L71" s="516" t="s">
        <v>53</v>
      </c>
    </row>
    <row r="72" spans="1:12" ht="25.5" customHeight="1" x14ac:dyDescent="0.2">
      <c r="A72" s="513"/>
      <c r="B72" s="195">
        <v>511757114</v>
      </c>
      <c r="C72" s="436" t="s">
        <v>1523</v>
      </c>
      <c r="D72" s="434">
        <f>35910*4</f>
        <v>143640</v>
      </c>
      <c r="F72" s="434">
        <f>50000+51933*2+50000</f>
        <v>203866</v>
      </c>
      <c r="H72" s="434">
        <v>241000</v>
      </c>
      <c r="J72" s="837">
        <v>264827</v>
      </c>
      <c r="K72" s="434" t="s">
        <v>461</v>
      </c>
      <c r="L72" s="516" t="s">
        <v>12</v>
      </c>
    </row>
    <row r="73" spans="1:12" ht="25.5" customHeight="1" x14ac:dyDescent="0.2">
      <c r="A73" s="513"/>
      <c r="B73" s="195">
        <v>580215333</v>
      </c>
      <c r="C73" s="436" t="s">
        <v>1070</v>
      </c>
      <c r="D73" s="434">
        <f>44887+62842</f>
        <v>107729</v>
      </c>
      <c r="F73" s="434">
        <v>90883</v>
      </c>
      <c r="H73" s="434">
        <v>134139</v>
      </c>
      <c r="J73" s="434">
        <v>117054</v>
      </c>
      <c r="K73" s="434" t="s">
        <v>73</v>
      </c>
      <c r="L73" s="516" t="s">
        <v>136</v>
      </c>
    </row>
    <row r="74" spans="1:12" ht="22.5" customHeight="1" x14ac:dyDescent="0.2">
      <c r="A74" s="513"/>
      <c r="B74" s="195">
        <v>580356210</v>
      </c>
      <c r="C74" s="514" t="s">
        <v>1524</v>
      </c>
      <c r="D74" s="434"/>
      <c r="F74" s="434"/>
      <c r="H74" s="434">
        <v>207000</v>
      </c>
      <c r="J74" s="434">
        <v>380500</v>
      </c>
      <c r="K74" s="434" t="s">
        <v>73</v>
      </c>
      <c r="L74" s="434" t="s">
        <v>136</v>
      </c>
    </row>
    <row r="75" spans="1:12" ht="25.5" customHeight="1" x14ac:dyDescent="0.2">
      <c r="A75" s="513"/>
      <c r="B75" s="195">
        <v>580390565</v>
      </c>
      <c r="C75" s="436" t="s">
        <v>1296</v>
      </c>
      <c r="D75" s="434">
        <v>71820</v>
      </c>
      <c r="F75" s="434">
        <v>103866</v>
      </c>
      <c r="H75" s="434">
        <v>106944</v>
      </c>
      <c r="J75" s="434">
        <v>93367</v>
      </c>
      <c r="K75" s="434" t="s">
        <v>73</v>
      </c>
      <c r="L75" s="516" t="s">
        <v>136</v>
      </c>
    </row>
    <row r="76" spans="1:12" ht="25.5" customHeight="1" x14ac:dyDescent="0.2">
      <c r="A76" s="513"/>
      <c r="B76" s="195">
        <v>580490191</v>
      </c>
      <c r="C76" s="436" t="s">
        <v>1525</v>
      </c>
      <c r="D76" s="434">
        <f>100000+51898</f>
        <v>151898</v>
      </c>
      <c r="F76" s="434">
        <f>96719*2</f>
        <v>193438</v>
      </c>
      <c r="H76" s="434"/>
      <c r="J76" s="434"/>
      <c r="K76" s="434" t="s">
        <v>53</v>
      </c>
      <c r="L76" s="516" t="s">
        <v>53</v>
      </c>
    </row>
    <row r="77" spans="1:12" ht="25.5" customHeight="1" x14ac:dyDescent="0.2">
      <c r="A77" s="513"/>
      <c r="B77" s="195">
        <v>580471118</v>
      </c>
      <c r="C77" s="436" t="s">
        <v>2534</v>
      </c>
      <c r="D77" s="434">
        <v>116707</v>
      </c>
      <c r="F77" s="434">
        <v>168781</v>
      </c>
      <c r="H77" s="434">
        <v>195428</v>
      </c>
      <c r="J77" s="434">
        <v>159539</v>
      </c>
      <c r="K77" s="434" t="s">
        <v>1206</v>
      </c>
      <c r="L77" s="516" t="s">
        <v>9</v>
      </c>
    </row>
    <row r="78" spans="1:12" ht="25.5" customHeight="1" x14ac:dyDescent="0.2">
      <c r="A78" s="513"/>
      <c r="B78" s="195">
        <v>580012284</v>
      </c>
      <c r="C78" s="436" t="s">
        <v>1526</v>
      </c>
      <c r="D78" s="434">
        <v>35910</v>
      </c>
      <c r="F78" s="434">
        <v>50000</v>
      </c>
      <c r="H78" s="434"/>
      <c r="J78" s="434"/>
      <c r="K78" s="434" t="s">
        <v>1527</v>
      </c>
      <c r="L78" s="516" t="s">
        <v>9</v>
      </c>
    </row>
    <row r="79" spans="1:12" ht="25.5" customHeight="1" x14ac:dyDescent="0.2">
      <c r="A79" s="513"/>
      <c r="B79" s="195">
        <v>580049591</v>
      </c>
      <c r="C79" s="517" t="s">
        <v>2428</v>
      </c>
      <c r="D79" s="434">
        <v>35910</v>
      </c>
      <c r="F79" s="434">
        <v>51933</v>
      </c>
      <c r="H79" s="434"/>
      <c r="J79" s="434"/>
      <c r="K79" s="434" t="s">
        <v>53</v>
      </c>
      <c r="L79" s="516" t="s">
        <v>53</v>
      </c>
    </row>
    <row r="80" spans="1:12" ht="25.5" customHeight="1" x14ac:dyDescent="0.2">
      <c r="A80" s="513"/>
      <c r="B80" s="195">
        <v>580144624</v>
      </c>
      <c r="C80" s="517" t="s">
        <v>1528</v>
      </c>
      <c r="D80" s="434">
        <v>35910</v>
      </c>
      <c r="F80" s="434"/>
      <c r="H80" s="434">
        <v>45000</v>
      </c>
      <c r="J80" s="434"/>
      <c r="K80" s="434" t="s">
        <v>670</v>
      </c>
      <c r="L80" s="516" t="s">
        <v>12</v>
      </c>
    </row>
    <row r="81" spans="1:12" ht="25.5" customHeight="1" x14ac:dyDescent="0.2">
      <c r="A81" s="513"/>
      <c r="B81" s="195">
        <v>510833916</v>
      </c>
      <c r="C81" s="517" t="s">
        <v>1529</v>
      </c>
      <c r="D81" s="434">
        <f>34814+32656+23211</f>
        <v>90681</v>
      </c>
      <c r="F81" s="434">
        <f>33568+40000+35000</f>
        <v>108568</v>
      </c>
      <c r="H81" s="434">
        <v>93288</v>
      </c>
      <c r="J81" s="434">
        <v>149000</v>
      </c>
      <c r="K81" s="434" t="s">
        <v>33</v>
      </c>
      <c r="L81" s="516" t="s">
        <v>9</v>
      </c>
    </row>
    <row r="82" spans="1:12" ht="25.5" customHeight="1" x14ac:dyDescent="0.2">
      <c r="A82" s="513"/>
      <c r="B82" s="195">
        <v>580218774</v>
      </c>
      <c r="C82" s="517" t="s">
        <v>2458</v>
      </c>
      <c r="D82" s="434">
        <v>51898</v>
      </c>
      <c r="F82" s="434">
        <v>96719</v>
      </c>
      <c r="H82" s="434"/>
      <c r="J82" s="434"/>
      <c r="K82" s="434" t="s">
        <v>329</v>
      </c>
      <c r="L82" s="516" t="s">
        <v>136</v>
      </c>
    </row>
    <row r="83" spans="1:12" ht="25.5" customHeight="1" x14ac:dyDescent="0.2">
      <c r="A83" s="513"/>
      <c r="B83" s="195">
        <v>580327740</v>
      </c>
      <c r="C83" s="824" t="s">
        <v>2245</v>
      </c>
      <c r="D83" s="434">
        <v>44887</v>
      </c>
      <c r="F83" s="434">
        <v>64916</v>
      </c>
      <c r="H83" s="434"/>
      <c r="J83" s="434"/>
      <c r="K83" s="434" t="s">
        <v>73</v>
      </c>
      <c r="L83" s="516" t="s">
        <v>136</v>
      </c>
    </row>
    <row r="84" spans="1:12" ht="25.5" customHeight="1" x14ac:dyDescent="0.2">
      <c r="A84" s="513"/>
      <c r="B84" s="195">
        <v>580433456</v>
      </c>
      <c r="C84" s="517" t="s">
        <v>1531</v>
      </c>
      <c r="D84" s="434">
        <v>71820</v>
      </c>
      <c r="F84" s="434"/>
      <c r="H84" s="434"/>
      <c r="J84" s="434"/>
      <c r="K84" s="434" t="s">
        <v>1188</v>
      </c>
      <c r="L84" s="516" t="s">
        <v>53</v>
      </c>
    </row>
    <row r="85" spans="1:12" ht="25.5" customHeight="1" x14ac:dyDescent="0.2">
      <c r="A85" s="513"/>
      <c r="B85" s="195">
        <v>580314201</v>
      </c>
      <c r="C85" s="517" t="s">
        <v>1532</v>
      </c>
      <c r="D85" s="434">
        <v>77848</v>
      </c>
      <c r="F85" s="434">
        <v>110000</v>
      </c>
      <c r="H85" s="434"/>
      <c r="J85" s="434">
        <v>150000</v>
      </c>
      <c r="K85" s="434" t="s">
        <v>53</v>
      </c>
      <c r="L85" s="516" t="s">
        <v>53</v>
      </c>
    </row>
    <row r="86" spans="1:12" ht="25.5" customHeight="1" x14ac:dyDescent="0.2">
      <c r="A86" s="513"/>
      <c r="B86" s="195">
        <v>580363091</v>
      </c>
      <c r="C86" s="517" t="s">
        <v>1533</v>
      </c>
      <c r="D86" s="434">
        <f>119766+95000+32437*4</f>
        <v>344514</v>
      </c>
      <c r="F86" s="434">
        <f>223197+220000+80000+60449*2+45000</f>
        <v>689095</v>
      </c>
      <c r="H86" s="434"/>
      <c r="J86" s="434"/>
      <c r="K86" s="434" t="s">
        <v>53</v>
      </c>
      <c r="L86" s="516" t="s">
        <v>53</v>
      </c>
    </row>
    <row r="87" spans="1:12" ht="25.5" customHeight="1" x14ac:dyDescent="0.2">
      <c r="A87" s="513"/>
      <c r="B87" s="195">
        <v>580475721</v>
      </c>
      <c r="C87" s="517" t="s">
        <v>487</v>
      </c>
      <c r="D87" s="434">
        <v>35000</v>
      </c>
      <c r="F87" s="837">
        <v>50000</v>
      </c>
      <c r="H87" s="434"/>
      <c r="J87" s="434"/>
      <c r="K87" s="434" t="s">
        <v>2328</v>
      </c>
      <c r="L87" s="516" t="s">
        <v>32</v>
      </c>
    </row>
    <row r="88" spans="1:12" ht="25.5" customHeight="1" x14ac:dyDescent="0.2">
      <c r="A88" s="513"/>
      <c r="B88" s="195">
        <v>580295533</v>
      </c>
      <c r="C88" s="517" t="s">
        <v>1535</v>
      </c>
      <c r="D88" s="434">
        <v>20000</v>
      </c>
      <c r="F88" s="434">
        <v>28924</v>
      </c>
      <c r="H88" s="434">
        <v>57824</v>
      </c>
      <c r="J88" s="434">
        <v>81581</v>
      </c>
      <c r="K88" s="434" t="s">
        <v>33</v>
      </c>
      <c r="L88" s="516" t="s">
        <v>9</v>
      </c>
    </row>
    <row r="89" spans="1:12" ht="25.5" customHeight="1" x14ac:dyDescent="0.2">
      <c r="A89" s="513"/>
      <c r="B89" s="195">
        <v>580528552</v>
      </c>
      <c r="C89" s="517" t="s">
        <v>1753</v>
      </c>
      <c r="D89" s="434">
        <v>80000</v>
      </c>
      <c r="F89" s="434">
        <v>114000</v>
      </c>
      <c r="H89" s="434">
        <v>111804</v>
      </c>
      <c r="J89" s="434">
        <v>121733</v>
      </c>
      <c r="K89" s="434" t="s">
        <v>2244</v>
      </c>
      <c r="L89" s="516" t="s">
        <v>53</v>
      </c>
    </row>
    <row r="90" spans="1:12" ht="25.5" customHeight="1" x14ac:dyDescent="0.2">
      <c r="A90" s="513"/>
      <c r="B90" s="523">
        <v>580149151</v>
      </c>
      <c r="C90" s="522" t="s">
        <v>1813</v>
      </c>
      <c r="D90" s="434">
        <f>35910+25522</f>
        <v>61432</v>
      </c>
      <c r="F90" s="434"/>
      <c r="H90" s="434"/>
      <c r="J90" s="434"/>
      <c r="K90" s="434" t="s">
        <v>53</v>
      </c>
      <c r="L90" s="516" t="s">
        <v>53</v>
      </c>
    </row>
    <row r="91" spans="1:12" ht="25.5" customHeight="1" x14ac:dyDescent="0.2">
      <c r="A91" s="513"/>
      <c r="B91" s="523">
        <v>580102352</v>
      </c>
      <c r="C91" s="522" t="s">
        <v>2423</v>
      </c>
      <c r="D91" s="434">
        <v>574559</v>
      </c>
      <c r="F91" s="434">
        <v>1033292</v>
      </c>
      <c r="H91" s="434">
        <v>1109839</v>
      </c>
      <c r="J91" s="434">
        <v>968482</v>
      </c>
      <c r="K91" s="434" t="s">
        <v>280</v>
      </c>
      <c r="L91" s="434" t="s">
        <v>136</v>
      </c>
    </row>
    <row r="92" spans="1:12" ht="25.5" customHeight="1" x14ac:dyDescent="0.2">
      <c r="A92" s="513"/>
      <c r="B92" s="523">
        <v>580019545</v>
      </c>
      <c r="C92" s="522" t="s">
        <v>2429</v>
      </c>
      <c r="D92" s="434">
        <v>35910</v>
      </c>
      <c r="F92" s="434"/>
      <c r="H92" s="434">
        <v>70000</v>
      </c>
      <c r="J92" s="434">
        <v>100000</v>
      </c>
      <c r="K92" s="434" t="s">
        <v>53</v>
      </c>
      <c r="L92" s="516" t="s">
        <v>53</v>
      </c>
    </row>
    <row r="93" spans="1:12" ht="25.5" customHeight="1" x14ac:dyDescent="0.2">
      <c r="A93" s="513"/>
      <c r="B93" s="523">
        <v>580558807</v>
      </c>
      <c r="C93" s="522" t="s">
        <v>2430</v>
      </c>
      <c r="D93" s="434">
        <v>119766</v>
      </c>
      <c r="F93" s="434">
        <v>223197</v>
      </c>
      <c r="H93" s="434"/>
      <c r="J93" s="434"/>
      <c r="K93" s="434" t="s">
        <v>53</v>
      </c>
      <c r="L93" s="516" t="s">
        <v>53</v>
      </c>
    </row>
    <row r="94" spans="1:12" ht="25.5" customHeight="1" x14ac:dyDescent="0.2">
      <c r="A94" s="513"/>
      <c r="B94" s="523">
        <v>580040657</v>
      </c>
      <c r="C94" s="522" t="s">
        <v>2530</v>
      </c>
      <c r="D94" s="434">
        <v>25102</v>
      </c>
      <c r="F94" s="434"/>
      <c r="H94" s="434"/>
      <c r="J94" s="434"/>
      <c r="K94" s="434" t="s">
        <v>1964</v>
      </c>
      <c r="L94" s="516" t="s">
        <v>32</v>
      </c>
    </row>
    <row r="95" spans="1:12" ht="25.5" customHeight="1" x14ac:dyDescent="0.2">
      <c r="A95" s="513"/>
      <c r="B95" s="523">
        <v>580254456</v>
      </c>
      <c r="C95" s="522" t="s">
        <v>2531</v>
      </c>
      <c r="D95" s="434">
        <v>38924</v>
      </c>
      <c r="F95" s="434">
        <v>39000</v>
      </c>
      <c r="H95" s="434"/>
      <c r="J95" s="434"/>
      <c r="K95" s="434" t="s">
        <v>329</v>
      </c>
      <c r="L95" s="516" t="s">
        <v>136</v>
      </c>
    </row>
    <row r="96" spans="1:12" ht="25.5" customHeight="1" x14ac:dyDescent="0.2">
      <c r="A96" s="513"/>
      <c r="B96" s="523">
        <v>580022853</v>
      </c>
      <c r="C96" s="522" t="s">
        <v>2532</v>
      </c>
      <c r="D96" s="837">
        <v>38924</v>
      </c>
      <c r="F96" s="434"/>
      <c r="H96" s="434"/>
      <c r="J96" s="434"/>
      <c r="K96" s="434" t="s">
        <v>294</v>
      </c>
      <c r="L96" s="516" t="s">
        <v>9</v>
      </c>
    </row>
    <row r="97" spans="1:12" ht="25.5" customHeight="1" x14ac:dyDescent="0.2">
      <c r="A97" s="513"/>
      <c r="B97" s="523">
        <v>580033181</v>
      </c>
      <c r="C97" s="522" t="s">
        <v>2533</v>
      </c>
      <c r="D97" s="837">
        <v>29941</v>
      </c>
      <c r="F97" s="434"/>
      <c r="H97" s="434"/>
      <c r="J97" s="434"/>
      <c r="K97" s="434" t="s">
        <v>294</v>
      </c>
      <c r="L97" s="516" t="s">
        <v>9</v>
      </c>
    </row>
    <row r="98" spans="1:12" ht="25.5" customHeight="1" x14ac:dyDescent="0.2">
      <c r="A98" s="513"/>
      <c r="B98" s="523">
        <v>580538015</v>
      </c>
      <c r="C98" s="522" t="s">
        <v>2535</v>
      </c>
      <c r="D98" s="434">
        <v>123783</v>
      </c>
      <c r="F98" s="434">
        <v>179015</v>
      </c>
      <c r="H98" s="434">
        <v>191974</v>
      </c>
      <c r="J98" s="434">
        <v>181945</v>
      </c>
      <c r="K98" s="434" t="s">
        <v>1921</v>
      </c>
      <c r="L98" s="516" t="s">
        <v>386</v>
      </c>
    </row>
    <row r="99" spans="1:12" ht="25.5" customHeight="1" x14ac:dyDescent="0.2">
      <c r="A99" s="513"/>
      <c r="B99" s="523">
        <v>514262229</v>
      </c>
      <c r="C99" s="522" t="s">
        <v>2536</v>
      </c>
      <c r="D99" s="434">
        <v>38263</v>
      </c>
      <c r="F99" s="434">
        <v>55365</v>
      </c>
      <c r="H99" s="434"/>
      <c r="J99" s="434"/>
      <c r="K99" s="434" t="s">
        <v>2537</v>
      </c>
      <c r="L99" s="516" t="s">
        <v>9</v>
      </c>
    </row>
    <row r="100" spans="1:12" ht="25.5" customHeight="1" x14ac:dyDescent="0.2">
      <c r="A100" s="513"/>
      <c r="B100" s="523">
        <v>510542814</v>
      </c>
      <c r="C100" s="522" t="s">
        <v>3044</v>
      </c>
      <c r="D100" s="434"/>
      <c r="F100" s="434">
        <v>96719</v>
      </c>
      <c r="H100" s="434"/>
      <c r="J100" s="434"/>
      <c r="K100" s="434" t="s">
        <v>53</v>
      </c>
      <c r="L100" s="516" t="s">
        <v>53</v>
      </c>
    </row>
    <row r="101" spans="1:12" ht="25.5" customHeight="1" x14ac:dyDescent="0.2">
      <c r="A101" s="513"/>
      <c r="B101" s="523">
        <v>510871551</v>
      </c>
      <c r="C101" s="522" t="s">
        <v>3045</v>
      </c>
      <c r="D101" s="434"/>
      <c r="F101" s="434">
        <v>36155</v>
      </c>
      <c r="H101" s="434">
        <v>63952</v>
      </c>
      <c r="J101" s="434"/>
      <c r="K101" s="434" t="s">
        <v>1206</v>
      </c>
      <c r="L101" s="516" t="s">
        <v>9</v>
      </c>
    </row>
    <row r="102" spans="1:12" ht="25.5" customHeight="1" x14ac:dyDescent="0.2">
      <c r="A102" s="513"/>
      <c r="B102" s="523">
        <v>580018919</v>
      </c>
      <c r="C102" s="522" t="s">
        <v>3046</v>
      </c>
      <c r="D102" s="434"/>
      <c r="F102" s="434">
        <v>306895</v>
      </c>
      <c r="H102" s="434"/>
      <c r="J102" s="434"/>
      <c r="K102" s="434" t="s">
        <v>329</v>
      </c>
      <c r="L102" s="516" t="s">
        <v>136</v>
      </c>
    </row>
    <row r="103" spans="1:12" ht="25.5" customHeight="1" x14ac:dyDescent="0.2">
      <c r="A103" s="513"/>
      <c r="B103" s="523">
        <v>580316859</v>
      </c>
      <c r="C103" s="522" t="s">
        <v>3047</v>
      </c>
      <c r="D103" s="434"/>
      <c r="F103" s="434">
        <v>39000</v>
      </c>
      <c r="H103" s="434"/>
      <c r="J103" s="434"/>
      <c r="K103" s="434" t="s">
        <v>53</v>
      </c>
      <c r="L103" s="516" t="s">
        <v>53</v>
      </c>
    </row>
    <row r="104" spans="1:12" ht="25.5" customHeight="1" x14ac:dyDescent="0.2">
      <c r="A104" s="513"/>
      <c r="B104" s="523">
        <v>580551604</v>
      </c>
      <c r="C104" s="522" t="s">
        <v>3048</v>
      </c>
      <c r="D104" s="434"/>
      <c r="F104" s="434">
        <f>51933+36910</f>
        <v>88843</v>
      </c>
      <c r="H104" s="434">
        <v>103371</v>
      </c>
      <c r="J104" s="434">
        <v>144889</v>
      </c>
      <c r="K104" s="434" t="s">
        <v>652</v>
      </c>
      <c r="L104" s="516" t="s">
        <v>9</v>
      </c>
    </row>
    <row r="105" spans="1:12" ht="25.5" customHeight="1" x14ac:dyDescent="0.2">
      <c r="A105" s="513"/>
      <c r="B105" s="523">
        <v>580558021</v>
      </c>
      <c r="C105" s="522" t="s">
        <v>3049</v>
      </c>
      <c r="D105" s="434"/>
      <c r="F105" s="434">
        <v>36155</v>
      </c>
      <c r="H105" s="434">
        <v>97754</v>
      </c>
      <c r="J105" s="434">
        <v>107448</v>
      </c>
      <c r="K105" s="434" t="s">
        <v>1517</v>
      </c>
      <c r="L105" s="516" t="s">
        <v>12</v>
      </c>
    </row>
    <row r="106" spans="1:12" ht="25.5" customHeight="1" x14ac:dyDescent="0.2">
      <c r="A106" s="513"/>
      <c r="B106" s="523">
        <v>580591014</v>
      </c>
      <c r="C106" s="522" t="s">
        <v>3050</v>
      </c>
      <c r="D106" s="434"/>
      <c r="F106" s="434">
        <f>36155*2</f>
        <v>72310</v>
      </c>
      <c r="H106" s="434">
        <v>134911</v>
      </c>
      <c r="J106" s="434">
        <v>220116</v>
      </c>
      <c r="K106" s="434" t="s">
        <v>736</v>
      </c>
      <c r="L106" s="516" t="s">
        <v>9</v>
      </c>
    </row>
    <row r="107" spans="1:12" ht="26.25" customHeight="1" x14ac:dyDescent="0.2">
      <c r="A107" s="513"/>
      <c r="B107" s="523">
        <v>580595346</v>
      </c>
      <c r="C107" s="522" t="s">
        <v>3051</v>
      </c>
      <c r="D107" s="434"/>
      <c r="F107" s="434">
        <v>96719</v>
      </c>
      <c r="H107" s="434"/>
      <c r="J107" s="434">
        <v>261790</v>
      </c>
      <c r="K107" s="434" t="s">
        <v>2365</v>
      </c>
      <c r="L107" s="516" t="s">
        <v>12</v>
      </c>
    </row>
    <row r="108" spans="1:12" ht="26.25" customHeight="1" x14ac:dyDescent="0.2">
      <c r="A108" s="513"/>
      <c r="B108" s="523">
        <v>580617660</v>
      </c>
      <c r="C108" s="522" t="s">
        <v>2938</v>
      </c>
      <c r="D108" s="434"/>
      <c r="F108" s="434">
        <v>64916</v>
      </c>
      <c r="H108" s="434"/>
      <c r="J108" s="434"/>
      <c r="K108" s="434" t="s">
        <v>53</v>
      </c>
      <c r="L108" s="516" t="s">
        <v>53</v>
      </c>
    </row>
    <row r="109" spans="1:12" ht="26.25" customHeight="1" x14ac:dyDescent="0.2">
      <c r="A109" s="513"/>
      <c r="B109" s="523" t="s">
        <v>3180</v>
      </c>
      <c r="C109" s="522" t="s">
        <v>2084</v>
      </c>
      <c r="D109" s="434"/>
      <c r="F109" s="434"/>
      <c r="H109" s="434">
        <v>32390</v>
      </c>
      <c r="J109" s="434">
        <v>43877</v>
      </c>
      <c r="K109" s="434" t="s">
        <v>670</v>
      </c>
      <c r="L109" s="516" t="s">
        <v>12</v>
      </c>
    </row>
    <row r="110" spans="1:12" ht="26.25" customHeight="1" x14ac:dyDescent="0.2">
      <c r="A110" s="513"/>
      <c r="B110" s="523" t="s">
        <v>3129</v>
      </c>
      <c r="C110" s="522" t="s">
        <v>3130</v>
      </c>
      <c r="D110" s="434"/>
      <c r="F110" s="434"/>
      <c r="H110" s="434">
        <v>256670</v>
      </c>
      <c r="J110" s="434">
        <v>259097</v>
      </c>
      <c r="K110" s="434" t="s">
        <v>685</v>
      </c>
      <c r="L110" s="516" t="s">
        <v>32</v>
      </c>
    </row>
    <row r="111" spans="1:12" ht="26.25" customHeight="1" x14ac:dyDescent="0.2">
      <c r="A111" s="513"/>
      <c r="B111" s="523" t="s">
        <v>3181</v>
      </c>
      <c r="C111" s="522" t="s">
        <v>3182</v>
      </c>
      <c r="D111" s="434"/>
      <c r="F111" s="434"/>
      <c r="H111" s="434">
        <v>148734</v>
      </c>
      <c r="J111" s="434">
        <v>137064</v>
      </c>
      <c r="K111" s="434" t="s">
        <v>280</v>
      </c>
      <c r="L111" s="434" t="s">
        <v>386</v>
      </c>
    </row>
    <row r="112" spans="1:12" ht="26.25" customHeight="1" x14ac:dyDescent="0.2">
      <c r="A112" s="513"/>
      <c r="B112" s="523" t="s">
        <v>3183</v>
      </c>
      <c r="C112" s="522" t="s">
        <v>3184</v>
      </c>
      <c r="D112" s="434"/>
      <c r="F112" s="434"/>
      <c r="H112" s="434">
        <v>44965</v>
      </c>
      <c r="J112" s="434">
        <v>65857</v>
      </c>
      <c r="K112" s="434" t="s">
        <v>280</v>
      </c>
      <c r="L112" s="434" t="s">
        <v>136</v>
      </c>
    </row>
    <row r="113" spans="1:12" ht="26.25" customHeight="1" x14ac:dyDescent="0.2">
      <c r="A113" s="513"/>
      <c r="B113" s="523" t="s">
        <v>2956</v>
      </c>
      <c r="C113" s="522" t="s">
        <v>2957</v>
      </c>
      <c r="D113" s="434"/>
      <c r="F113" s="434"/>
      <c r="H113" s="434">
        <v>44870</v>
      </c>
      <c r="J113" s="434">
        <v>52899</v>
      </c>
      <c r="K113" s="434" t="s">
        <v>280</v>
      </c>
      <c r="L113" s="434" t="s">
        <v>136</v>
      </c>
    </row>
    <row r="114" spans="1:12" ht="26.25" customHeight="1" x14ac:dyDescent="0.2">
      <c r="A114" s="513"/>
      <c r="B114" s="523" t="s">
        <v>3186</v>
      </c>
      <c r="C114" s="522" t="s">
        <v>3187</v>
      </c>
      <c r="D114" s="434"/>
      <c r="F114" s="434"/>
      <c r="H114" s="434">
        <v>73973</v>
      </c>
      <c r="J114" s="434">
        <v>188427</v>
      </c>
      <c r="K114" s="434" t="s">
        <v>280</v>
      </c>
      <c r="L114" s="434" t="s">
        <v>136</v>
      </c>
    </row>
    <row r="115" spans="1:12" ht="26.25" customHeight="1" x14ac:dyDescent="0.2">
      <c r="A115" s="513"/>
      <c r="B115" s="523" t="s">
        <v>3188</v>
      </c>
      <c r="C115" s="522" t="s">
        <v>3189</v>
      </c>
      <c r="D115" s="434"/>
      <c r="F115" s="434"/>
      <c r="H115" s="434">
        <v>43152</v>
      </c>
      <c r="J115" s="434"/>
      <c r="K115" s="434" t="s">
        <v>1593</v>
      </c>
      <c r="L115" s="434" t="s">
        <v>12</v>
      </c>
    </row>
    <row r="116" spans="1:12" ht="26.25" customHeight="1" x14ac:dyDescent="0.2">
      <c r="A116" s="513"/>
      <c r="B116" s="855" t="s">
        <v>3393</v>
      </c>
      <c r="C116" s="522" t="s">
        <v>3394</v>
      </c>
      <c r="D116" s="434"/>
      <c r="F116" s="434"/>
      <c r="H116" s="434"/>
      <c r="J116" s="434">
        <v>58865</v>
      </c>
      <c r="K116" s="434" t="s">
        <v>329</v>
      </c>
      <c r="L116" s="434" t="s">
        <v>136</v>
      </c>
    </row>
    <row r="117" spans="1:12" ht="26.25" customHeight="1" x14ac:dyDescent="0.2">
      <c r="A117" s="513"/>
      <c r="B117" s="855" t="s">
        <v>3167</v>
      </c>
      <c r="C117" s="522" t="s">
        <v>3168</v>
      </c>
      <c r="D117" s="434"/>
      <c r="F117" s="434"/>
      <c r="H117" s="434"/>
      <c r="J117" s="434">
        <v>56865</v>
      </c>
      <c r="K117" s="434" t="s">
        <v>1060</v>
      </c>
      <c r="L117" s="434" t="s">
        <v>9</v>
      </c>
    </row>
    <row r="118" spans="1:12" ht="26.25" customHeight="1" x14ac:dyDescent="0.2">
      <c r="A118" s="513"/>
      <c r="B118" s="855" t="s">
        <v>3391</v>
      </c>
      <c r="C118" s="522" t="s">
        <v>3392</v>
      </c>
      <c r="D118" s="434"/>
      <c r="F118" s="434"/>
      <c r="H118" s="434"/>
      <c r="J118" s="434">
        <v>65975</v>
      </c>
      <c r="K118" s="434" t="s">
        <v>53</v>
      </c>
      <c r="L118" s="434" t="s">
        <v>53</v>
      </c>
    </row>
    <row r="119" spans="1:12" ht="26.25" customHeight="1" x14ac:dyDescent="0.2">
      <c r="A119" s="513"/>
      <c r="B119" s="855" t="s">
        <v>3395</v>
      </c>
      <c r="C119" s="522" t="s">
        <v>2463</v>
      </c>
      <c r="D119" s="434"/>
      <c r="F119" s="434"/>
      <c r="H119" s="434"/>
      <c r="J119" s="434">
        <v>25500</v>
      </c>
      <c r="K119" s="434" t="s">
        <v>53</v>
      </c>
      <c r="L119" s="434" t="s">
        <v>53</v>
      </c>
    </row>
    <row r="120" spans="1:12" ht="25.5" customHeight="1" x14ac:dyDescent="0.2">
      <c r="A120" s="513"/>
      <c r="B120" s="523">
        <v>580499143</v>
      </c>
      <c r="C120" s="522" t="s">
        <v>2432</v>
      </c>
      <c r="D120" s="434">
        <v>35000</v>
      </c>
      <c r="F120" s="434">
        <v>35000</v>
      </c>
      <c r="H120" s="434">
        <v>40000</v>
      </c>
      <c r="J120" s="434"/>
      <c r="K120" s="434" t="s">
        <v>2433</v>
      </c>
      <c r="L120" s="516" t="s">
        <v>9</v>
      </c>
    </row>
    <row r="121" spans="1:12" s="207" customFormat="1" ht="22.5" customHeight="1" x14ac:dyDescent="0.25">
      <c r="A121" s="518"/>
      <c r="B121" s="519" t="s">
        <v>475</v>
      </c>
      <c r="C121" s="406"/>
      <c r="D121" s="490">
        <f>SUM(D122:D190)</f>
        <v>5268290</v>
      </c>
      <c r="E121" s="201"/>
      <c r="F121" s="490">
        <f>SUM(F122:F190)</f>
        <v>5951354</v>
      </c>
      <c r="G121" s="201"/>
      <c r="H121" s="490">
        <f>SUM(H122:H190)</f>
        <v>6982218</v>
      </c>
      <c r="I121" s="201"/>
      <c r="J121" s="490">
        <f>SUM(J122:J190)</f>
        <v>5837366</v>
      </c>
      <c r="K121" s="490"/>
      <c r="L121" s="490"/>
    </row>
    <row r="122" spans="1:12" ht="25.5" x14ac:dyDescent="0.2">
      <c r="A122" s="513"/>
      <c r="B122" s="195">
        <v>500290002</v>
      </c>
      <c r="C122" s="241" t="s">
        <v>1536</v>
      </c>
      <c r="D122" s="434">
        <f>98359+62758+25522</f>
        <v>186639</v>
      </c>
      <c r="F122" s="434">
        <f>98359+70000+36910</f>
        <v>205269</v>
      </c>
      <c r="H122" s="434">
        <v>282803</v>
      </c>
      <c r="J122" s="434">
        <v>175000</v>
      </c>
      <c r="K122" s="434" t="s">
        <v>400</v>
      </c>
      <c r="L122" s="434" t="s">
        <v>32</v>
      </c>
    </row>
    <row r="123" spans="1:12" ht="20.25" customHeight="1" x14ac:dyDescent="0.2">
      <c r="A123" s="513"/>
      <c r="B123" s="195">
        <v>500204698</v>
      </c>
      <c r="C123" s="241" t="s">
        <v>2321</v>
      </c>
      <c r="D123" s="434">
        <f>25522+35910</f>
        <v>61432</v>
      </c>
      <c r="F123" s="434">
        <f>51933+36910</f>
        <v>88843</v>
      </c>
      <c r="H123" s="434">
        <v>70000</v>
      </c>
      <c r="J123" s="434">
        <v>124492</v>
      </c>
      <c r="K123" s="434" t="s">
        <v>2322</v>
      </c>
      <c r="L123" s="434" t="s">
        <v>32</v>
      </c>
    </row>
    <row r="124" spans="1:12" ht="26.25" customHeight="1" x14ac:dyDescent="0.2">
      <c r="A124" s="513"/>
      <c r="B124" s="195">
        <v>500267000</v>
      </c>
      <c r="C124" s="241" t="s">
        <v>1537</v>
      </c>
      <c r="D124" s="434">
        <f>53865+44887</f>
        <v>98752</v>
      </c>
      <c r="F124" s="434"/>
      <c r="H124" s="434">
        <v>122884</v>
      </c>
      <c r="J124" s="434"/>
      <c r="K124" s="434" t="s">
        <v>477</v>
      </c>
      <c r="L124" s="434" t="s">
        <v>9</v>
      </c>
    </row>
    <row r="125" spans="1:12" ht="30" customHeight="1" x14ac:dyDescent="0.2">
      <c r="A125" s="513"/>
      <c r="B125" s="195">
        <v>500250006</v>
      </c>
      <c r="C125" s="514" t="s">
        <v>1538</v>
      </c>
      <c r="D125" s="434">
        <f>53865+89775+35910*2</f>
        <v>215460</v>
      </c>
      <c r="F125" s="434">
        <f>77899+51933*2+120000</f>
        <v>301765</v>
      </c>
      <c r="H125" s="434">
        <v>315000</v>
      </c>
      <c r="J125" s="434">
        <v>298467</v>
      </c>
      <c r="K125" s="434" t="s">
        <v>280</v>
      </c>
      <c r="L125" s="434" t="s">
        <v>136</v>
      </c>
    </row>
    <row r="126" spans="1:12" ht="30.75" customHeight="1" x14ac:dyDescent="0.2">
      <c r="A126" s="513"/>
      <c r="B126" s="195">
        <v>500235700</v>
      </c>
      <c r="C126" s="514" t="s">
        <v>1539</v>
      </c>
      <c r="D126" s="434">
        <f>25522*4</f>
        <v>102088</v>
      </c>
      <c r="F126" s="837">
        <f>36910*2+65000</f>
        <v>138820</v>
      </c>
      <c r="H126" s="434">
        <v>263803</v>
      </c>
      <c r="J126" s="434">
        <v>324172</v>
      </c>
      <c r="K126" s="434" t="s">
        <v>1540</v>
      </c>
      <c r="L126" s="434" t="s">
        <v>282</v>
      </c>
    </row>
    <row r="127" spans="1:12" ht="38.25" x14ac:dyDescent="0.2">
      <c r="A127" s="513"/>
      <c r="B127" s="195">
        <v>500237805</v>
      </c>
      <c r="C127" s="514" t="s">
        <v>1541</v>
      </c>
      <c r="D127" s="434">
        <f>38924+164678</f>
        <v>203602</v>
      </c>
      <c r="F127" s="434">
        <f>39000+165000</f>
        <v>204000</v>
      </c>
      <c r="H127" s="434"/>
      <c r="J127" s="434"/>
      <c r="K127" s="434" t="s">
        <v>1534</v>
      </c>
      <c r="L127" s="434" t="s">
        <v>12</v>
      </c>
    </row>
    <row r="128" spans="1:12" ht="24" customHeight="1" x14ac:dyDescent="0.2">
      <c r="A128" s="513"/>
      <c r="B128" s="195">
        <v>500223094</v>
      </c>
      <c r="C128" s="514" t="s">
        <v>1542</v>
      </c>
      <c r="D128" s="434">
        <f>35910+26160</f>
        <v>62070</v>
      </c>
      <c r="F128" s="434">
        <v>40000</v>
      </c>
      <c r="H128" s="434"/>
      <c r="J128" s="434"/>
      <c r="K128" s="434" t="s">
        <v>1543</v>
      </c>
      <c r="L128" s="434" t="s">
        <v>9</v>
      </c>
    </row>
    <row r="129" spans="1:12" ht="25.5" x14ac:dyDescent="0.2">
      <c r="A129" s="513"/>
      <c r="B129" s="195">
        <v>500222062</v>
      </c>
      <c r="C129" s="514" t="s">
        <v>1544</v>
      </c>
      <c r="D129" s="434">
        <f>35000+35910+44887</f>
        <v>115797</v>
      </c>
      <c r="F129" s="434">
        <f>140000</f>
        <v>140000</v>
      </c>
      <c r="H129" s="434">
        <v>140000</v>
      </c>
      <c r="J129" s="434">
        <v>90000</v>
      </c>
      <c r="K129" s="434" t="s">
        <v>1476</v>
      </c>
      <c r="L129" s="434" t="s">
        <v>9</v>
      </c>
    </row>
    <row r="130" spans="1:12" ht="25.5" customHeight="1" x14ac:dyDescent="0.2">
      <c r="A130" s="513"/>
      <c r="B130" s="195">
        <v>500221015</v>
      </c>
      <c r="C130" s="514" t="s">
        <v>1545</v>
      </c>
      <c r="D130" s="434">
        <f>50000+30000*2</f>
        <v>110000</v>
      </c>
      <c r="F130" s="434">
        <f>43386+30000+72310</f>
        <v>145696</v>
      </c>
      <c r="H130" s="434">
        <v>150000</v>
      </c>
      <c r="J130" s="434">
        <v>166899</v>
      </c>
      <c r="K130" s="434" t="s">
        <v>948</v>
      </c>
      <c r="L130" s="434" t="s">
        <v>9</v>
      </c>
    </row>
    <row r="131" spans="1:12" ht="25.5" x14ac:dyDescent="0.2">
      <c r="A131" s="513"/>
      <c r="B131" s="195">
        <v>500262381</v>
      </c>
      <c r="C131" s="514" t="s">
        <v>1546</v>
      </c>
      <c r="D131" s="434">
        <f>50000+45000</f>
        <v>95000</v>
      </c>
      <c r="F131" s="434">
        <f>60000+53700</f>
        <v>113700</v>
      </c>
      <c r="H131" s="434">
        <v>135000</v>
      </c>
      <c r="J131" s="837">
        <v>91680</v>
      </c>
      <c r="K131" s="434" t="s">
        <v>1547</v>
      </c>
      <c r="L131" s="434" t="s">
        <v>32</v>
      </c>
    </row>
    <row r="132" spans="1:12" ht="18.75" customHeight="1" x14ac:dyDescent="0.2">
      <c r="A132" s="513"/>
      <c r="B132" s="195">
        <v>500210265</v>
      </c>
      <c r="C132" s="514" t="s">
        <v>1548</v>
      </c>
      <c r="D132" s="434">
        <v>107730</v>
      </c>
      <c r="F132" s="434"/>
      <c r="H132" s="434"/>
      <c r="J132" s="434"/>
      <c r="K132" s="434" t="s">
        <v>1549</v>
      </c>
      <c r="L132" s="434" t="s">
        <v>12</v>
      </c>
    </row>
    <row r="133" spans="1:12" ht="25.5" customHeight="1" x14ac:dyDescent="0.2">
      <c r="A133" s="513"/>
      <c r="B133" s="195">
        <v>500226105</v>
      </c>
      <c r="C133" s="514" t="s">
        <v>1550</v>
      </c>
      <c r="D133" s="434">
        <v>44887</v>
      </c>
      <c r="F133" s="434">
        <v>64916</v>
      </c>
      <c r="H133" s="434">
        <v>84326</v>
      </c>
      <c r="J133" s="434">
        <v>83631</v>
      </c>
      <c r="K133" s="434" t="s">
        <v>1551</v>
      </c>
      <c r="L133" s="434" t="s">
        <v>12</v>
      </c>
    </row>
    <row r="134" spans="1:12" ht="26.25" customHeight="1" x14ac:dyDescent="0.2">
      <c r="A134" s="513"/>
      <c r="B134" s="195">
        <v>500237979</v>
      </c>
      <c r="C134" s="514" t="s">
        <v>1552</v>
      </c>
      <c r="D134" s="434">
        <f>29941+38924</f>
        <v>68865</v>
      </c>
      <c r="F134" s="434"/>
      <c r="H134" s="434"/>
      <c r="J134" s="434"/>
      <c r="K134" s="434" t="s">
        <v>1530</v>
      </c>
      <c r="L134" s="434" t="s">
        <v>12</v>
      </c>
    </row>
    <row r="135" spans="1:12" ht="25.5" x14ac:dyDescent="0.2">
      <c r="A135" s="513"/>
      <c r="B135" s="195">
        <v>500223078</v>
      </c>
      <c r="C135" s="514" t="s">
        <v>1553</v>
      </c>
      <c r="D135" s="434">
        <f>71820+44887</f>
        <v>116707</v>
      </c>
      <c r="F135" s="434"/>
      <c r="H135" s="434">
        <v>67821</v>
      </c>
      <c r="J135" s="434">
        <v>91662</v>
      </c>
      <c r="K135" s="434" t="s">
        <v>1554</v>
      </c>
      <c r="L135" s="434" t="s">
        <v>9</v>
      </c>
    </row>
    <row r="136" spans="1:12" ht="27" customHeight="1" x14ac:dyDescent="0.2">
      <c r="A136" s="513"/>
      <c r="B136" s="195">
        <v>500296009</v>
      </c>
      <c r="C136" s="514" t="s">
        <v>1555</v>
      </c>
      <c r="D136" s="434">
        <f>42000+35000+42000</f>
        <v>119000</v>
      </c>
      <c r="F136" s="434">
        <f>45000+50000</f>
        <v>95000</v>
      </c>
      <c r="H136" s="434">
        <v>137000</v>
      </c>
      <c r="J136" s="837">
        <v>137000</v>
      </c>
      <c r="K136" s="434" t="s">
        <v>1556</v>
      </c>
      <c r="L136" s="434" t="s">
        <v>9</v>
      </c>
    </row>
    <row r="137" spans="1:12" ht="26.25" customHeight="1" x14ac:dyDescent="0.2">
      <c r="A137" s="513"/>
      <c r="B137" s="195">
        <v>500228002</v>
      </c>
      <c r="C137" s="514" t="s">
        <v>1557</v>
      </c>
      <c r="D137" s="434">
        <v>50000</v>
      </c>
      <c r="F137" s="434">
        <v>50000</v>
      </c>
      <c r="H137" s="837">
        <v>100000</v>
      </c>
      <c r="J137" s="837"/>
      <c r="K137" s="434" t="s">
        <v>437</v>
      </c>
      <c r="L137" s="434" t="s">
        <v>9</v>
      </c>
    </row>
    <row r="138" spans="1:12" ht="20.25" customHeight="1" x14ac:dyDescent="0.2">
      <c r="A138" s="513"/>
      <c r="B138" s="195">
        <v>500273727</v>
      </c>
      <c r="C138" s="514" t="s">
        <v>1558</v>
      </c>
      <c r="D138" s="434">
        <f>62842*2+53865</f>
        <v>179549</v>
      </c>
      <c r="F138" s="434">
        <f>70000+67000</f>
        <v>137000</v>
      </c>
      <c r="H138" s="434">
        <v>174737</v>
      </c>
      <c r="J138" s="434">
        <v>163944</v>
      </c>
      <c r="K138" s="434" t="s">
        <v>1510</v>
      </c>
      <c r="L138" s="434" t="s">
        <v>282</v>
      </c>
    </row>
    <row r="139" spans="1:12" ht="33.75" customHeight="1" x14ac:dyDescent="0.2">
      <c r="A139" s="513"/>
      <c r="B139" s="195">
        <v>500223136</v>
      </c>
      <c r="C139" s="514" t="s">
        <v>1559</v>
      </c>
      <c r="D139" s="434">
        <f>30000*3+40000</f>
        <v>130000</v>
      </c>
      <c r="F139" s="434">
        <f>43386+90000+33000</f>
        <v>166386</v>
      </c>
      <c r="H139" s="434">
        <v>168217</v>
      </c>
      <c r="J139" s="434">
        <v>177496</v>
      </c>
      <c r="K139" s="434" t="s">
        <v>703</v>
      </c>
      <c r="L139" s="434" t="s">
        <v>9</v>
      </c>
    </row>
    <row r="140" spans="1:12" ht="25.5" customHeight="1" x14ac:dyDescent="0.2">
      <c r="A140" s="513"/>
      <c r="B140" s="195">
        <v>500275755</v>
      </c>
      <c r="C140" s="514" t="s">
        <v>1560</v>
      </c>
      <c r="D140" s="434">
        <f>35910+25522</f>
        <v>61432</v>
      </c>
      <c r="F140" s="434">
        <v>47000</v>
      </c>
      <c r="H140" s="434">
        <v>50000</v>
      </c>
      <c r="J140" s="434">
        <v>50000</v>
      </c>
      <c r="K140" s="434" t="s">
        <v>2912</v>
      </c>
      <c r="L140" s="434" t="s">
        <v>9</v>
      </c>
    </row>
    <row r="141" spans="1:12" ht="25.5" customHeight="1" x14ac:dyDescent="0.2">
      <c r="A141" s="513"/>
      <c r="B141" s="195">
        <v>500291000</v>
      </c>
      <c r="C141" s="514" t="s">
        <v>1561</v>
      </c>
      <c r="D141" s="434">
        <v>35910</v>
      </c>
      <c r="F141" s="434">
        <v>51933</v>
      </c>
      <c r="H141" s="434">
        <v>107465</v>
      </c>
      <c r="J141" s="434"/>
      <c r="K141" s="434" t="s">
        <v>1196</v>
      </c>
      <c r="L141" s="434" t="s">
        <v>9</v>
      </c>
    </row>
    <row r="142" spans="1:12" ht="25.5" customHeight="1" x14ac:dyDescent="0.2">
      <c r="A142" s="513"/>
      <c r="B142" s="195">
        <v>500225602</v>
      </c>
      <c r="C142" s="514" t="s">
        <v>1562</v>
      </c>
      <c r="D142" s="434">
        <f>53865+35910+62842</f>
        <v>152617</v>
      </c>
      <c r="F142" s="434"/>
      <c r="H142" s="434"/>
      <c r="J142" s="434"/>
      <c r="K142" s="434" t="s">
        <v>685</v>
      </c>
      <c r="L142" s="434" t="s">
        <v>32</v>
      </c>
    </row>
    <row r="143" spans="1:12" ht="40.5" customHeight="1" x14ac:dyDescent="0.2">
      <c r="A143" s="513"/>
      <c r="B143" s="195">
        <v>500223086</v>
      </c>
      <c r="C143" s="514" t="s">
        <v>1563</v>
      </c>
      <c r="D143" s="434">
        <f>30000+25000</f>
        <v>55000</v>
      </c>
      <c r="F143" s="434">
        <f>25000+30000</f>
        <v>55000</v>
      </c>
      <c r="H143" s="434">
        <v>103772</v>
      </c>
      <c r="J143" s="434">
        <v>75000</v>
      </c>
      <c r="K143" s="434" t="s">
        <v>1487</v>
      </c>
      <c r="L143" s="216" t="s">
        <v>9</v>
      </c>
    </row>
    <row r="144" spans="1:12" ht="25.5" customHeight="1" x14ac:dyDescent="0.2">
      <c r="A144" s="513"/>
      <c r="B144" s="195">
        <v>500231121</v>
      </c>
      <c r="C144" s="514" t="s">
        <v>1564</v>
      </c>
      <c r="D144" s="434">
        <f>35910*2</f>
        <v>71820</v>
      </c>
      <c r="F144" s="434">
        <f>51933*2+36155</f>
        <v>140021</v>
      </c>
      <c r="H144" s="434">
        <v>254714</v>
      </c>
      <c r="J144" s="434">
        <v>245255</v>
      </c>
      <c r="K144" s="434" t="s">
        <v>1565</v>
      </c>
      <c r="L144" s="434" t="s">
        <v>9</v>
      </c>
    </row>
    <row r="145" spans="1:12" ht="25.5" customHeight="1" x14ac:dyDescent="0.2">
      <c r="A145" s="513"/>
      <c r="B145" s="195">
        <v>500265004</v>
      </c>
      <c r="C145" s="514" t="s">
        <v>1566</v>
      </c>
      <c r="D145" s="434">
        <v>71820</v>
      </c>
      <c r="F145" s="434">
        <v>103866</v>
      </c>
      <c r="H145" s="434">
        <v>236393</v>
      </c>
      <c r="J145" s="434">
        <v>82583</v>
      </c>
      <c r="K145" s="434" t="s">
        <v>896</v>
      </c>
      <c r="L145" s="434" t="s">
        <v>12</v>
      </c>
    </row>
    <row r="146" spans="1:12" ht="40.5" customHeight="1" x14ac:dyDescent="0.2">
      <c r="A146" s="513"/>
      <c r="B146" s="195">
        <v>500210349</v>
      </c>
      <c r="C146" s="520" t="s">
        <v>1567</v>
      </c>
      <c r="D146" s="434">
        <f>48492+44887+53865+35910*2</f>
        <v>219064</v>
      </c>
      <c r="F146" s="434">
        <f>51933+70129+77899+64916+51933</f>
        <v>316810</v>
      </c>
      <c r="H146" s="434">
        <v>306385</v>
      </c>
      <c r="J146" s="837">
        <v>221930</v>
      </c>
      <c r="K146" s="434" t="s">
        <v>1568</v>
      </c>
      <c r="L146" s="516" t="s">
        <v>32</v>
      </c>
    </row>
    <row r="147" spans="1:12" ht="25.5" customHeight="1" x14ac:dyDescent="0.2">
      <c r="A147" s="513"/>
      <c r="B147" s="195">
        <v>500210638</v>
      </c>
      <c r="C147" s="520" t="s">
        <v>1569</v>
      </c>
      <c r="D147" s="434">
        <f>89775+65000+71820</f>
        <v>226595</v>
      </c>
      <c r="F147" s="434">
        <v>129832</v>
      </c>
      <c r="H147" s="434">
        <v>226211</v>
      </c>
      <c r="J147" s="434">
        <v>239883</v>
      </c>
      <c r="K147" s="434" t="s">
        <v>131</v>
      </c>
      <c r="L147" s="516" t="s">
        <v>9</v>
      </c>
    </row>
    <row r="148" spans="1:12" ht="25.5" customHeight="1" x14ac:dyDescent="0.2">
      <c r="A148" s="513"/>
      <c r="B148" s="195">
        <v>500220348</v>
      </c>
      <c r="C148" s="520" t="s">
        <v>1570</v>
      </c>
      <c r="D148" s="434">
        <f>80797+35910+53865</f>
        <v>170572</v>
      </c>
      <c r="F148" s="434">
        <f>77899+51933+116849</f>
        <v>246681</v>
      </c>
      <c r="H148" s="434">
        <v>345866</v>
      </c>
      <c r="J148" s="434">
        <v>272907</v>
      </c>
      <c r="K148" s="434" t="s">
        <v>1571</v>
      </c>
      <c r="L148" s="516" t="s">
        <v>9</v>
      </c>
    </row>
    <row r="149" spans="1:12" ht="25.5" customHeight="1" x14ac:dyDescent="0.2">
      <c r="A149" s="513"/>
      <c r="B149" s="195">
        <v>500221023</v>
      </c>
      <c r="C149" s="520" t="s">
        <v>1572</v>
      </c>
      <c r="D149" s="434">
        <f>71820+38283+35910+25522</f>
        <v>171535</v>
      </c>
      <c r="F149" s="434">
        <f>50000+40000+80000+36910</f>
        <v>206910</v>
      </c>
      <c r="H149" s="837">
        <v>214816</v>
      </c>
      <c r="J149" s="837">
        <v>109000</v>
      </c>
      <c r="K149" s="434" t="s">
        <v>1573</v>
      </c>
      <c r="L149" s="516" t="s">
        <v>9</v>
      </c>
    </row>
    <row r="150" spans="1:12" ht="25.5" customHeight="1" x14ac:dyDescent="0.2">
      <c r="A150" s="513"/>
      <c r="B150" s="195">
        <v>500226402</v>
      </c>
      <c r="C150" s="520" t="s">
        <v>1574</v>
      </c>
      <c r="D150" s="434">
        <v>40000</v>
      </c>
      <c r="F150" s="434">
        <v>50000</v>
      </c>
      <c r="H150" s="434"/>
      <c r="J150" s="434"/>
      <c r="K150" s="434" t="s">
        <v>93</v>
      </c>
      <c r="L150" s="516" t="s">
        <v>12</v>
      </c>
    </row>
    <row r="151" spans="1:12" ht="25.5" customHeight="1" x14ac:dyDescent="0.2">
      <c r="A151" s="513"/>
      <c r="B151" s="521">
        <v>500232459</v>
      </c>
      <c r="C151" s="522" t="s">
        <v>1575</v>
      </c>
      <c r="D151" s="434">
        <v>35910</v>
      </c>
      <c r="F151" s="434"/>
      <c r="H151" s="434"/>
      <c r="J151" s="434"/>
      <c r="K151" s="434" t="s">
        <v>1576</v>
      </c>
      <c r="L151" s="516" t="s">
        <v>9</v>
      </c>
    </row>
    <row r="152" spans="1:12" ht="25.5" customHeight="1" x14ac:dyDescent="0.2">
      <c r="A152" s="513"/>
      <c r="B152" s="523">
        <v>500235601</v>
      </c>
      <c r="C152" s="522" t="s">
        <v>1577</v>
      </c>
      <c r="D152" s="434">
        <v>35910</v>
      </c>
      <c r="F152" s="434">
        <v>45000</v>
      </c>
      <c r="H152" s="434">
        <v>112711</v>
      </c>
      <c r="J152" s="434"/>
      <c r="K152" s="434" t="s">
        <v>1578</v>
      </c>
      <c r="L152" s="516" t="s">
        <v>282</v>
      </c>
    </row>
    <row r="153" spans="1:12" ht="25.5" customHeight="1" x14ac:dyDescent="0.2">
      <c r="A153" s="513"/>
      <c r="B153" s="521">
        <v>500236500</v>
      </c>
      <c r="C153" s="522" t="s">
        <v>1579</v>
      </c>
      <c r="D153" s="434">
        <f>35910*2+25522</f>
        <v>97342</v>
      </c>
      <c r="F153" s="434">
        <f>36910+51933*2</f>
        <v>140776</v>
      </c>
      <c r="H153" s="434">
        <v>155534</v>
      </c>
      <c r="J153" s="434">
        <v>173177</v>
      </c>
      <c r="K153" s="434" t="s">
        <v>1580</v>
      </c>
      <c r="L153" s="516" t="s">
        <v>282</v>
      </c>
    </row>
    <row r="154" spans="1:12" ht="25.5" customHeight="1" x14ac:dyDescent="0.2">
      <c r="A154" s="513"/>
      <c r="B154" s="195">
        <v>500244314</v>
      </c>
      <c r="C154" s="520" t="s">
        <v>1582</v>
      </c>
      <c r="D154" s="434">
        <f>25522+25000</f>
        <v>50522</v>
      </c>
      <c r="F154" s="434">
        <f>20400+19450</f>
        <v>39850</v>
      </c>
      <c r="H154" s="434"/>
      <c r="J154" s="434"/>
      <c r="K154" s="434" t="s">
        <v>1583</v>
      </c>
      <c r="L154" s="516" t="s">
        <v>32</v>
      </c>
    </row>
    <row r="155" spans="1:12" ht="25.5" customHeight="1" x14ac:dyDescent="0.2">
      <c r="A155" s="513"/>
      <c r="B155" s="195">
        <v>500261367</v>
      </c>
      <c r="C155" s="520" t="s">
        <v>1584</v>
      </c>
      <c r="D155" s="434">
        <f>44887+35910</f>
        <v>80797</v>
      </c>
      <c r="F155" s="434">
        <f>64916+51933</f>
        <v>116849</v>
      </c>
      <c r="H155" s="434">
        <v>174041</v>
      </c>
      <c r="J155" s="434">
        <v>87260</v>
      </c>
      <c r="K155" s="434" t="s">
        <v>1585</v>
      </c>
      <c r="L155" s="516" t="s">
        <v>32</v>
      </c>
    </row>
    <row r="156" spans="1:12" ht="25.5" customHeight="1" x14ac:dyDescent="0.2">
      <c r="A156" s="513"/>
      <c r="B156" s="195">
        <v>500295001</v>
      </c>
      <c r="C156" s="520" t="s">
        <v>1586</v>
      </c>
      <c r="D156" s="434">
        <f>31903+25522</f>
        <v>57425</v>
      </c>
      <c r="F156" s="434"/>
      <c r="H156" s="434"/>
      <c r="J156" s="434"/>
      <c r="K156" s="434" t="s">
        <v>705</v>
      </c>
      <c r="L156" s="516" t="s">
        <v>9</v>
      </c>
    </row>
    <row r="157" spans="1:12" ht="25.5" customHeight="1" x14ac:dyDescent="0.2">
      <c r="A157" s="513"/>
      <c r="B157" s="195">
        <v>500211396</v>
      </c>
      <c r="C157" s="520" t="s">
        <v>1587</v>
      </c>
      <c r="D157" s="434">
        <v>44887</v>
      </c>
      <c r="F157" s="434">
        <v>60000</v>
      </c>
      <c r="H157" s="434">
        <v>60000</v>
      </c>
      <c r="J157" s="434">
        <v>60000</v>
      </c>
      <c r="K157" s="434" t="s">
        <v>652</v>
      </c>
      <c r="L157" s="516" t="s">
        <v>9</v>
      </c>
    </row>
    <row r="158" spans="1:12" ht="25.5" customHeight="1" x14ac:dyDescent="0.2">
      <c r="A158" s="513"/>
      <c r="B158" s="195">
        <v>500226303</v>
      </c>
      <c r="C158" s="520" t="s">
        <v>1588</v>
      </c>
      <c r="D158" s="434">
        <f>35910*2+38283*2</f>
        <v>148386</v>
      </c>
      <c r="F158" s="434">
        <f>40000+55365+40000+40000</f>
        <v>175365</v>
      </c>
      <c r="H158" s="434">
        <v>205000</v>
      </c>
      <c r="J158" s="434">
        <v>209339</v>
      </c>
      <c r="K158" s="434" t="s">
        <v>1589</v>
      </c>
      <c r="L158" s="516" t="s">
        <v>32</v>
      </c>
    </row>
    <row r="159" spans="1:12" ht="25.5" customHeight="1" x14ac:dyDescent="0.2">
      <c r="A159" s="513"/>
      <c r="B159" s="195">
        <v>500241005</v>
      </c>
      <c r="C159" s="520" t="s">
        <v>1590</v>
      </c>
      <c r="D159" s="434">
        <f>35910*3</f>
        <v>107730</v>
      </c>
      <c r="F159" s="434">
        <f>95000+51933</f>
        <v>146933</v>
      </c>
      <c r="H159" s="434">
        <v>188000</v>
      </c>
      <c r="J159" s="434">
        <v>216762</v>
      </c>
      <c r="K159" s="434" t="s">
        <v>924</v>
      </c>
      <c r="L159" s="516" t="s">
        <v>9</v>
      </c>
    </row>
    <row r="160" spans="1:12" ht="25.5" x14ac:dyDescent="0.2">
      <c r="A160" s="513"/>
      <c r="B160" s="195">
        <v>500200431</v>
      </c>
      <c r="C160" s="514" t="s">
        <v>1591</v>
      </c>
      <c r="D160" s="434">
        <v>51045</v>
      </c>
      <c r="F160" s="434">
        <v>55000</v>
      </c>
      <c r="H160" s="434">
        <v>60000</v>
      </c>
      <c r="J160" s="434">
        <v>102857</v>
      </c>
      <c r="K160" s="434" t="s">
        <v>654</v>
      </c>
      <c r="L160" s="434" t="s">
        <v>9</v>
      </c>
    </row>
    <row r="161" spans="1:12" ht="25.5" x14ac:dyDescent="0.2">
      <c r="A161" s="513"/>
      <c r="B161" s="195">
        <v>500222039</v>
      </c>
      <c r="C161" s="514" t="s">
        <v>2426</v>
      </c>
      <c r="D161" s="434">
        <v>35910</v>
      </c>
      <c r="F161" s="434"/>
      <c r="H161" s="434"/>
      <c r="J161" s="434"/>
      <c r="K161" s="512" t="s">
        <v>2331</v>
      </c>
      <c r="L161" s="434" t="s">
        <v>9</v>
      </c>
    </row>
    <row r="162" spans="1:12" ht="20.25" customHeight="1" x14ac:dyDescent="0.2">
      <c r="A162" s="513"/>
      <c r="B162" s="195">
        <v>500262530</v>
      </c>
      <c r="C162" s="514" t="s">
        <v>1594</v>
      </c>
      <c r="D162" s="434">
        <v>43092</v>
      </c>
      <c r="F162" s="434">
        <f>62319+66029+36155</f>
        <v>164503</v>
      </c>
      <c r="H162" s="434">
        <v>164178</v>
      </c>
      <c r="J162" s="434">
        <v>209261</v>
      </c>
      <c r="K162" s="434" t="s">
        <v>2329</v>
      </c>
      <c r="L162" s="434" t="s">
        <v>32</v>
      </c>
    </row>
    <row r="163" spans="1:12" ht="25.5" customHeight="1" x14ac:dyDescent="0.2">
      <c r="A163" s="513"/>
      <c r="B163" s="195">
        <v>500262548</v>
      </c>
      <c r="C163" s="514" t="s">
        <v>1595</v>
      </c>
      <c r="D163" s="434">
        <v>35910</v>
      </c>
      <c r="F163" s="434">
        <v>50000</v>
      </c>
      <c r="H163" s="434">
        <v>78031</v>
      </c>
      <c r="J163" s="434">
        <v>107917</v>
      </c>
      <c r="K163" s="512" t="s">
        <v>2330</v>
      </c>
      <c r="L163" s="434" t="s">
        <v>32</v>
      </c>
    </row>
    <row r="164" spans="1:12" ht="20.25" customHeight="1" x14ac:dyDescent="0.2">
      <c r="A164" s="513"/>
      <c r="B164" s="195">
        <v>500268008</v>
      </c>
      <c r="C164" s="514" t="s">
        <v>1596</v>
      </c>
      <c r="D164" s="434">
        <f>35910*2+53865+44887</f>
        <v>170572</v>
      </c>
      <c r="F164" s="434">
        <f>77866+64916+103866</f>
        <v>246648</v>
      </c>
      <c r="H164" s="434">
        <v>303290</v>
      </c>
      <c r="J164" s="434">
        <v>267267</v>
      </c>
      <c r="K164" s="434" t="s">
        <v>1597</v>
      </c>
      <c r="L164" s="434" t="s">
        <v>9</v>
      </c>
    </row>
    <row r="165" spans="1:12" ht="20.25" customHeight="1" x14ac:dyDescent="0.2">
      <c r="A165" s="513"/>
      <c r="B165" s="195">
        <v>500271002</v>
      </c>
      <c r="C165" s="514" t="s">
        <v>1598</v>
      </c>
      <c r="D165" s="434">
        <f>25522*2</f>
        <v>51044</v>
      </c>
      <c r="F165" s="434">
        <f>36910*2</f>
        <v>73820</v>
      </c>
      <c r="H165" s="434">
        <v>167192</v>
      </c>
      <c r="J165" s="434">
        <v>162484</v>
      </c>
      <c r="K165" s="434" t="s">
        <v>732</v>
      </c>
      <c r="L165" s="434" t="s">
        <v>32</v>
      </c>
    </row>
    <row r="166" spans="1:12" ht="20.25" customHeight="1" x14ac:dyDescent="0.2">
      <c r="A166" s="513"/>
      <c r="B166" s="195">
        <v>500282009</v>
      </c>
      <c r="C166" s="514" t="s">
        <v>1599</v>
      </c>
      <c r="D166" s="434">
        <f>35910*2</f>
        <v>71820</v>
      </c>
      <c r="F166" s="434">
        <v>51933</v>
      </c>
      <c r="H166" s="434"/>
      <c r="J166" s="434"/>
      <c r="K166" s="434" t="s">
        <v>1600</v>
      </c>
      <c r="L166" s="434" t="s">
        <v>9</v>
      </c>
    </row>
    <row r="167" spans="1:12" ht="20.25" customHeight="1" x14ac:dyDescent="0.2">
      <c r="A167" s="513"/>
      <c r="B167" s="195">
        <v>500285002</v>
      </c>
      <c r="C167" s="514" t="s">
        <v>1601</v>
      </c>
      <c r="D167" s="434">
        <f>102089+35910+44887</f>
        <v>182886</v>
      </c>
      <c r="F167" s="434">
        <f>64916+51933+147641</f>
        <v>264490</v>
      </c>
      <c r="H167" s="434">
        <v>334790</v>
      </c>
      <c r="J167" s="434">
        <v>146590</v>
      </c>
      <c r="K167" s="434" t="s">
        <v>11</v>
      </c>
      <c r="L167" s="434" t="s">
        <v>12</v>
      </c>
    </row>
    <row r="168" spans="1:12" ht="20.25" customHeight="1" x14ac:dyDescent="0.2">
      <c r="A168" s="513"/>
      <c r="B168" s="195">
        <v>500224563</v>
      </c>
      <c r="C168" s="514" t="s">
        <v>1602</v>
      </c>
      <c r="D168" s="434">
        <f>35910+51172</f>
        <v>87082</v>
      </c>
      <c r="F168" s="434">
        <f>40000+74004</f>
        <v>114004</v>
      </c>
      <c r="H168" s="434"/>
      <c r="J168" s="434"/>
      <c r="K168" s="434" t="s">
        <v>1060</v>
      </c>
      <c r="L168" s="434" t="s">
        <v>9</v>
      </c>
    </row>
    <row r="169" spans="1:12" ht="20.25" customHeight="1" x14ac:dyDescent="0.2">
      <c r="A169" s="513"/>
      <c r="B169" s="774">
        <v>500225305</v>
      </c>
      <c r="C169" s="514" t="s">
        <v>1603</v>
      </c>
      <c r="D169" s="434"/>
      <c r="F169" s="434">
        <f>77899+85000+51933</f>
        <v>214832</v>
      </c>
      <c r="H169" s="434"/>
      <c r="J169" s="434"/>
      <c r="K169" s="434" t="s">
        <v>1604</v>
      </c>
      <c r="L169" s="434" t="s">
        <v>12</v>
      </c>
    </row>
    <row r="170" spans="1:12" ht="20.25" customHeight="1" x14ac:dyDescent="0.2">
      <c r="A170" s="513"/>
      <c r="B170" s="195">
        <v>500235577</v>
      </c>
      <c r="C170" s="514" t="s">
        <v>1605</v>
      </c>
      <c r="D170" s="434">
        <f>25522*2</f>
        <v>51044</v>
      </c>
      <c r="F170" s="434"/>
      <c r="H170" s="434"/>
      <c r="J170" s="434"/>
      <c r="K170" s="434" t="s">
        <v>293</v>
      </c>
      <c r="L170" s="434" t="s">
        <v>282</v>
      </c>
    </row>
    <row r="171" spans="1:12" ht="20.25" customHeight="1" x14ac:dyDescent="0.2">
      <c r="A171" s="513"/>
      <c r="B171" s="195">
        <v>500235742</v>
      </c>
      <c r="C171" s="514" t="s">
        <v>1606</v>
      </c>
      <c r="D171" s="434">
        <v>30000</v>
      </c>
      <c r="F171" s="434">
        <v>43386</v>
      </c>
      <c r="H171" s="434">
        <v>40000</v>
      </c>
      <c r="J171" s="434">
        <v>40000</v>
      </c>
      <c r="K171" s="434" t="s">
        <v>283</v>
      </c>
      <c r="L171" s="434" t="s">
        <v>282</v>
      </c>
    </row>
    <row r="172" spans="1:12" ht="20.25" customHeight="1" x14ac:dyDescent="0.2">
      <c r="A172" s="513"/>
      <c r="B172" s="195">
        <v>500262399</v>
      </c>
      <c r="C172" s="514" t="s">
        <v>1723</v>
      </c>
      <c r="D172" s="434">
        <v>35910</v>
      </c>
      <c r="F172" s="434">
        <v>50000</v>
      </c>
      <c r="H172" s="434">
        <v>50000</v>
      </c>
      <c r="J172" s="434">
        <v>54052</v>
      </c>
      <c r="K172" s="434" t="s">
        <v>2243</v>
      </c>
      <c r="L172" s="434" t="s">
        <v>32</v>
      </c>
    </row>
    <row r="173" spans="1:12" ht="20.25" customHeight="1" x14ac:dyDescent="0.2">
      <c r="A173" s="513"/>
      <c r="B173" s="195">
        <v>500200290</v>
      </c>
      <c r="C173" s="514" t="s">
        <v>1832</v>
      </c>
      <c r="D173" s="434">
        <v>30000</v>
      </c>
      <c r="F173" s="434">
        <v>30000</v>
      </c>
      <c r="H173" s="434">
        <v>30000</v>
      </c>
      <c r="J173" s="434">
        <v>45000</v>
      </c>
      <c r="K173" s="434" t="s">
        <v>2246</v>
      </c>
      <c r="L173" s="434" t="s">
        <v>9</v>
      </c>
    </row>
    <row r="174" spans="1:12" ht="20.25" customHeight="1" x14ac:dyDescent="0.2">
      <c r="A174" s="513"/>
      <c r="B174" s="195">
        <v>500208749</v>
      </c>
      <c r="C174" s="514" t="s">
        <v>2320</v>
      </c>
      <c r="D174" s="434"/>
      <c r="F174" s="434"/>
      <c r="H174" s="434"/>
      <c r="J174" s="434"/>
      <c r="K174" s="434" t="s">
        <v>1472</v>
      </c>
      <c r="L174" s="434" t="s">
        <v>9</v>
      </c>
    </row>
    <row r="175" spans="1:12" ht="20.25" customHeight="1" x14ac:dyDescent="0.2">
      <c r="A175" s="513"/>
      <c r="B175" s="195">
        <v>500262522</v>
      </c>
      <c r="C175" s="514" t="s">
        <v>2427</v>
      </c>
      <c r="D175" s="434">
        <f>35910*2</f>
        <v>71820</v>
      </c>
      <c r="F175" s="434">
        <f>36155+51933+25000</f>
        <v>113088</v>
      </c>
      <c r="H175" s="434">
        <v>189582</v>
      </c>
      <c r="J175" s="434">
        <v>151727</v>
      </c>
      <c r="K175" s="434" t="s">
        <v>2913</v>
      </c>
      <c r="L175" s="434" t="s">
        <v>9</v>
      </c>
    </row>
    <row r="176" spans="1:12" ht="20.25" customHeight="1" x14ac:dyDescent="0.2">
      <c r="A176" s="513"/>
      <c r="B176" s="195">
        <v>500200415</v>
      </c>
      <c r="C176" s="514" t="s">
        <v>2515</v>
      </c>
      <c r="D176" s="434">
        <v>25522</v>
      </c>
      <c r="F176" s="434">
        <v>36910</v>
      </c>
      <c r="H176" s="434"/>
      <c r="J176" s="434"/>
      <c r="K176" s="434" t="s">
        <v>2516</v>
      </c>
      <c r="L176" s="434" t="s">
        <v>12</v>
      </c>
    </row>
    <row r="177" spans="1:12" ht="20.25" customHeight="1" x14ac:dyDescent="0.2">
      <c r="A177" s="513"/>
      <c r="B177" s="195">
        <v>500201660</v>
      </c>
      <c r="C177" s="514" t="s">
        <v>2518</v>
      </c>
      <c r="D177" s="837">
        <f>25522+23800</f>
        <v>49322</v>
      </c>
      <c r="F177" s="434">
        <v>33881</v>
      </c>
      <c r="H177" s="434"/>
      <c r="J177" s="434"/>
      <c r="K177" s="434" t="s">
        <v>2517</v>
      </c>
      <c r="L177" s="434" t="s">
        <v>32</v>
      </c>
    </row>
    <row r="178" spans="1:12" ht="20.25" customHeight="1" x14ac:dyDescent="0.2">
      <c r="A178" s="513"/>
      <c r="B178" s="195">
        <v>500202403</v>
      </c>
      <c r="C178" s="514" t="s">
        <v>2519</v>
      </c>
      <c r="D178" s="434">
        <f>25522*2</f>
        <v>51044</v>
      </c>
      <c r="F178" s="434"/>
      <c r="H178" s="434"/>
      <c r="J178" s="434"/>
      <c r="K178" s="434" t="s">
        <v>2520</v>
      </c>
      <c r="L178" s="434" t="s">
        <v>9</v>
      </c>
    </row>
    <row r="179" spans="1:12" ht="20.25" customHeight="1" x14ac:dyDescent="0.2">
      <c r="A179" s="513"/>
      <c r="B179" s="195">
        <v>500210661</v>
      </c>
      <c r="C179" s="514" t="s">
        <v>2521</v>
      </c>
      <c r="D179" s="434">
        <v>25522</v>
      </c>
      <c r="F179" s="434">
        <v>30600</v>
      </c>
      <c r="H179" s="434"/>
      <c r="J179" s="434"/>
      <c r="K179" s="434" t="s">
        <v>2522</v>
      </c>
      <c r="L179" s="434" t="s">
        <v>32</v>
      </c>
    </row>
    <row r="180" spans="1:12" ht="20.25" customHeight="1" x14ac:dyDescent="0.2">
      <c r="A180" s="513"/>
      <c r="B180" s="195">
        <v>500232145</v>
      </c>
      <c r="C180" s="514" t="s">
        <v>2523</v>
      </c>
      <c r="D180" s="434">
        <v>25522</v>
      </c>
      <c r="F180" s="434">
        <v>36910</v>
      </c>
      <c r="H180" s="434">
        <v>86055</v>
      </c>
      <c r="J180" s="434">
        <v>99568</v>
      </c>
      <c r="K180" s="434" t="s">
        <v>2524</v>
      </c>
      <c r="L180" s="434" t="s">
        <v>9</v>
      </c>
    </row>
    <row r="181" spans="1:12" ht="20.25" customHeight="1" x14ac:dyDescent="0.2">
      <c r="A181" s="513"/>
      <c r="B181" s="195">
        <v>500237607</v>
      </c>
      <c r="C181" s="514" t="s">
        <v>2525</v>
      </c>
      <c r="D181" s="434">
        <v>25522</v>
      </c>
      <c r="F181" s="434">
        <v>25522</v>
      </c>
      <c r="H181" s="434"/>
      <c r="J181" s="434"/>
      <c r="K181" s="434" t="s">
        <v>2527</v>
      </c>
      <c r="L181" s="434" t="s">
        <v>282</v>
      </c>
    </row>
    <row r="182" spans="1:12" ht="25.5" x14ac:dyDescent="0.2">
      <c r="A182" s="513"/>
      <c r="B182" s="195">
        <v>500274733</v>
      </c>
      <c r="C182" s="514" t="s">
        <v>2528</v>
      </c>
      <c r="D182" s="837">
        <f>25522*2</f>
        <v>51044</v>
      </c>
      <c r="F182" s="434">
        <v>36155</v>
      </c>
      <c r="H182" s="434">
        <v>84905</v>
      </c>
      <c r="J182" s="837">
        <v>115017</v>
      </c>
      <c r="K182" s="434" t="s">
        <v>2529</v>
      </c>
      <c r="L182" s="434" t="s">
        <v>12</v>
      </c>
    </row>
    <row r="183" spans="1:12" ht="20.25" customHeight="1" x14ac:dyDescent="0.2">
      <c r="A183" s="513"/>
      <c r="B183" s="195">
        <v>500262001</v>
      </c>
      <c r="C183" s="514" t="s">
        <v>2526</v>
      </c>
      <c r="D183" s="434">
        <v>25522</v>
      </c>
      <c r="F183" s="434">
        <f>25000+36910</f>
        <v>61910</v>
      </c>
      <c r="H183" s="434"/>
      <c r="J183" s="434">
        <v>50000</v>
      </c>
      <c r="K183" s="434" t="s">
        <v>1211</v>
      </c>
      <c r="L183" s="434" t="s">
        <v>136</v>
      </c>
    </row>
    <row r="184" spans="1:12" ht="20.25" customHeight="1" x14ac:dyDescent="0.2">
      <c r="A184" s="513"/>
      <c r="B184" s="195">
        <v>500200266</v>
      </c>
      <c r="C184" s="514" t="s">
        <v>3043</v>
      </c>
      <c r="D184" s="434"/>
      <c r="F184" s="434">
        <f>51933*2+36155</f>
        <v>140021</v>
      </c>
      <c r="H184" s="434">
        <v>260671</v>
      </c>
      <c r="J184" s="434">
        <v>135000</v>
      </c>
      <c r="K184" s="434" t="s">
        <v>1076</v>
      </c>
      <c r="L184" s="434" t="s">
        <v>9</v>
      </c>
    </row>
    <row r="185" spans="1:12" ht="20.25" customHeight="1" x14ac:dyDescent="0.2">
      <c r="A185" s="513"/>
      <c r="B185" s="195">
        <v>500210208</v>
      </c>
      <c r="C185" s="514" t="s">
        <v>2646</v>
      </c>
      <c r="D185" s="434"/>
      <c r="F185" s="434">
        <f>36155+22000</f>
        <v>58155</v>
      </c>
      <c r="H185" s="434"/>
      <c r="J185" s="434"/>
      <c r="K185" s="434" t="s">
        <v>1499</v>
      </c>
      <c r="L185" s="434" t="s">
        <v>9</v>
      </c>
    </row>
    <row r="186" spans="1:12" ht="20.25" customHeight="1" x14ac:dyDescent="0.2">
      <c r="A186" s="513"/>
      <c r="B186" s="195" t="s">
        <v>1592</v>
      </c>
      <c r="C186" s="514" t="s">
        <v>2744</v>
      </c>
      <c r="D186" s="434"/>
      <c r="F186" s="434"/>
      <c r="H186" s="434">
        <v>28963</v>
      </c>
      <c r="J186" s="434"/>
      <c r="K186" s="434" t="s">
        <v>1593</v>
      </c>
      <c r="L186" s="434" t="s">
        <v>12</v>
      </c>
    </row>
    <row r="187" spans="1:12" ht="20.25" customHeight="1" x14ac:dyDescent="0.2">
      <c r="A187" s="513"/>
      <c r="B187" s="195" t="s">
        <v>2837</v>
      </c>
      <c r="C187" s="514" t="s">
        <v>2838</v>
      </c>
      <c r="D187" s="434"/>
      <c r="F187" s="434"/>
      <c r="H187" s="434">
        <v>40171</v>
      </c>
      <c r="J187" s="837">
        <v>55898</v>
      </c>
      <c r="K187" s="434" t="s">
        <v>3178</v>
      </c>
      <c r="L187" s="434" t="s">
        <v>32</v>
      </c>
    </row>
    <row r="188" spans="1:12" ht="20.25" customHeight="1" x14ac:dyDescent="0.2">
      <c r="A188" s="513"/>
      <c r="B188" s="195" t="s">
        <v>2833</v>
      </c>
      <c r="C188" s="514" t="s">
        <v>3176</v>
      </c>
      <c r="D188" s="434"/>
      <c r="F188" s="434"/>
      <c r="H188" s="434">
        <v>37119</v>
      </c>
      <c r="J188" s="434">
        <v>34885</v>
      </c>
      <c r="K188" s="434" t="s">
        <v>3177</v>
      </c>
      <c r="L188" s="434" t="s">
        <v>9</v>
      </c>
    </row>
    <row r="189" spans="1:12" ht="20.25" customHeight="1" x14ac:dyDescent="0.2">
      <c r="A189" s="513"/>
      <c r="B189" s="195" t="s">
        <v>2751</v>
      </c>
      <c r="C189" s="514" t="s">
        <v>2752</v>
      </c>
      <c r="D189" s="434"/>
      <c r="F189" s="434"/>
      <c r="H189" s="434">
        <v>24772</v>
      </c>
      <c r="J189" s="434">
        <v>42304</v>
      </c>
      <c r="K189" s="434" t="s">
        <v>3179</v>
      </c>
      <c r="L189" s="434" t="s">
        <v>32</v>
      </c>
    </row>
    <row r="190" spans="1:12" ht="19.5" customHeight="1" x14ac:dyDescent="0.2">
      <c r="A190" s="513"/>
      <c r="B190" s="195">
        <v>500280003</v>
      </c>
      <c r="C190" s="514" t="s">
        <v>1607</v>
      </c>
      <c r="D190" s="434">
        <v>38283</v>
      </c>
      <c r="F190" s="434">
        <v>55365</v>
      </c>
      <c r="H190" s="837">
        <v>50000</v>
      </c>
      <c r="J190" s="434">
        <v>50000</v>
      </c>
      <c r="K190" s="434" t="s">
        <v>294</v>
      </c>
      <c r="L190" s="434" t="s">
        <v>9</v>
      </c>
    </row>
    <row r="192" spans="1:12" x14ac:dyDescent="0.2">
      <c r="D192" s="914"/>
      <c r="F192" s="914"/>
      <c r="H192" s="914"/>
      <c r="J192" s="914"/>
    </row>
    <row r="193" spans="11:11" x14ac:dyDescent="0.2">
      <c r="K193" s="914"/>
    </row>
  </sheetData>
  <mergeCells count="1">
    <mergeCell ref="B4:C4"/>
  </mergeCells>
  <pageMargins left="0" right="0.79" top="1.3779527559055118" bottom="0.35433070866141736" header="0.98425196850393704" footer="0.15748031496062992"/>
  <pageSetup paperSize="9" scale="83" fitToHeight="10" orientation="landscape" r:id="rId1"/>
  <headerFooter alignWithMargins="0">
    <oddHeader>&amp;L&amp;D&amp;Cמינהל תרבות
&amp;"Arial,מודגש"&amp;11תקציב על שינויו 2016-2019 בש"ח בהתאם להחלטת ועדת התמיכות&amp;R&amp;"Arial,מודגש"&amp;16תקנה 42-02-31- תרבות בקהילה</oddHeader>
    <oddFooter>&amp;L&amp;F&amp;C&amp;P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"/>
  <sheetViews>
    <sheetView rightToLeft="1" topLeftCell="B1" zoomScaleNormal="100" workbookViewId="0">
      <pane xSplit="2" ySplit="2" topLeftCell="F11" activePane="bottomRight" state="frozen"/>
      <selection activeCell="S19" sqref="S19"/>
      <selection pane="topRight" activeCell="S19" sqref="S19"/>
      <selection pane="bottomLeft" activeCell="S19" sqref="S19"/>
      <selection pane="bottomRight" activeCell="N1" sqref="N1:O1048576"/>
    </sheetView>
  </sheetViews>
  <sheetFormatPr defaultColWidth="1.85546875" defaultRowHeight="12.75" x14ac:dyDescent="0.2"/>
  <cols>
    <col min="1" max="1" width="2.85546875" style="163" customWidth="1"/>
    <col min="2" max="2" width="11.140625" style="163" customWidth="1"/>
    <col min="3" max="3" width="29.28515625" style="343" customWidth="1"/>
    <col min="4" max="4" width="10.85546875" style="163" hidden="1" customWidth="1"/>
    <col min="5" max="5" width="13.7109375" style="163" hidden="1" customWidth="1"/>
    <col min="6" max="6" width="0.42578125" style="600" customWidth="1"/>
    <col min="7" max="7" width="13.7109375" style="163" customWidth="1"/>
    <col min="8" max="8" width="0.42578125" style="600" customWidth="1"/>
    <col min="9" max="9" width="13.7109375" style="163" customWidth="1"/>
    <col min="10" max="10" width="0.42578125" style="600" customWidth="1"/>
    <col min="11" max="11" width="13.7109375" style="163" customWidth="1"/>
    <col min="12" max="12" width="0.42578125" style="600" customWidth="1"/>
    <col min="13" max="13" width="13.7109375" style="163" customWidth="1"/>
    <col min="14" max="14" width="10.85546875" style="163" hidden="1" customWidth="1"/>
    <col min="15" max="15" width="10.5703125" style="163" hidden="1" customWidth="1"/>
    <col min="16" max="247" width="1.85546875" style="163"/>
    <col min="248" max="248" width="2.85546875" style="163" customWidth="1"/>
    <col min="249" max="249" width="14.140625" style="163" bestFit="1" customWidth="1"/>
    <col min="250" max="250" width="29.28515625" style="163" customWidth="1"/>
    <col min="251" max="251" width="0.42578125" style="163" customWidth="1"/>
    <col min="252" max="252" width="13.7109375" style="163" customWidth="1"/>
    <col min="253" max="253" width="10.85546875" style="163" customWidth="1"/>
    <col min="254" max="254" width="13.7109375" style="163" customWidth="1"/>
    <col min="255" max="255" width="0.42578125" style="163" customWidth="1"/>
    <col min="256" max="256" width="13.7109375" style="163" customWidth="1"/>
    <col min="257" max="257" width="10.85546875" style="163" customWidth="1"/>
    <col min="258" max="259" width="13.7109375" style="163" customWidth="1"/>
    <col min="260" max="260" width="0.42578125" style="163" customWidth="1"/>
    <col min="261" max="261" width="13.7109375" style="163" customWidth="1"/>
    <col min="262" max="262" width="10.85546875" style="163" customWidth="1"/>
    <col min="263" max="264" width="13.7109375" style="163" customWidth="1"/>
    <col min="265" max="265" width="0.42578125" style="163" customWidth="1"/>
    <col min="266" max="266" width="13.7109375" style="163" customWidth="1"/>
    <col min="267" max="267" width="10.85546875" style="163" customWidth="1"/>
    <col min="268" max="269" width="13.7109375" style="163" customWidth="1"/>
    <col min="270" max="270" width="9.42578125" style="163" customWidth="1"/>
    <col min="271" max="271" width="10.5703125" style="163" customWidth="1"/>
    <col min="272" max="503" width="1.85546875" style="163"/>
    <col min="504" max="504" width="2.85546875" style="163" customWidth="1"/>
    <col min="505" max="505" width="14.140625" style="163" bestFit="1" customWidth="1"/>
    <col min="506" max="506" width="29.28515625" style="163" customWidth="1"/>
    <col min="507" max="507" width="0.42578125" style="163" customWidth="1"/>
    <col min="508" max="508" width="13.7109375" style="163" customWidth="1"/>
    <col min="509" max="509" width="10.85546875" style="163" customWidth="1"/>
    <col min="510" max="510" width="13.7109375" style="163" customWidth="1"/>
    <col min="511" max="511" width="0.42578125" style="163" customWidth="1"/>
    <col min="512" max="512" width="13.7109375" style="163" customWidth="1"/>
    <col min="513" max="513" width="10.85546875" style="163" customWidth="1"/>
    <col min="514" max="515" width="13.7109375" style="163" customWidth="1"/>
    <col min="516" max="516" width="0.42578125" style="163" customWidth="1"/>
    <col min="517" max="517" width="13.7109375" style="163" customWidth="1"/>
    <col min="518" max="518" width="10.85546875" style="163" customWidth="1"/>
    <col min="519" max="520" width="13.7109375" style="163" customWidth="1"/>
    <col min="521" max="521" width="0.42578125" style="163" customWidth="1"/>
    <col min="522" max="522" width="13.7109375" style="163" customWidth="1"/>
    <col min="523" max="523" width="10.85546875" style="163" customWidth="1"/>
    <col min="524" max="525" width="13.7109375" style="163" customWidth="1"/>
    <col min="526" max="526" width="9.42578125" style="163" customWidth="1"/>
    <col min="527" max="527" width="10.5703125" style="163" customWidth="1"/>
    <col min="528" max="759" width="1.85546875" style="163"/>
    <col min="760" max="760" width="2.85546875" style="163" customWidth="1"/>
    <col min="761" max="761" width="14.140625" style="163" bestFit="1" customWidth="1"/>
    <col min="762" max="762" width="29.28515625" style="163" customWidth="1"/>
    <col min="763" max="763" width="0.42578125" style="163" customWidth="1"/>
    <col min="764" max="764" width="13.7109375" style="163" customWidth="1"/>
    <col min="765" max="765" width="10.85546875" style="163" customWidth="1"/>
    <col min="766" max="766" width="13.7109375" style="163" customWidth="1"/>
    <col min="767" max="767" width="0.42578125" style="163" customWidth="1"/>
    <col min="768" max="768" width="13.7109375" style="163" customWidth="1"/>
    <col min="769" max="769" width="10.85546875" style="163" customWidth="1"/>
    <col min="770" max="771" width="13.7109375" style="163" customWidth="1"/>
    <col min="772" max="772" width="0.42578125" style="163" customWidth="1"/>
    <col min="773" max="773" width="13.7109375" style="163" customWidth="1"/>
    <col min="774" max="774" width="10.85546875" style="163" customWidth="1"/>
    <col min="775" max="776" width="13.7109375" style="163" customWidth="1"/>
    <col min="777" max="777" width="0.42578125" style="163" customWidth="1"/>
    <col min="778" max="778" width="13.7109375" style="163" customWidth="1"/>
    <col min="779" max="779" width="10.85546875" style="163" customWidth="1"/>
    <col min="780" max="781" width="13.7109375" style="163" customWidth="1"/>
    <col min="782" max="782" width="9.42578125" style="163" customWidth="1"/>
    <col min="783" max="783" width="10.5703125" style="163" customWidth="1"/>
    <col min="784" max="1015" width="1.85546875" style="163"/>
    <col min="1016" max="1016" width="2.85546875" style="163" customWidth="1"/>
    <col min="1017" max="1017" width="14.140625" style="163" bestFit="1" customWidth="1"/>
    <col min="1018" max="1018" width="29.28515625" style="163" customWidth="1"/>
    <col min="1019" max="1019" width="0.42578125" style="163" customWidth="1"/>
    <col min="1020" max="1020" width="13.7109375" style="163" customWidth="1"/>
    <col min="1021" max="1021" width="10.85546875" style="163" customWidth="1"/>
    <col min="1022" max="1022" width="13.7109375" style="163" customWidth="1"/>
    <col min="1023" max="1023" width="0.42578125" style="163" customWidth="1"/>
    <col min="1024" max="1024" width="13.7109375" style="163" customWidth="1"/>
    <col min="1025" max="1025" width="10.85546875" style="163" customWidth="1"/>
    <col min="1026" max="1027" width="13.7109375" style="163" customWidth="1"/>
    <col min="1028" max="1028" width="0.42578125" style="163" customWidth="1"/>
    <col min="1029" max="1029" width="13.7109375" style="163" customWidth="1"/>
    <col min="1030" max="1030" width="10.85546875" style="163" customWidth="1"/>
    <col min="1031" max="1032" width="13.7109375" style="163" customWidth="1"/>
    <col min="1033" max="1033" width="0.42578125" style="163" customWidth="1"/>
    <col min="1034" max="1034" width="13.7109375" style="163" customWidth="1"/>
    <col min="1035" max="1035" width="10.85546875" style="163" customWidth="1"/>
    <col min="1036" max="1037" width="13.7109375" style="163" customWidth="1"/>
    <col min="1038" max="1038" width="9.42578125" style="163" customWidth="1"/>
    <col min="1039" max="1039" width="10.5703125" style="163" customWidth="1"/>
    <col min="1040" max="1271" width="1.85546875" style="163"/>
    <col min="1272" max="1272" width="2.85546875" style="163" customWidth="1"/>
    <col min="1273" max="1273" width="14.140625" style="163" bestFit="1" customWidth="1"/>
    <col min="1274" max="1274" width="29.28515625" style="163" customWidth="1"/>
    <col min="1275" max="1275" width="0.42578125" style="163" customWidth="1"/>
    <col min="1276" max="1276" width="13.7109375" style="163" customWidth="1"/>
    <col min="1277" max="1277" width="10.85546875" style="163" customWidth="1"/>
    <col min="1278" max="1278" width="13.7109375" style="163" customWidth="1"/>
    <col min="1279" max="1279" width="0.42578125" style="163" customWidth="1"/>
    <col min="1280" max="1280" width="13.7109375" style="163" customWidth="1"/>
    <col min="1281" max="1281" width="10.85546875" style="163" customWidth="1"/>
    <col min="1282" max="1283" width="13.7109375" style="163" customWidth="1"/>
    <col min="1284" max="1284" width="0.42578125" style="163" customWidth="1"/>
    <col min="1285" max="1285" width="13.7109375" style="163" customWidth="1"/>
    <col min="1286" max="1286" width="10.85546875" style="163" customWidth="1"/>
    <col min="1287" max="1288" width="13.7109375" style="163" customWidth="1"/>
    <col min="1289" max="1289" width="0.42578125" style="163" customWidth="1"/>
    <col min="1290" max="1290" width="13.7109375" style="163" customWidth="1"/>
    <col min="1291" max="1291" width="10.85546875" style="163" customWidth="1"/>
    <col min="1292" max="1293" width="13.7109375" style="163" customWidth="1"/>
    <col min="1294" max="1294" width="9.42578125" style="163" customWidth="1"/>
    <col min="1295" max="1295" width="10.5703125" style="163" customWidth="1"/>
    <col min="1296" max="1527" width="1.85546875" style="163"/>
    <col min="1528" max="1528" width="2.85546875" style="163" customWidth="1"/>
    <col min="1529" max="1529" width="14.140625" style="163" bestFit="1" customWidth="1"/>
    <col min="1530" max="1530" width="29.28515625" style="163" customWidth="1"/>
    <col min="1531" max="1531" width="0.42578125" style="163" customWidth="1"/>
    <col min="1532" max="1532" width="13.7109375" style="163" customWidth="1"/>
    <col min="1533" max="1533" width="10.85546875" style="163" customWidth="1"/>
    <col min="1534" max="1534" width="13.7109375" style="163" customWidth="1"/>
    <col min="1535" max="1535" width="0.42578125" style="163" customWidth="1"/>
    <col min="1536" max="1536" width="13.7109375" style="163" customWidth="1"/>
    <col min="1537" max="1537" width="10.85546875" style="163" customWidth="1"/>
    <col min="1538" max="1539" width="13.7109375" style="163" customWidth="1"/>
    <col min="1540" max="1540" width="0.42578125" style="163" customWidth="1"/>
    <col min="1541" max="1541" width="13.7109375" style="163" customWidth="1"/>
    <col min="1542" max="1542" width="10.85546875" style="163" customWidth="1"/>
    <col min="1543" max="1544" width="13.7109375" style="163" customWidth="1"/>
    <col min="1545" max="1545" width="0.42578125" style="163" customWidth="1"/>
    <col min="1546" max="1546" width="13.7109375" style="163" customWidth="1"/>
    <col min="1547" max="1547" width="10.85546875" style="163" customWidth="1"/>
    <col min="1548" max="1549" width="13.7109375" style="163" customWidth="1"/>
    <col min="1550" max="1550" width="9.42578125" style="163" customWidth="1"/>
    <col min="1551" max="1551" width="10.5703125" style="163" customWidth="1"/>
    <col min="1552" max="1783" width="1.85546875" style="163"/>
    <col min="1784" max="1784" width="2.85546875" style="163" customWidth="1"/>
    <col min="1785" max="1785" width="14.140625" style="163" bestFit="1" customWidth="1"/>
    <col min="1786" max="1786" width="29.28515625" style="163" customWidth="1"/>
    <col min="1787" max="1787" width="0.42578125" style="163" customWidth="1"/>
    <col min="1788" max="1788" width="13.7109375" style="163" customWidth="1"/>
    <col min="1789" max="1789" width="10.85546875" style="163" customWidth="1"/>
    <col min="1790" max="1790" width="13.7109375" style="163" customWidth="1"/>
    <col min="1791" max="1791" width="0.42578125" style="163" customWidth="1"/>
    <col min="1792" max="1792" width="13.7109375" style="163" customWidth="1"/>
    <col min="1793" max="1793" width="10.85546875" style="163" customWidth="1"/>
    <col min="1794" max="1795" width="13.7109375" style="163" customWidth="1"/>
    <col min="1796" max="1796" width="0.42578125" style="163" customWidth="1"/>
    <col min="1797" max="1797" width="13.7109375" style="163" customWidth="1"/>
    <col min="1798" max="1798" width="10.85546875" style="163" customWidth="1"/>
    <col min="1799" max="1800" width="13.7109375" style="163" customWidth="1"/>
    <col min="1801" max="1801" width="0.42578125" style="163" customWidth="1"/>
    <col min="1802" max="1802" width="13.7109375" style="163" customWidth="1"/>
    <col min="1803" max="1803" width="10.85546875" style="163" customWidth="1"/>
    <col min="1804" max="1805" width="13.7109375" style="163" customWidth="1"/>
    <col min="1806" max="1806" width="9.42578125" style="163" customWidth="1"/>
    <col min="1807" max="1807" width="10.5703125" style="163" customWidth="1"/>
    <col min="1808" max="2039" width="1.85546875" style="163"/>
    <col min="2040" max="2040" width="2.85546875" style="163" customWidth="1"/>
    <col min="2041" max="2041" width="14.140625" style="163" bestFit="1" customWidth="1"/>
    <col min="2042" max="2042" width="29.28515625" style="163" customWidth="1"/>
    <col min="2043" max="2043" width="0.42578125" style="163" customWidth="1"/>
    <col min="2044" max="2044" width="13.7109375" style="163" customWidth="1"/>
    <col min="2045" max="2045" width="10.85546875" style="163" customWidth="1"/>
    <col min="2046" max="2046" width="13.7109375" style="163" customWidth="1"/>
    <col min="2047" max="2047" width="0.42578125" style="163" customWidth="1"/>
    <col min="2048" max="2048" width="13.7109375" style="163" customWidth="1"/>
    <col min="2049" max="2049" width="10.85546875" style="163" customWidth="1"/>
    <col min="2050" max="2051" width="13.7109375" style="163" customWidth="1"/>
    <col min="2052" max="2052" width="0.42578125" style="163" customWidth="1"/>
    <col min="2053" max="2053" width="13.7109375" style="163" customWidth="1"/>
    <col min="2054" max="2054" width="10.85546875" style="163" customWidth="1"/>
    <col min="2055" max="2056" width="13.7109375" style="163" customWidth="1"/>
    <col min="2057" max="2057" width="0.42578125" style="163" customWidth="1"/>
    <col min="2058" max="2058" width="13.7109375" style="163" customWidth="1"/>
    <col min="2059" max="2059" width="10.85546875" style="163" customWidth="1"/>
    <col min="2060" max="2061" width="13.7109375" style="163" customWidth="1"/>
    <col min="2062" max="2062" width="9.42578125" style="163" customWidth="1"/>
    <col min="2063" max="2063" width="10.5703125" style="163" customWidth="1"/>
    <col min="2064" max="2295" width="1.85546875" style="163"/>
    <col min="2296" max="2296" width="2.85546875" style="163" customWidth="1"/>
    <col min="2297" max="2297" width="14.140625" style="163" bestFit="1" customWidth="1"/>
    <col min="2298" max="2298" width="29.28515625" style="163" customWidth="1"/>
    <col min="2299" max="2299" width="0.42578125" style="163" customWidth="1"/>
    <col min="2300" max="2300" width="13.7109375" style="163" customWidth="1"/>
    <col min="2301" max="2301" width="10.85546875" style="163" customWidth="1"/>
    <col min="2302" max="2302" width="13.7109375" style="163" customWidth="1"/>
    <col min="2303" max="2303" width="0.42578125" style="163" customWidth="1"/>
    <col min="2304" max="2304" width="13.7109375" style="163" customWidth="1"/>
    <col min="2305" max="2305" width="10.85546875" style="163" customWidth="1"/>
    <col min="2306" max="2307" width="13.7109375" style="163" customWidth="1"/>
    <col min="2308" max="2308" width="0.42578125" style="163" customWidth="1"/>
    <col min="2309" max="2309" width="13.7109375" style="163" customWidth="1"/>
    <col min="2310" max="2310" width="10.85546875" style="163" customWidth="1"/>
    <col min="2311" max="2312" width="13.7109375" style="163" customWidth="1"/>
    <col min="2313" max="2313" width="0.42578125" style="163" customWidth="1"/>
    <col min="2314" max="2314" width="13.7109375" style="163" customWidth="1"/>
    <col min="2315" max="2315" width="10.85546875" style="163" customWidth="1"/>
    <col min="2316" max="2317" width="13.7109375" style="163" customWidth="1"/>
    <col min="2318" max="2318" width="9.42578125" style="163" customWidth="1"/>
    <col min="2319" max="2319" width="10.5703125" style="163" customWidth="1"/>
    <col min="2320" max="2551" width="1.85546875" style="163"/>
    <col min="2552" max="2552" width="2.85546875" style="163" customWidth="1"/>
    <col min="2553" max="2553" width="14.140625" style="163" bestFit="1" customWidth="1"/>
    <col min="2554" max="2554" width="29.28515625" style="163" customWidth="1"/>
    <col min="2555" max="2555" width="0.42578125" style="163" customWidth="1"/>
    <col min="2556" max="2556" width="13.7109375" style="163" customWidth="1"/>
    <col min="2557" max="2557" width="10.85546875" style="163" customWidth="1"/>
    <col min="2558" max="2558" width="13.7109375" style="163" customWidth="1"/>
    <col min="2559" max="2559" width="0.42578125" style="163" customWidth="1"/>
    <col min="2560" max="2560" width="13.7109375" style="163" customWidth="1"/>
    <col min="2561" max="2561" width="10.85546875" style="163" customWidth="1"/>
    <col min="2562" max="2563" width="13.7109375" style="163" customWidth="1"/>
    <col min="2564" max="2564" width="0.42578125" style="163" customWidth="1"/>
    <col min="2565" max="2565" width="13.7109375" style="163" customWidth="1"/>
    <col min="2566" max="2566" width="10.85546875" style="163" customWidth="1"/>
    <col min="2567" max="2568" width="13.7109375" style="163" customWidth="1"/>
    <col min="2569" max="2569" width="0.42578125" style="163" customWidth="1"/>
    <col min="2570" max="2570" width="13.7109375" style="163" customWidth="1"/>
    <col min="2571" max="2571" width="10.85546875" style="163" customWidth="1"/>
    <col min="2572" max="2573" width="13.7109375" style="163" customWidth="1"/>
    <col min="2574" max="2574" width="9.42578125" style="163" customWidth="1"/>
    <col min="2575" max="2575" width="10.5703125" style="163" customWidth="1"/>
    <col min="2576" max="2807" width="1.85546875" style="163"/>
    <col min="2808" max="2808" width="2.85546875" style="163" customWidth="1"/>
    <col min="2809" max="2809" width="14.140625" style="163" bestFit="1" customWidth="1"/>
    <col min="2810" max="2810" width="29.28515625" style="163" customWidth="1"/>
    <col min="2811" max="2811" width="0.42578125" style="163" customWidth="1"/>
    <col min="2812" max="2812" width="13.7109375" style="163" customWidth="1"/>
    <col min="2813" max="2813" width="10.85546875" style="163" customWidth="1"/>
    <col min="2814" max="2814" width="13.7109375" style="163" customWidth="1"/>
    <col min="2815" max="2815" width="0.42578125" style="163" customWidth="1"/>
    <col min="2816" max="2816" width="13.7109375" style="163" customWidth="1"/>
    <col min="2817" max="2817" width="10.85546875" style="163" customWidth="1"/>
    <col min="2818" max="2819" width="13.7109375" style="163" customWidth="1"/>
    <col min="2820" max="2820" width="0.42578125" style="163" customWidth="1"/>
    <col min="2821" max="2821" width="13.7109375" style="163" customWidth="1"/>
    <col min="2822" max="2822" width="10.85546875" style="163" customWidth="1"/>
    <col min="2823" max="2824" width="13.7109375" style="163" customWidth="1"/>
    <col min="2825" max="2825" width="0.42578125" style="163" customWidth="1"/>
    <col min="2826" max="2826" width="13.7109375" style="163" customWidth="1"/>
    <col min="2827" max="2827" width="10.85546875" style="163" customWidth="1"/>
    <col min="2828" max="2829" width="13.7109375" style="163" customWidth="1"/>
    <col min="2830" max="2830" width="9.42578125" style="163" customWidth="1"/>
    <col min="2831" max="2831" width="10.5703125" style="163" customWidth="1"/>
    <col min="2832" max="3063" width="1.85546875" style="163"/>
    <col min="3064" max="3064" width="2.85546875" style="163" customWidth="1"/>
    <col min="3065" max="3065" width="14.140625" style="163" bestFit="1" customWidth="1"/>
    <col min="3066" max="3066" width="29.28515625" style="163" customWidth="1"/>
    <col min="3067" max="3067" width="0.42578125" style="163" customWidth="1"/>
    <col min="3068" max="3068" width="13.7109375" style="163" customWidth="1"/>
    <col min="3069" max="3069" width="10.85546875" style="163" customWidth="1"/>
    <col min="3070" max="3070" width="13.7109375" style="163" customWidth="1"/>
    <col min="3071" max="3071" width="0.42578125" style="163" customWidth="1"/>
    <col min="3072" max="3072" width="13.7109375" style="163" customWidth="1"/>
    <col min="3073" max="3073" width="10.85546875" style="163" customWidth="1"/>
    <col min="3074" max="3075" width="13.7109375" style="163" customWidth="1"/>
    <col min="3076" max="3076" width="0.42578125" style="163" customWidth="1"/>
    <col min="3077" max="3077" width="13.7109375" style="163" customWidth="1"/>
    <col min="3078" max="3078" width="10.85546875" style="163" customWidth="1"/>
    <col min="3079" max="3080" width="13.7109375" style="163" customWidth="1"/>
    <col min="3081" max="3081" width="0.42578125" style="163" customWidth="1"/>
    <col min="3082" max="3082" width="13.7109375" style="163" customWidth="1"/>
    <col min="3083" max="3083" width="10.85546875" style="163" customWidth="1"/>
    <col min="3084" max="3085" width="13.7109375" style="163" customWidth="1"/>
    <col min="3086" max="3086" width="9.42578125" style="163" customWidth="1"/>
    <col min="3087" max="3087" width="10.5703125" style="163" customWidth="1"/>
    <col min="3088" max="3319" width="1.85546875" style="163"/>
    <col min="3320" max="3320" width="2.85546875" style="163" customWidth="1"/>
    <col min="3321" max="3321" width="14.140625" style="163" bestFit="1" customWidth="1"/>
    <col min="3322" max="3322" width="29.28515625" style="163" customWidth="1"/>
    <col min="3323" max="3323" width="0.42578125" style="163" customWidth="1"/>
    <col min="3324" max="3324" width="13.7109375" style="163" customWidth="1"/>
    <col min="3325" max="3325" width="10.85546875" style="163" customWidth="1"/>
    <col min="3326" max="3326" width="13.7109375" style="163" customWidth="1"/>
    <col min="3327" max="3327" width="0.42578125" style="163" customWidth="1"/>
    <col min="3328" max="3328" width="13.7109375" style="163" customWidth="1"/>
    <col min="3329" max="3329" width="10.85546875" style="163" customWidth="1"/>
    <col min="3330" max="3331" width="13.7109375" style="163" customWidth="1"/>
    <col min="3332" max="3332" width="0.42578125" style="163" customWidth="1"/>
    <col min="3333" max="3333" width="13.7109375" style="163" customWidth="1"/>
    <col min="3334" max="3334" width="10.85546875" style="163" customWidth="1"/>
    <col min="3335" max="3336" width="13.7109375" style="163" customWidth="1"/>
    <col min="3337" max="3337" width="0.42578125" style="163" customWidth="1"/>
    <col min="3338" max="3338" width="13.7109375" style="163" customWidth="1"/>
    <col min="3339" max="3339" width="10.85546875" style="163" customWidth="1"/>
    <col min="3340" max="3341" width="13.7109375" style="163" customWidth="1"/>
    <col min="3342" max="3342" width="9.42578125" style="163" customWidth="1"/>
    <col min="3343" max="3343" width="10.5703125" style="163" customWidth="1"/>
    <col min="3344" max="3575" width="1.85546875" style="163"/>
    <col min="3576" max="3576" width="2.85546875" style="163" customWidth="1"/>
    <col min="3577" max="3577" width="14.140625" style="163" bestFit="1" customWidth="1"/>
    <col min="3578" max="3578" width="29.28515625" style="163" customWidth="1"/>
    <col min="3579" max="3579" width="0.42578125" style="163" customWidth="1"/>
    <col min="3580" max="3580" width="13.7109375" style="163" customWidth="1"/>
    <col min="3581" max="3581" width="10.85546875" style="163" customWidth="1"/>
    <col min="3582" max="3582" width="13.7109375" style="163" customWidth="1"/>
    <col min="3583" max="3583" width="0.42578125" style="163" customWidth="1"/>
    <col min="3584" max="3584" width="13.7109375" style="163" customWidth="1"/>
    <col min="3585" max="3585" width="10.85546875" style="163" customWidth="1"/>
    <col min="3586" max="3587" width="13.7109375" style="163" customWidth="1"/>
    <col min="3588" max="3588" width="0.42578125" style="163" customWidth="1"/>
    <col min="3589" max="3589" width="13.7109375" style="163" customWidth="1"/>
    <col min="3590" max="3590" width="10.85546875" style="163" customWidth="1"/>
    <col min="3591" max="3592" width="13.7109375" style="163" customWidth="1"/>
    <col min="3593" max="3593" width="0.42578125" style="163" customWidth="1"/>
    <col min="3594" max="3594" width="13.7109375" style="163" customWidth="1"/>
    <col min="3595" max="3595" width="10.85546875" style="163" customWidth="1"/>
    <col min="3596" max="3597" width="13.7109375" style="163" customWidth="1"/>
    <col min="3598" max="3598" width="9.42578125" style="163" customWidth="1"/>
    <col min="3599" max="3599" width="10.5703125" style="163" customWidth="1"/>
    <col min="3600" max="3831" width="1.85546875" style="163"/>
    <col min="3832" max="3832" width="2.85546875" style="163" customWidth="1"/>
    <col min="3833" max="3833" width="14.140625" style="163" bestFit="1" customWidth="1"/>
    <col min="3834" max="3834" width="29.28515625" style="163" customWidth="1"/>
    <col min="3835" max="3835" width="0.42578125" style="163" customWidth="1"/>
    <col min="3836" max="3836" width="13.7109375" style="163" customWidth="1"/>
    <col min="3837" max="3837" width="10.85546875" style="163" customWidth="1"/>
    <col min="3838" max="3838" width="13.7109375" style="163" customWidth="1"/>
    <col min="3839" max="3839" width="0.42578125" style="163" customWidth="1"/>
    <col min="3840" max="3840" width="13.7109375" style="163" customWidth="1"/>
    <col min="3841" max="3841" width="10.85546875" style="163" customWidth="1"/>
    <col min="3842" max="3843" width="13.7109375" style="163" customWidth="1"/>
    <col min="3844" max="3844" width="0.42578125" style="163" customWidth="1"/>
    <col min="3845" max="3845" width="13.7109375" style="163" customWidth="1"/>
    <col min="3846" max="3846" width="10.85546875" style="163" customWidth="1"/>
    <col min="3847" max="3848" width="13.7109375" style="163" customWidth="1"/>
    <col min="3849" max="3849" width="0.42578125" style="163" customWidth="1"/>
    <col min="3850" max="3850" width="13.7109375" style="163" customWidth="1"/>
    <col min="3851" max="3851" width="10.85546875" style="163" customWidth="1"/>
    <col min="3852" max="3853" width="13.7109375" style="163" customWidth="1"/>
    <col min="3854" max="3854" width="9.42578125" style="163" customWidth="1"/>
    <col min="3855" max="3855" width="10.5703125" style="163" customWidth="1"/>
    <col min="3856" max="4087" width="1.85546875" style="163"/>
    <col min="4088" max="4088" width="2.85546875" style="163" customWidth="1"/>
    <col min="4089" max="4089" width="14.140625" style="163" bestFit="1" customWidth="1"/>
    <col min="4090" max="4090" width="29.28515625" style="163" customWidth="1"/>
    <col min="4091" max="4091" width="0.42578125" style="163" customWidth="1"/>
    <col min="4092" max="4092" width="13.7109375" style="163" customWidth="1"/>
    <col min="4093" max="4093" width="10.85546875" style="163" customWidth="1"/>
    <col min="4094" max="4094" width="13.7109375" style="163" customWidth="1"/>
    <col min="4095" max="4095" width="0.42578125" style="163" customWidth="1"/>
    <col min="4096" max="4096" width="13.7109375" style="163" customWidth="1"/>
    <col min="4097" max="4097" width="10.85546875" style="163" customWidth="1"/>
    <col min="4098" max="4099" width="13.7109375" style="163" customWidth="1"/>
    <col min="4100" max="4100" width="0.42578125" style="163" customWidth="1"/>
    <col min="4101" max="4101" width="13.7109375" style="163" customWidth="1"/>
    <col min="4102" max="4102" width="10.85546875" style="163" customWidth="1"/>
    <col min="4103" max="4104" width="13.7109375" style="163" customWidth="1"/>
    <col min="4105" max="4105" width="0.42578125" style="163" customWidth="1"/>
    <col min="4106" max="4106" width="13.7109375" style="163" customWidth="1"/>
    <col min="4107" max="4107" width="10.85546875" style="163" customWidth="1"/>
    <col min="4108" max="4109" width="13.7109375" style="163" customWidth="1"/>
    <col min="4110" max="4110" width="9.42578125" style="163" customWidth="1"/>
    <col min="4111" max="4111" width="10.5703125" style="163" customWidth="1"/>
    <col min="4112" max="4343" width="1.85546875" style="163"/>
    <col min="4344" max="4344" width="2.85546875" style="163" customWidth="1"/>
    <col min="4345" max="4345" width="14.140625" style="163" bestFit="1" customWidth="1"/>
    <col min="4346" max="4346" width="29.28515625" style="163" customWidth="1"/>
    <col min="4347" max="4347" width="0.42578125" style="163" customWidth="1"/>
    <col min="4348" max="4348" width="13.7109375" style="163" customWidth="1"/>
    <col min="4349" max="4349" width="10.85546875" style="163" customWidth="1"/>
    <col min="4350" max="4350" width="13.7109375" style="163" customWidth="1"/>
    <col min="4351" max="4351" width="0.42578125" style="163" customWidth="1"/>
    <col min="4352" max="4352" width="13.7109375" style="163" customWidth="1"/>
    <col min="4353" max="4353" width="10.85546875" style="163" customWidth="1"/>
    <col min="4354" max="4355" width="13.7109375" style="163" customWidth="1"/>
    <col min="4356" max="4356" width="0.42578125" style="163" customWidth="1"/>
    <col min="4357" max="4357" width="13.7109375" style="163" customWidth="1"/>
    <col min="4358" max="4358" width="10.85546875" style="163" customWidth="1"/>
    <col min="4359" max="4360" width="13.7109375" style="163" customWidth="1"/>
    <col min="4361" max="4361" width="0.42578125" style="163" customWidth="1"/>
    <col min="4362" max="4362" width="13.7109375" style="163" customWidth="1"/>
    <col min="4363" max="4363" width="10.85546875" style="163" customWidth="1"/>
    <col min="4364" max="4365" width="13.7109375" style="163" customWidth="1"/>
    <col min="4366" max="4366" width="9.42578125" style="163" customWidth="1"/>
    <col min="4367" max="4367" width="10.5703125" style="163" customWidth="1"/>
    <col min="4368" max="4599" width="1.85546875" style="163"/>
    <col min="4600" max="4600" width="2.85546875" style="163" customWidth="1"/>
    <col min="4601" max="4601" width="14.140625" style="163" bestFit="1" customWidth="1"/>
    <col min="4602" max="4602" width="29.28515625" style="163" customWidth="1"/>
    <col min="4603" max="4603" width="0.42578125" style="163" customWidth="1"/>
    <col min="4604" max="4604" width="13.7109375" style="163" customWidth="1"/>
    <col min="4605" max="4605" width="10.85546875" style="163" customWidth="1"/>
    <col min="4606" max="4606" width="13.7109375" style="163" customWidth="1"/>
    <col min="4607" max="4607" width="0.42578125" style="163" customWidth="1"/>
    <col min="4608" max="4608" width="13.7109375" style="163" customWidth="1"/>
    <col min="4609" max="4609" width="10.85546875" style="163" customWidth="1"/>
    <col min="4610" max="4611" width="13.7109375" style="163" customWidth="1"/>
    <col min="4612" max="4612" width="0.42578125" style="163" customWidth="1"/>
    <col min="4613" max="4613" width="13.7109375" style="163" customWidth="1"/>
    <col min="4614" max="4614" width="10.85546875" style="163" customWidth="1"/>
    <col min="4615" max="4616" width="13.7109375" style="163" customWidth="1"/>
    <col min="4617" max="4617" width="0.42578125" style="163" customWidth="1"/>
    <col min="4618" max="4618" width="13.7109375" style="163" customWidth="1"/>
    <col min="4619" max="4619" width="10.85546875" style="163" customWidth="1"/>
    <col min="4620" max="4621" width="13.7109375" style="163" customWidth="1"/>
    <col min="4622" max="4622" width="9.42578125" style="163" customWidth="1"/>
    <col min="4623" max="4623" width="10.5703125" style="163" customWidth="1"/>
    <col min="4624" max="4855" width="1.85546875" style="163"/>
    <col min="4856" max="4856" width="2.85546875" style="163" customWidth="1"/>
    <col min="4857" max="4857" width="14.140625" style="163" bestFit="1" customWidth="1"/>
    <col min="4858" max="4858" width="29.28515625" style="163" customWidth="1"/>
    <col min="4859" max="4859" width="0.42578125" style="163" customWidth="1"/>
    <col min="4860" max="4860" width="13.7109375" style="163" customWidth="1"/>
    <col min="4861" max="4861" width="10.85546875" style="163" customWidth="1"/>
    <col min="4862" max="4862" width="13.7109375" style="163" customWidth="1"/>
    <col min="4863" max="4863" width="0.42578125" style="163" customWidth="1"/>
    <col min="4864" max="4864" width="13.7109375" style="163" customWidth="1"/>
    <col min="4865" max="4865" width="10.85546875" style="163" customWidth="1"/>
    <col min="4866" max="4867" width="13.7109375" style="163" customWidth="1"/>
    <col min="4868" max="4868" width="0.42578125" style="163" customWidth="1"/>
    <col min="4869" max="4869" width="13.7109375" style="163" customWidth="1"/>
    <col min="4870" max="4870" width="10.85546875" style="163" customWidth="1"/>
    <col min="4871" max="4872" width="13.7109375" style="163" customWidth="1"/>
    <col min="4873" max="4873" width="0.42578125" style="163" customWidth="1"/>
    <col min="4874" max="4874" width="13.7109375" style="163" customWidth="1"/>
    <col min="4875" max="4875" width="10.85546875" style="163" customWidth="1"/>
    <col min="4876" max="4877" width="13.7109375" style="163" customWidth="1"/>
    <col min="4878" max="4878" width="9.42578125" style="163" customWidth="1"/>
    <col min="4879" max="4879" width="10.5703125" style="163" customWidth="1"/>
    <col min="4880" max="5111" width="1.85546875" style="163"/>
    <col min="5112" max="5112" width="2.85546875" style="163" customWidth="1"/>
    <col min="5113" max="5113" width="14.140625" style="163" bestFit="1" customWidth="1"/>
    <col min="5114" max="5114" width="29.28515625" style="163" customWidth="1"/>
    <col min="5115" max="5115" width="0.42578125" style="163" customWidth="1"/>
    <col min="5116" max="5116" width="13.7109375" style="163" customWidth="1"/>
    <col min="5117" max="5117" width="10.85546875" style="163" customWidth="1"/>
    <col min="5118" max="5118" width="13.7109375" style="163" customWidth="1"/>
    <col min="5119" max="5119" width="0.42578125" style="163" customWidth="1"/>
    <col min="5120" max="5120" width="13.7109375" style="163" customWidth="1"/>
    <col min="5121" max="5121" width="10.85546875" style="163" customWidth="1"/>
    <col min="5122" max="5123" width="13.7109375" style="163" customWidth="1"/>
    <col min="5124" max="5124" width="0.42578125" style="163" customWidth="1"/>
    <col min="5125" max="5125" width="13.7109375" style="163" customWidth="1"/>
    <col min="5126" max="5126" width="10.85546875" style="163" customWidth="1"/>
    <col min="5127" max="5128" width="13.7109375" style="163" customWidth="1"/>
    <col min="5129" max="5129" width="0.42578125" style="163" customWidth="1"/>
    <col min="5130" max="5130" width="13.7109375" style="163" customWidth="1"/>
    <col min="5131" max="5131" width="10.85546875" style="163" customWidth="1"/>
    <col min="5132" max="5133" width="13.7109375" style="163" customWidth="1"/>
    <col min="5134" max="5134" width="9.42578125" style="163" customWidth="1"/>
    <col min="5135" max="5135" width="10.5703125" style="163" customWidth="1"/>
    <col min="5136" max="5367" width="1.85546875" style="163"/>
    <col min="5368" max="5368" width="2.85546875" style="163" customWidth="1"/>
    <col min="5369" max="5369" width="14.140625" style="163" bestFit="1" customWidth="1"/>
    <col min="5370" max="5370" width="29.28515625" style="163" customWidth="1"/>
    <col min="5371" max="5371" width="0.42578125" style="163" customWidth="1"/>
    <col min="5372" max="5372" width="13.7109375" style="163" customWidth="1"/>
    <col min="5373" max="5373" width="10.85546875" style="163" customWidth="1"/>
    <col min="5374" max="5374" width="13.7109375" style="163" customWidth="1"/>
    <col min="5375" max="5375" width="0.42578125" style="163" customWidth="1"/>
    <col min="5376" max="5376" width="13.7109375" style="163" customWidth="1"/>
    <col min="5377" max="5377" width="10.85546875" style="163" customWidth="1"/>
    <col min="5378" max="5379" width="13.7109375" style="163" customWidth="1"/>
    <col min="5380" max="5380" width="0.42578125" style="163" customWidth="1"/>
    <col min="5381" max="5381" width="13.7109375" style="163" customWidth="1"/>
    <col min="5382" max="5382" width="10.85546875" style="163" customWidth="1"/>
    <col min="5383" max="5384" width="13.7109375" style="163" customWidth="1"/>
    <col min="5385" max="5385" width="0.42578125" style="163" customWidth="1"/>
    <col min="5386" max="5386" width="13.7109375" style="163" customWidth="1"/>
    <col min="5387" max="5387" width="10.85546875" style="163" customWidth="1"/>
    <col min="5388" max="5389" width="13.7109375" style="163" customWidth="1"/>
    <col min="5390" max="5390" width="9.42578125" style="163" customWidth="1"/>
    <col min="5391" max="5391" width="10.5703125" style="163" customWidth="1"/>
    <col min="5392" max="5623" width="1.85546875" style="163"/>
    <col min="5624" max="5624" width="2.85546875" style="163" customWidth="1"/>
    <col min="5625" max="5625" width="14.140625" style="163" bestFit="1" customWidth="1"/>
    <col min="5626" max="5626" width="29.28515625" style="163" customWidth="1"/>
    <col min="5627" max="5627" width="0.42578125" style="163" customWidth="1"/>
    <col min="5628" max="5628" width="13.7109375" style="163" customWidth="1"/>
    <col min="5629" max="5629" width="10.85546875" style="163" customWidth="1"/>
    <col min="5630" max="5630" width="13.7109375" style="163" customWidth="1"/>
    <col min="5631" max="5631" width="0.42578125" style="163" customWidth="1"/>
    <col min="5632" max="5632" width="13.7109375" style="163" customWidth="1"/>
    <col min="5633" max="5633" width="10.85546875" style="163" customWidth="1"/>
    <col min="5634" max="5635" width="13.7109375" style="163" customWidth="1"/>
    <col min="5636" max="5636" width="0.42578125" style="163" customWidth="1"/>
    <col min="5637" max="5637" width="13.7109375" style="163" customWidth="1"/>
    <col min="5638" max="5638" width="10.85546875" style="163" customWidth="1"/>
    <col min="5639" max="5640" width="13.7109375" style="163" customWidth="1"/>
    <col min="5641" max="5641" width="0.42578125" style="163" customWidth="1"/>
    <col min="5642" max="5642" width="13.7109375" style="163" customWidth="1"/>
    <col min="5643" max="5643" width="10.85546875" style="163" customWidth="1"/>
    <col min="5644" max="5645" width="13.7109375" style="163" customWidth="1"/>
    <col min="5646" max="5646" width="9.42578125" style="163" customWidth="1"/>
    <col min="5647" max="5647" width="10.5703125" style="163" customWidth="1"/>
    <col min="5648" max="5879" width="1.85546875" style="163"/>
    <col min="5880" max="5880" width="2.85546875" style="163" customWidth="1"/>
    <col min="5881" max="5881" width="14.140625" style="163" bestFit="1" customWidth="1"/>
    <col min="5882" max="5882" width="29.28515625" style="163" customWidth="1"/>
    <col min="5883" max="5883" width="0.42578125" style="163" customWidth="1"/>
    <col min="5884" max="5884" width="13.7109375" style="163" customWidth="1"/>
    <col min="5885" max="5885" width="10.85546875" style="163" customWidth="1"/>
    <col min="5886" max="5886" width="13.7109375" style="163" customWidth="1"/>
    <col min="5887" max="5887" width="0.42578125" style="163" customWidth="1"/>
    <col min="5888" max="5888" width="13.7109375" style="163" customWidth="1"/>
    <col min="5889" max="5889" width="10.85546875" style="163" customWidth="1"/>
    <col min="5890" max="5891" width="13.7109375" style="163" customWidth="1"/>
    <col min="5892" max="5892" width="0.42578125" style="163" customWidth="1"/>
    <col min="5893" max="5893" width="13.7109375" style="163" customWidth="1"/>
    <col min="5894" max="5894" width="10.85546875" style="163" customWidth="1"/>
    <col min="5895" max="5896" width="13.7109375" style="163" customWidth="1"/>
    <col min="5897" max="5897" width="0.42578125" style="163" customWidth="1"/>
    <col min="5898" max="5898" width="13.7109375" style="163" customWidth="1"/>
    <col min="5899" max="5899" width="10.85546875" style="163" customWidth="1"/>
    <col min="5900" max="5901" width="13.7109375" style="163" customWidth="1"/>
    <col min="5902" max="5902" width="9.42578125" style="163" customWidth="1"/>
    <col min="5903" max="5903" width="10.5703125" style="163" customWidth="1"/>
    <col min="5904" max="6135" width="1.85546875" style="163"/>
    <col min="6136" max="6136" width="2.85546875" style="163" customWidth="1"/>
    <col min="6137" max="6137" width="14.140625" style="163" bestFit="1" customWidth="1"/>
    <col min="6138" max="6138" width="29.28515625" style="163" customWidth="1"/>
    <col min="6139" max="6139" width="0.42578125" style="163" customWidth="1"/>
    <col min="6140" max="6140" width="13.7109375" style="163" customWidth="1"/>
    <col min="6141" max="6141" width="10.85546875" style="163" customWidth="1"/>
    <col min="6142" max="6142" width="13.7109375" style="163" customWidth="1"/>
    <col min="6143" max="6143" width="0.42578125" style="163" customWidth="1"/>
    <col min="6144" max="6144" width="13.7109375" style="163" customWidth="1"/>
    <col min="6145" max="6145" width="10.85546875" style="163" customWidth="1"/>
    <col min="6146" max="6147" width="13.7109375" style="163" customWidth="1"/>
    <col min="6148" max="6148" width="0.42578125" style="163" customWidth="1"/>
    <col min="6149" max="6149" width="13.7109375" style="163" customWidth="1"/>
    <col min="6150" max="6150" width="10.85546875" style="163" customWidth="1"/>
    <col min="6151" max="6152" width="13.7109375" style="163" customWidth="1"/>
    <col min="6153" max="6153" width="0.42578125" style="163" customWidth="1"/>
    <col min="6154" max="6154" width="13.7109375" style="163" customWidth="1"/>
    <col min="6155" max="6155" width="10.85546875" style="163" customWidth="1"/>
    <col min="6156" max="6157" width="13.7109375" style="163" customWidth="1"/>
    <col min="6158" max="6158" width="9.42578125" style="163" customWidth="1"/>
    <col min="6159" max="6159" width="10.5703125" style="163" customWidth="1"/>
    <col min="6160" max="6391" width="1.85546875" style="163"/>
    <col min="6392" max="6392" width="2.85546875" style="163" customWidth="1"/>
    <col min="6393" max="6393" width="14.140625" style="163" bestFit="1" customWidth="1"/>
    <col min="6394" max="6394" width="29.28515625" style="163" customWidth="1"/>
    <col min="6395" max="6395" width="0.42578125" style="163" customWidth="1"/>
    <col min="6396" max="6396" width="13.7109375" style="163" customWidth="1"/>
    <col min="6397" max="6397" width="10.85546875" style="163" customWidth="1"/>
    <col min="6398" max="6398" width="13.7109375" style="163" customWidth="1"/>
    <col min="6399" max="6399" width="0.42578125" style="163" customWidth="1"/>
    <col min="6400" max="6400" width="13.7109375" style="163" customWidth="1"/>
    <col min="6401" max="6401" width="10.85546875" style="163" customWidth="1"/>
    <col min="6402" max="6403" width="13.7109375" style="163" customWidth="1"/>
    <col min="6404" max="6404" width="0.42578125" style="163" customWidth="1"/>
    <col min="6405" max="6405" width="13.7109375" style="163" customWidth="1"/>
    <col min="6406" max="6406" width="10.85546875" style="163" customWidth="1"/>
    <col min="6407" max="6408" width="13.7109375" style="163" customWidth="1"/>
    <col min="6409" max="6409" width="0.42578125" style="163" customWidth="1"/>
    <col min="6410" max="6410" width="13.7109375" style="163" customWidth="1"/>
    <col min="6411" max="6411" width="10.85546875" style="163" customWidth="1"/>
    <col min="6412" max="6413" width="13.7109375" style="163" customWidth="1"/>
    <col min="6414" max="6414" width="9.42578125" style="163" customWidth="1"/>
    <col min="6415" max="6415" width="10.5703125" style="163" customWidth="1"/>
    <col min="6416" max="6647" width="1.85546875" style="163"/>
    <col min="6648" max="6648" width="2.85546875" style="163" customWidth="1"/>
    <col min="6649" max="6649" width="14.140625" style="163" bestFit="1" customWidth="1"/>
    <col min="6650" max="6650" width="29.28515625" style="163" customWidth="1"/>
    <col min="6651" max="6651" width="0.42578125" style="163" customWidth="1"/>
    <col min="6652" max="6652" width="13.7109375" style="163" customWidth="1"/>
    <col min="6653" max="6653" width="10.85546875" style="163" customWidth="1"/>
    <col min="6654" max="6654" width="13.7109375" style="163" customWidth="1"/>
    <col min="6655" max="6655" width="0.42578125" style="163" customWidth="1"/>
    <col min="6656" max="6656" width="13.7109375" style="163" customWidth="1"/>
    <col min="6657" max="6657" width="10.85546875" style="163" customWidth="1"/>
    <col min="6658" max="6659" width="13.7109375" style="163" customWidth="1"/>
    <col min="6660" max="6660" width="0.42578125" style="163" customWidth="1"/>
    <col min="6661" max="6661" width="13.7109375" style="163" customWidth="1"/>
    <col min="6662" max="6662" width="10.85546875" style="163" customWidth="1"/>
    <col min="6663" max="6664" width="13.7109375" style="163" customWidth="1"/>
    <col min="6665" max="6665" width="0.42578125" style="163" customWidth="1"/>
    <col min="6666" max="6666" width="13.7109375" style="163" customWidth="1"/>
    <col min="6667" max="6667" width="10.85546875" style="163" customWidth="1"/>
    <col min="6668" max="6669" width="13.7109375" style="163" customWidth="1"/>
    <col min="6670" max="6670" width="9.42578125" style="163" customWidth="1"/>
    <col min="6671" max="6671" width="10.5703125" style="163" customWidth="1"/>
    <col min="6672" max="6903" width="1.85546875" style="163"/>
    <col min="6904" max="6904" width="2.85546875" style="163" customWidth="1"/>
    <col min="6905" max="6905" width="14.140625" style="163" bestFit="1" customWidth="1"/>
    <col min="6906" max="6906" width="29.28515625" style="163" customWidth="1"/>
    <col min="6907" max="6907" width="0.42578125" style="163" customWidth="1"/>
    <col min="6908" max="6908" width="13.7109375" style="163" customWidth="1"/>
    <col min="6909" max="6909" width="10.85546875" style="163" customWidth="1"/>
    <col min="6910" max="6910" width="13.7109375" style="163" customWidth="1"/>
    <col min="6911" max="6911" width="0.42578125" style="163" customWidth="1"/>
    <col min="6912" max="6912" width="13.7109375" style="163" customWidth="1"/>
    <col min="6913" max="6913" width="10.85546875" style="163" customWidth="1"/>
    <col min="6914" max="6915" width="13.7109375" style="163" customWidth="1"/>
    <col min="6916" max="6916" width="0.42578125" style="163" customWidth="1"/>
    <col min="6917" max="6917" width="13.7109375" style="163" customWidth="1"/>
    <col min="6918" max="6918" width="10.85546875" style="163" customWidth="1"/>
    <col min="6919" max="6920" width="13.7109375" style="163" customWidth="1"/>
    <col min="6921" max="6921" width="0.42578125" style="163" customWidth="1"/>
    <col min="6922" max="6922" width="13.7109375" style="163" customWidth="1"/>
    <col min="6923" max="6923" width="10.85546875" style="163" customWidth="1"/>
    <col min="6924" max="6925" width="13.7109375" style="163" customWidth="1"/>
    <col min="6926" max="6926" width="9.42578125" style="163" customWidth="1"/>
    <col min="6927" max="6927" width="10.5703125" style="163" customWidth="1"/>
    <col min="6928" max="7159" width="1.85546875" style="163"/>
    <col min="7160" max="7160" width="2.85546875" style="163" customWidth="1"/>
    <col min="7161" max="7161" width="14.140625" style="163" bestFit="1" customWidth="1"/>
    <col min="7162" max="7162" width="29.28515625" style="163" customWidth="1"/>
    <col min="7163" max="7163" width="0.42578125" style="163" customWidth="1"/>
    <col min="7164" max="7164" width="13.7109375" style="163" customWidth="1"/>
    <col min="7165" max="7165" width="10.85546875" style="163" customWidth="1"/>
    <col min="7166" max="7166" width="13.7109375" style="163" customWidth="1"/>
    <col min="7167" max="7167" width="0.42578125" style="163" customWidth="1"/>
    <col min="7168" max="7168" width="13.7109375" style="163" customWidth="1"/>
    <col min="7169" max="7169" width="10.85546875" style="163" customWidth="1"/>
    <col min="7170" max="7171" width="13.7109375" style="163" customWidth="1"/>
    <col min="7172" max="7172" width="0.42578125" style="163" customWidth="1"/>
    <col min="7173" max="7173" width="13.7109375" style="163" customWidth="1"/>
    <col min="7174" max="7174" width="10.85546875" style="163" customWidth="1"/>
    <col min="7175" max="7176" width="13.7109375" style="163" customWidth="1"/>
    <col min="7177" max="7177" width="0.42578125" style="163" customWidth="1"/>
    <col min="7178" max="7178" width="13.7109375" style="163" customWidth="1"/>
    <col min="7179" max="7179" width="10.85546875" style="163" customWidth="1"/>
    <col min="7180" max="7181" width="13.7109375" style="163" customWidth="1"/>
    <col min="7182" max="7182" width="9.42578125" style="163" customWidth="1"/>
    <col min="7183" max="7183" width="10.5703125" style="163" customWidth="1"/>
    <col min="7184" max="7415" width="1.85546875" style="163"/>
    <col min="7416" max="7416" width="2.85546875" style="163" customWidth="1"/>
    <col min="7417" max="7417" width="14.140625" style="163" bestFit="1" customWidth="1"/>
    <col min="7418" max="7418" width="29.28515625" style="163" customWidth="1"/>
    <col min="7419" max="7419" width="0.42578125" style="163" customWidth="1"/>
    <col min="7420" max="7420" width="13.7109375" style="163" customWidth="1"/>
    <col min="7421" max="7421" width="10.85546875" style="163" customWidth="1"/>
    <col min="7422" max="7422" width="13.7109375" style="163" customWidth="1"/>
    <col min="7423" max="7423" width="0.42578125" style="163" customWidth="1"/>
    <col min="7424" max="7424" width="13.7109375" style="163" customWidth="1"/>
    <col min="7425" max="7425" width="10.85546875" style="163" customWidth="1"/>
    <col min="7426" max="7427" width="13.7109375" style="163" customWidth="1"/>
    <col min="7428" max="7428" width="0.42578125" style="163" customWidth="1"/>
    <col min="7429" max="7429" width="13.7109375" style="163" customWidth="1"/>
    <col min="7430" max="7430" width="10.85546875" style="163" customWidth="1"/>
    <col min="7431" max="7432" width="13.7109375" style="163" customWidth="1"/>
    <col min="7433" max="7433" width="0.42578125" style="163" customWidth="1"/>
    <col min="7434" max="7434" width="13.7109375" style="163" customWidth="1"/>
    <col min="7435" max="7435" width="10.85546875" style="163" customWidth="1"/>
    <col min="7436" max="7437" width="13.7109375" style="163" customWidth="1"/>
    <col min="7438" max="7438" width="9.42578125" style="163" customWidth="1"/>
    <col min="7439" max="7439" width="10.5703125" style="163" customWidth="1"/>
    <col min="7440" max="7671" width="1.85546875" style="163"/>
    <col min="7672" max="7672" width="2.85546875" style="163" customWidth="1"/>
    <col min="7673" max="7673" width="14.140625" style="163" bestFit="1" customWidth="1"/>
    <col min="7674" max="7674" width="29.28515625" style="163" customWidth="1"/>
    <col min="7675" max="7675" width="0.42578125" style="163" customWidth="1"/>
    <col min="7676" max="7676" width="13.7109375" style="163" customWidth="1"/>
    <col min="7677" max="7677" width="10.85546875" style="163" customWidth="1"/>
    <col min="7678" max="7678" width="13.7109375" style="163" customWidth="1"/>
    <col min="7679" max="7679" width="0.42578125" style="163" customWidth="1"/>
    <col min="7680" max="7680" width="13.7109375" style="163" customWidth="1"/>
    <col min="7681" max="7681" width="10.85546875" style="163" customWidth="1"/>
    <col min="7682" max="7683" width="13.7109375" style="163" customWidth="1"/>
    <col min="7684" max="7684" width="0.42578125" style="163" customWidth="1"/>
    <col min="7685" max="7685" width="13.7109375" style="163" customWidth="1"/>
    <col min="7686" max="7686" width="10.85546875" style="163" customWidth="1"/>
    <col min="7687" max="7688" width="13.7109375" style="163" customWidth="1"/>
    <col min="7689" max="7689" width="0.42578125" style="163" customWidth="1"/>
    <col min="7690" max="7690" width="13.7109375" style="163" customWidth="1"/>
    <col min="7691" max="7691" width="10.85546875" style="163" customWidth="1"/>
    <col min="7692" max="7693" width="13.7109375" style="163" customWidth="1"/>
    <col min="7694" max="7694" width="9.42578125" style="163" customWidth="1"/>
    <col min="7695" max="7695" width="10.5703125" style="163" customWidth="1"/>
    <col min="7696" max="7927" width="1.85546875" style="163"/>
    <col min="7928" max="7928" width="2.85546875" style="163" customWidth="1"/>
    <col min="7929" max="7929" width="14.140625" style="163" bestFit="1" customWidth="1"/>
    <col min="7930" max="7930" width="29.28515625" style="163" customWidth="1"/>
    <col min="7931" max="7931" width="0.42578125" style="163" customWidth="1"/>
    <col min="7932" max="7932" width="13.7109375" style="163" customWidth="1"/>
    <col min="7933" max="7933" width="10.85546875" style="163" customWidth="1"/>
    <col min="7934" max="7934" width="13.7109375" style="163" customWidth="1"/>
    <col min="7935" max="7935" width="0.42578125" style="163" customWidth="1"/>
    <col min="7936" max="7936" width="13.7109375" style="163" customWidth="1"/>
    <col min="7937" max="7937" width="10.85546875" style="163" customWidth="1"/>
    <col min="7938" max="7939" width="13.7109375" style="163" customWidth="1"/>
    <col min="7940" max="7940" width="0.42578125" style="163" customWidth="1"/>
    <col min="7941" max="7941" width="13.7109375" style="163" customWidth="1"/>
    <col min="7942" max="7942" width="10.85546875" style="163" customWidth="1"/>
    <col min="7943" max="7944" width="13.7109375" style="163" customWidth="1"/>
    <col min="7945" max="7945" width="0.42578125" style="163" customWidth="1"/>
    <col min="7946" max="7946" width="13.7109375" style="163" customWidth="1"/>
    <col min="7947" max="7947" width="10.85546875" style="163" customWidth="1"/>
    <col min="7948" max="7949" width="13.7109375" style="163" customWidth="1"/>
    <col min="7950" max="7950" width="9.42578125" style="163" customWidth="1"/>
    <col min="7951" max="7951" width="10.5703125" style="163" customWidth="1"/>
    <col min="7952" max="8183" width="1.85546875" style="163"/>
    <col min="8184" max="8184" width="2.85546875" style="163" customWidth="1"/>
    <col min="8185" max="8185" width="14.140625" style="163" bestFit="1" customWidth="1"/>
    <col min="8186" max="8186" width="29.28515625" style="163" customWidth="1"/>
    <col min="8187" max="8187" width="0.42578125" style="163" customWidth="1"/>
    <col min="8188" max="8188" width="13.7109375" style="163" customWidth="1"/>
    <col min="8189" max="8189" width="10.85546875" style="163" customWidth="1"/>
    <col min="8190" max="8190" width="13.7109375" style="163" customWidth="1"/>
    <col min="8191" max="8191" width="0.42578125" style="163" customWidth="1"/>
    <col min="8192" max="8192" width="13.7109375" style="163" customWidth="1"/>
    <col min="8193" max="8193" width="10.85546875" style="163" customWidth="1"/>
    <col min="8194" max="8195" width="13.7109375" style="163" customWidth="1"/>
    <col min="8196" max="8196" width="0.42578125" style="163" customWidth="1"/>
    <col min="8197" max="8197" width="13.7109375" style="163" customWidth="1"/>
    <col min="8198" max="8198" width="10.85546875" style="163" customWidth="1"/>
    <col min="8199" max="8200" width="13.7109375" style="163" customWidth="1"/>
    <col min="8201" max="8201" width="0.42578125" style="163" customWidth="1"/>
    <col min="8202" max="8202" width="13.7109375" style="163" customWidth="1"/>
    <col min="8203" max="8203" width="10.85546875" style="163" customWidth="1"/>
    <col min="8204" max="8205" width="13.7109375" style="163" customWidth="1"/>
    <col min="8206" max="8206" width="9.42578125" style="163" customWidth="1"/>
    <col min="8207" max="8207" width="10.5703125" style="163" customWidth="1"/>
    <col min="8208" max="8439" width="1.85546875" style="163"/>
    <col min="8440" max="8440" width="2.85546875" style="163" customWidth="1"/>
    <col min="8441" max="8441" width="14.140625" style="163" bestFit="1" customWidth="1"/>
    <col min="8442" max="8442" width="29.28515625" style="163" customWidth="1"/>
    <col min="8443" max="8443" width="0.42578125" style="163" customWidth="1"/>
    <col min="8444" max="8444" width="13.7109375" style="163" customWidth="1"/>
    <col min="8445" max="8445" width="10.85546875" style="163" customWidth="1"/>
    <col min="8446" max="8446" width="13.7109375" style="163" customWidth="1"/>
    <col min="8447" max="8447" width="0.42578125" style="163" customWidth="1"/>
    <col min="8448" max="8448" width="13.7109375" style="163" customWidth="1"/>
    <col min="8449" max="8449" width="10.85546875" style="163" customWidth="1"/>
    <col min="8450" max="8451" width="13.7109375" style="163" customWidth="1"/>
    <col min="8452" max="8452" width="0.42578125" style="163" customWidth="1"/>
    <col min="8453" max="8453" width="13.7109375" style="163" customWidth="1"/>
    <col min="8454" max="8454" width="10.85546875" style="163" customWidth="1"/>
    <col min="8455" max="8456" width="13.7109375" style="163" customWidth="1"/>
    <col min="8457" max="8457" width="0.42578125" style="163" customWidth="1"/>
    <col min="8458" max="8458" width="13.7109375" style="163" customWidth="1"/>
    <col min="8459" max="8459" width="10.85546875" style="163" customWidth="1"/>
    <col min="8460" max="8461" width="13.7109375" style="163" customWidth="1"/>
    <col min="8462" max="8462" width="9.42578125" style="163" customWidth="1"/>
    <col min="8463" max="8463" width="10.5703125" style="163" customWidth="1"/>
    <col min="8464" max="8695" width="1.85546875" style="163"/>
    <col min="8696" max="8696" width="2.85546875" style="163" customWidth="1"/>
    <col min="8697" max="8697" width="14.140625" style="163" bestFit="1" customWidth="1"/>
    <col min="8698" max="8698" width="29.28515625" style="163" customWidth="1"/>
    <col min="8699" max="8699" width="0.42578125" style="163" customWidth="1"/>
    <col min="8700" max="8700" width="13.7109375" style="163" customWidth="1"/>
    <col min="8701" max="8701" width="10.85546875" style="163" customWidth="1"/>
    <col min="8702" max="8702" width="13.7109375" style="163" customWidth="1"/>
    <col min="8703" max="8703" width="0.42578125" style="163" customWidth="1"/>
    <col min="8704" max="8704" width="13.7109375" style="163" customWidth="1"/>
    <col min="8705" max="8705" width="10.85546875" style="163" customWidth="1"/>
    <col min="8706" max="8707" width="13.7109375" style="163" customWidth="1"/>
    <col min="8708" max="8708" width="0.42578125" style="163" customWidth="1"/>
    <col min="8709" max="8709" width="13.7109375" style="163" customWidth="1"/>
    <col min="8710" max="8710" width="10.85546875" style="163" customWidth="1"/>
    <col min="8711" max="8712" width="13.7109375" style="163" customWidth="1"/>
    <col min="8713" max="8713" width="0.42578125" style="163" customWidth="1"/>
    <col min="8714" max="8714" width="13.7109375" style="163" customWidth="1"/>
    <col min="8715" max="8715" width="10.85546875" style="163" customWidth="1"/>
    <col min="8716" max="8717" width="13.7109375" style="163" customWidth="1"/>
    <col min="8718" max="8718" width="9.42578125" style="163" customWidth="1"/>
    <col min="8719" max="8719" width="10.5703125" style="163" customWidth="1"/>
    <col min="8720" max="8951" width="1.85546875" style="163"/>
    <col min="8952" max="8952" width="2.85546875" style="163" customWidth="1"/>
    <col min="8953" max="8953" width="14.140625" style="163" bestFit="1" customWidth="1"/>
    <col min="8954" max="8954" width="29.28515625" style="163" customWidth="1"/>
    <col min="8955" max="8955" width="0.42578125" style="163" customWidth="1"/>
    <col min="8956" max="8956" width="13.7109375" style="163" customWidth="1"/>
    <col min="8957" max="8957" width="10.85546875" style="163" customWidth="1"/>
    <col min="8958" max="8958" width="13.7109375" style="163" customWidth="1"/>
    <col min="8959" max="8959" width="0.42578125" style="163" customWidth="1"/>
    <col min="8960" max="8960" width="13.7109375" style="163" customWidth="1"/>
    <col min="8961" max="8961" width="10.85546875" style="163" customWidth="1"/>
    <col min="8962" max="8963" width="13.7109375" style="163" customWidth="1"/>
    <col min="8964" max="8964" width="0.42578125" style="163" customWidth="1"/>
    <col min="8965" max="8965" width="13.7109375" style="163" customWidth="1"/>
    <col min="8966" max="8966" width="10.85546875" style="163" customWidth="1"/>
    <col min="8967" max="8968" width="13.7109375" style="163" customWidth="1"/>
    <col min="8969" max="8969" width="0.42578125" style="163" customWidth="1"/>
    <col min="8970" max="8970" width="13.7109375" style="163" customWidth="1"/>
    <col min="8971" max="8971" width="10.85546875" style="163" customWidth="1"/>
    <col min="8972" max="8973" width="13.7109375" style="163" customWidth="1"/>
    <col min="8974" max="8974" width="9.42578125" style="163" customWidth="1"/>
    <col min="8975" max="8975" width="10.5703125" style="163" customWidth="1"/>
    <col min="8976" max="9207" width="1.85546875" style="163"/>
    <col min="9208" max="9208" width="2.85546875" style="163" customWidth="1"/>
    <col min="9209" max="9209" width="14.140625" style="163" bestFit="1" customWidth="1"/>
    <col min="9210" max="9210" width="29.28515625" style="163" customWidth="1"/>
    <col min="9211" max="9211" width="0.42578125" style="163" customWidth="1"/>
    <col min="9212" max="9212" width="13.7109375" style="163" customWidth="1"/>
    <col min="9213" max="9213" width="10.85546875" style="163" customWidth="1"/>
    <col min="9214" max="9214" width="13.7109375" style="163" customWidth="1"/>
    <col min="9215" max="9215" width="0.42578125" style="163" customWidth="1"/>
    <col min="9216" max="9216" width="13.7109375" style="163" customWidth="1"/>
    <col min="9217" max="9217" width="10.85546875" style="163" customWidth="1"/>
    <col min="9218" max="9219" width="13.7109375" style="163" customWidth="1"/>
    <col min="9220" max="9220" width="0.42578125" style="163" customWidth="1"/>
    <col min="9221" max="9221" width="13.7109375" style="163" customWidth="1"/>
    <col min="9222" max="9222" width="10.85546875" style="163" customWidth="1"/>
    <col min="9223" max="9224" width="13.7109375" style="163" customWidth="1"/>
    <col min="9225" max="9225" width="0.42578125" style="163" customWidth="1"/>
    <col min="9226" max="9226" width="13.7109375" style="163" customWidth="1"/>
    <col min="9227" max="9227" width="10.85546875" style="163" customWidth="1"/>
    <col min="9228" max="9229" width="13.7109375" style="163" customWidth="1"/>
    <col min="9230" max="9230" width="9.42578125" style="163" customWidth="1"/>
    <col min="9231" max="9231" width="10.5703125" style="163" customWidth="1"/>
    <col min="9232" max="9463" width="1.85546875" style="163"/>
    <col min="9464" max="9464" width="2.85546875" style="163" customWidth="1"/>
    <col min="9465" max="9465" width="14.140625" style="163" bestFit="1" customWidth="1"/>
    <col min="9466" max="9466" width="29.28515625" style="163" customWidth="1"/>
    <col min="9467" max="9467" width="0.42578125" style="163" customWidth="1"/>
    <col min="9468" max="9468" width="13.7109375" style="163" customWidth="1"/>
    <col min="9469" max="9469" width="10.85546875" style="163" customWidth="1"/>
    <col min="9470" max="9470" width="13.7109375" style="163" customWidth="1"/>
    <col min="9471" max="9471" width="0.42578125" style="163" customWidth="1"/>
    <col min="9472" max="9472" width="13.7109375" style="163" customWidth="1"/>
    <col min="9473" max="9473" width="10.85546875" style="163" customWidth="1"/>
    <col min="9474" max="9475" width="13.7109375" style="163" customWidth="1"/>
    <col min="9476" max="9476" width="0.42578125" style="163" customWidth="1"/>
    <col min="9477" max="9477" width="13.7109375" style="163" customWidth="1"/>
    <col min="9478" max="9478" width="10.85546875" style="163" customWidth="1"/>
    <col min="9479" max="9480" width="13.7109375" style="163" customWidth="1"/>
    <col min="9481" max="9481" width="0.42578125" style="163" customWidth="1"/>
    <col min="9482" max="9482" width="13.7109375" style="163" customWidth="1"/>
    <col min="9483" max="9483" width="10.85546875" style="163" customWidth="1"/>
    <col min="9484" max="9485" width="13.7109375" style="163" customWidth="1"/>
    <col min="9486" max="9486" width="9.42578125" style="163" customWidth="1"/>
    <col min="9487" max="9487" width="10.5703125" style="163" customWidth="1"/>
    <col min="9488" max="9719" width="1.85546875" style="163"/>
    <col min="9720" max="9720" width="2.85546875" style="163" customWidth="1"/>
    <col min="9721" max="9721" width="14.140625" style="163" bestFit="1" customWidth="1"/>
    <col min="9722" max="9722" width="29.28515625" style="163" customWidth="1"/>
    <col min="9723" max="9723" width="0.42578125" style="163" customWidth="1"/>
    <col min="9724" max="9724" width="13.7109375" style="163" customWidth="1"/>
    <col min="9725" max="9725" width="10.85546875" style="163" customWidth="1"/>
    <col min="9726" max="9726" width="13.7109375" style="163" customWidth="1"/>
    <col min="9727" max="9727" width="0.42578125" style="163" customWidth="1"/>
    <col min="9728" max="9728" width="13.7109375" style="163" customWidth="1"/>
    <col min="9729" max="9729" width="10.85546875" style="163" customWidth="1"/>
    <col min="9730" max="9731" width="13.7109375" style="163" customWidth="1"/>
    <col min="9732" max="9732" width="0.42578125" style="163" customWidth="1"/>
    <col min="9733" max="9733" width="13.7109375" style="163" customWidth="1"/>
    <col min="9734" max="9734" width="10.85546875" style="163" customWidth="1"/>
    <col min="9735" max="9736" width="13.7109375" style="163" customWidth="1"/>
    <col min="9737" max="9737" width="0.42578125" style="163" customWidth="1"/>
    <col min="9738" max="9738" width="13.7109375" style="163" customWidth="1"/>
    <col min="9739" max="9739" width="10.85546875" style="163" customWidth="1"/>
    <col min="9740" max="9741" width="13.7109375" style="163" customWidth="1"/>
    <col min="9742" max="9742" width="9.42578125" style="163" customWidth="1"/>
    <col min="9743" max="9743" width="10.5703125" style="163" customWidth="1"/>
    <col min="9744" max="9975" width="1.85546875" style="163"/>
    <col min="9976" max="9976" width="2.85546875" style="163" customWidth="1"/>
    <col min="9977" max="9977" width="14.140625" style="163" bestFit="1" customWidth="1"/>
    <col min="9978" max="9978" width="29.28515625" style="163" customWidth="1"/>
    <col min="9979" max="9979" width="0.42578125" style="163" customWidth="1"/>
    <col min="9980" max="9980" width="13.7109375" style="163" customWidth="1"/>
    <col min="9981" max="9981" width="10.85546875" style="163" customWidth="1"/>
    <col min="9982" max="9982" width="13.7109375" style="163" customWidth="1"/>
    <col min="9983" max="9983" width="0.42578125" style="163" customWidth="1"/>
    <col min="9984" max="9984" width="13.7109375" style="163" customWidth="1"/>
    <col min="9985" max="9985" width="10.85546875" style="163" customWidth="1"/>
    <col min="9986" max="9987" width="13.7109375" style="163" customWidth="1"/>
    <col min="9988" max="9988" width="0.42578125" style="163" customWidth="1"/>
    <col min="9989" max="9989" width="13.7109375" style="163" customWidth="1"/>
    <col min="9990" max="9990" width="10.85546875" style="163" customWidth="1"/>
    <col min="9991" max="9992" width="13.7109375" style="163" customWidth="1"/>
    <col min="9993" max="9993" width="0.42578125" style="163" customWidth="1"/>
    <col min="9994" max="9994" width="13.7109375" style="163" customWidth="1"/>
    <col min="9995" max="9995" width="10.85546875" style="163" customWidth="1"/>
    <col min="9996" max="9997" width="13.7109375" style="163" customWidth="1"/>
    <col min="9998" max="9998" width="9.42578125" style="163" customWidth="1"/>
    <col min="9999" max="9999" width="10.5703125" style="163" customWidth="1"/>
    <col min="10000" max="10231" width="1.85546875" style="163"/>
    <col min="10232" max="10232" width="2.85546875" style="163" customWidth="1"/>
    <col min="10233" max="10233" width="14.140625" style="163" bestFit="1" customWidth="1"/>
    <col min="10234" max="10234" width="29.28515625" style="163" customWidth="1"/>
    <col min="10235" max="10235" width="0.42578125" style="163" customWidth="1"/>
    <col min="10236" max="10236" width="13.7109375" style="163" customWidth="1"/>
    <col min="10237" max="10237" width="10.85546875" style="163" customWidth="1"/>
    <col min="10238" max="10238" width="13.7109375" style="163" customWidth="1"/>
    <col min="10239" max="10239" width="0.42578125" style="163" customWidth="1"/>
    <col min="10240" max="10240" width="13.7109375" style="163" customWidth="1"/>
    <col min="10241" max="10241" width="10.85546875" style="163" customWidth="1"/>
    <col min="10242" max="10243" width="13.7109375" style="163" customWidth="1"/>
    <col min="10244" max="10244" width="0.42578125" style="163" customWidth="1"/>
    <col min="10245" max="10245" width="13.7109375" style="163" customWidth="1"/>
    <col min="10246" max="10246" width="10.85546875" style="163" customWidth="1"/>
    <col min="10247" max="10248" width="13.7109375" style="163" customWidth="1"/>
    <col min="10249" max="10249" width="0.42578125" style="163" customWidth="1"/>
    <col min="10250" max="10250" width="13.7109375" style="163" customWidth="1"/>
    <col min="10251" max="10251" width="10.85546875" style="163" customWidth="1"/>
    <col min="10252" max="10253" width="13.7109375" style="163" customWidth="1"/>
    <col min="10254" max="10254" width="9.42578125" style="163" customWidth="1"/>
    <col min="10255" max="10255" width="10.5703125" style="163" customWidth="1"/>
    <col min="10256" max="10487" width="1.85546875" style="163"/>
    <col min="10488" max="10488" width="2.85546875" style="163" customWidth="1"/>
    <col min="10489" max="10489" width="14.140625" style="163" bestFit="1" customWidth="1"/>
    <col min="10490" max="10490" width="29.28515625" style="163" customWidth="1"/>
    <col min="10491" max="10491" width="0.42578125" style="163" customWidth="1"/>
    <col min="10492" max="10492" width="13.7109375" style="163" customWidth="1"/>
    <col min="10493" max="10493" width="10.85546875" style="163" customWidth="1"/>
    <col min="10494" max="10494" width="13.7109375" style="163" customWidth="1"/>
    <col min="10495" max="10495" width="0.42578125" style="163" customWidth="1"/>
    <col min="10496" max="10496" width="13.7109375" style="163" customWidth="1"/>
    <col min="10497" max="10497" width="10.85546875" style="163" customWidth="1"/>
    <col min="10498" max="10499" width="13.7109375" style="163" customWidth="1"/>
    <col min="10500" max="10500" width="0.42578125" style="163" customWidth="1"/>
    <col min="10501" max="10501" width="13.7109375" style="163" customWidth="1"/>
    <col min="10502" max="10502" width="10.85546875" style="163" customWidth="1"/>
    <col min="10503" max="10504" width="13.7109375" style="163" customWidth="1"/>
    <col min="10505" max="10505" width="0.42578125" style="163" customWidth="1"/>
    <col min="10506" max="10506" width="13.7109375" style="163" customWidth="1"/>
    <col min="10507" max="10507" width="10.85546875" style="163" customWidth="1"/>
    <col min="10508" max="10509" width="13.7109375" style="163" customWidth="1"/>
    <col min="10510" max="10510" width="9.42578125" style="163" customWidth="1"/>
    <col min="10511" max="10511" width="10.5703125" style="163" customWidth="1"/>
    <col min="10512" max="10743" width="1.85546875" style="163"/>
    <col min="10744" max="10744" width="2.85546875" style="163" customWidth="1"/>
    <col min="10745" max="10745" width="14.140625" style="163" bestFit="1" customWidth="1"/>
    <col min="10746" max="10746" width="29.28515625" style="163" customWidth="1"/>
    <col min="10747" max="10747" width="0.42578125" style="163" customWidth="1"/>
    <col min="10748" max="10748" width="13.7109375" style="163" customWidth="1"/>
    <col min="10749" max="10749" width="10.85546875" style="163" customWidth="1"/>
    <col min="10750" max="10750" width="13.7109375" style="163" customWidth="1"/>
    <col min="10751" max="10751" width="0.42578125" style="163" customWidth="1"/>
    <col min="10752" max="10752" width="13.7109375" style="163" customWidth="1"/>
    <col min="10753" max="10753" width="10.85546875" style="163" customWidth="1"/>
    <col min="10754" max="10755" width="13.7109375" style="163" customWidth="1"/>
    <col min="10756" max="10756" width="0.42578125" style="163" customWidth="1"/>
    <col min="10757" max="10757" width="13.7109375" style="163" customWidth="1"/>
    <col min="10758" max="10758" width="10.85546875" style="163" customWidth="1"/>
    <col min="10759" max="10760" width="13.7109375" style="163" customWidth="1"/>
    <col min="10761" max="10761" width="0.42578125" style="163" customWidth="1"/>
    <col min="10762" max="10762" width="13.7109375" style="163" customWidth="1"/>
    <col min="10763" max="10763" width="10.85546875" style="163" customWidth="1"/>
    <col min="10764" max="10765" width="13.7109375" style="163" customWidth="1"/>
    <col min="10766" max="10766" width="9.42578125" style="163" customWidth="1"/>
    <col min="10767" max="10767" width="10.5703125" style="163" customWidth="1"/>
    <col min="10768" max="10999" width="1.85546875" style="163"/>
    <col min="11000" max="11000" width="2.85546875" style="163" customWidth="1"/>
    <col min="11001" max="11001" width="14.140625" style="163" bestFit="1" customWidth="1"/>
    <col min="11002" max="11002" width="29.28515625" style="163" customWidth="1"/>
    <col min="11003" max="11003" width="0.42578125" style="163" customWidth="1"/>
    <col min="11004" max="11004" width="13.7109375" style="163" customWidth="1"/>
    <col min="11005" max="11005" width="10.85546875" style="163" customWidth="1"/>
    <col min="11006" max="11006" width="13.7109375" style="163" customWidth="1"/>
    <col min="11007" max="11007" width="0.42578125" style="163" customWidth="1"/>
    <col min="11008" max="11008" width="13.7109375" style="163" customWidth="1"/>
    <col min="11009" max="11009" width="10.85546875" style="163" customWidth="1"/>
    <col min="11010" max="11011" width="13.7109375" style="163" customWidth="1"/>
    <col min="11012" max="11012" width="0.42578125" style="163" customWidth="1"/>
    <col min="11013" max="11013" width="13.7109375" style="163" customWidth="1"/>
    <col min="11014" max="11014" width="10.85546875" style="163" customWidth="1"/>
    <col min="11015" max="11016" width="13.7109375" style="163" customWidth="1"/>
    <col min="11017" max="11017" width="0.42578125" style="163" customWidth="1"/>
    <col min="11018" max="11018" width="13.7109375" style="163" customWidth="1"/>
    <col min="11019" max="11019" width="10.85546875" style="163" customWidth="1"/>
    <col min="11020" max="11021" width="13.7109375" style="163" customWidth="1"/>
    <col min="11022" max="11022" width="9.42578125" style="163" customWidth="1"/>
    <col min="11023" max="11023" width="10.5703125" style="163" customWidth="1"/>
    <col min="11024" max="11255" width="1.85546875" style="163"/>
    <col min="11256" max="11256" width="2.85546875" style="163" customWidth="1"/>
    <col min="11257" max="11257" width="14.140625" style="163" bestFit="1" customWidth="1"/>
    <col min="11258" max="11258" width="29.28515625" style="163" customWidth="1"/>
    <col min="11259" max="11259" width="0.42578125" style="163" customWidth="1"/>
    <col min="11260" max="11260" width="13.7109375" style="163" customWidth="1"/>
    <col min="11261" max="11261" width="10.85546875" style="163" customWidth="1"/>
    <col min="11262" max="11262" width="13.7109375" style="163" customWidth="1"/>
    <col min="11263" max="11263" width="0.42578125" style="163" customWidth="1"/>
    <col min="11264" max="11264" width="13.7109375" style="163" customWidth="1"/>
    <col min="11265" max="11265" width="10.85546875" style="163" customWidth="1"/>
    <col min="11266" max="11267" width="13.7109375" style="163" customWidth="1"/>
    <col min="11268" max="11268" width="0.42578125" style="163" customWidth="1"/>
    <col min="11269" max="11269" width="13.7109375" style="163" customWidth="1"/>
    <col min="11270" max="11270" width="10.85546875" style="163" customWidth="1"/>
    <col min="11271" max="11272" width="13.7109375" style="163" customWidth="1"/>
    <col min="11273" max="11273" width="0.42578125" style="163" customWidth="1"/>
    <col min="11274" max="11274" width="13.7109375" style="163" customWidth="1"/>
    <col min="11275" max="11275" width="10.85546875" style="163" customWidth="1"/>
    <col min="11276" max="11277" width="13.7109375" style="163" customWidth="1"/>
    <col min="11278" max="11278" width="9.42578125" style="163" customWidth="1"/>
    <col min="11279" max="11279" width="10.5703125" style="163" customWidth="1"/>
    <col min="11280" max="11511" width="1.85546875" style="163"/>
    <col min="11512" max="11512" width="2.85546875" style="163" customWidth="1"/>
    <col min="11513" max="11513" width="14.140625" style="163" bestFit="1" customWidth="1"/>
    <col min="11514" max="11514" width="29.28515625" style="163" customWidth="1"/>
    <col min="11515" max="11515" width="0.42578125" style="163" customWidth="1"/>
    <col min="11516" max="11516" width="13.7109375" style="163" customWidth="1"/>
    <col min="11517" max="11517" width="10.85546875" style="163" customWidth="1"/>
    <col min="11518" max="11518" width="13.7109375" style="163" customWidth="1"/>
    <col min="11519" max="11519" width="0.42578125" style="163" customWidth="1"/>
    <col min="11520" max="11520" width="13.7109375" style="163" customWidth="1"/>
    <col min="11521" max="11521" width="10.85546875" style="163" customWidth="1"/>
    <col min="11522" max="11523" width="13.7109375" style="163" customWidth="1"/>
    <col min="11524" max="11524" width="0.42578125" style="163" customWidth="1"/>
    <col min="11525" max="11525" width="13.7109375" style="163" customWidth="1"/>
    <col min="11526" max="11526" width="10.85546875" style="163" customWidth="1"/>
    <col min="11527" max="11528" width="13.7109375" style="163" customWidth="1"/>
    <col min="11529" max="11529" width="0.42578125" style="163" customWidth="1"/>
    <col min="11530" max="11530" width="13.7109375" style="163" customWidth="1"/>
    <col min="11531" max="11531" width="10.85546875" style="163" customWidth="1"/>
    <col min="11532" max="11533" width="13.7109375" style="163" customWidth="1"/>
    <col min="11534" max="11534" width="9.42578125" style="163" customWidth="1"/>
    <col min="11535" max="11535" width="10.5703125" style="163" customWidth="1"/>
    <col min="11536" max="11767" width="1.85546875" style="163"/>
    <col min="11768" max="11768" width="2.85546875" style="163" customWidth="1"/>
    <col min="11769" max="11769" width="14.140625" style="163" bestFit="1" customWidth="1"/>
    <col min="11770" max="11770" width="29.28515625" style="163" customWidth="1"/>
    <col min="11771" max="11771" width="0.42578125" style="163" customWidth="1"/>
    <col min="11772" max="11772" width="13.7109375" style="163" customWidth="1"/>
    <col min="11773" max="11773" width="10.85546875" style="163" customWidth="1"/>
    <col min="11774" max="11774" width="13.7109375" style="163" customWidth="1"/>
    <col min="11775" max="11775" width="0.42578125" style="163" customWidth="1"/>
    <col min="11776" max="11776" width="13.7109375" style="163" customWidth="1"/>
    <col min="11777" max="11777" width="10.85546875" style="163" customWidth="1"/>
    <col min="11778" max="11779" width="13.7109375" style="163" customWidth="1"/>
    <col min="11780" max="11780" width="0.42578125" style="163" customWidth="1"/>
    <col min="11781" max="11781" width="13.7109375" style="163" customWidth="1"/>
    <col min="11782" max="11782" width="10.85546875" style="163" customWidth="1"/>
    <col min="11783" max="11784" width="13.7109375" style="163" customWidth="1"/>
    <col min="11785" max="11785" width="0.42578125" style="163" customWidth="1"/>
    <col min="11786" max="11786" width="13.7109375" style="163" customWidth="1"/>
    <col min="11787" max="11787" width="10.85546875" style="163" customWidth="1"/>
    <col min="11788" max="11789" width="13.7109375" style="163" customWidth="1"/>
    <col min="11790" max="11790" width="9.42578125" style="163" customWidth="1"/>
    <col min="11791" max="11791" width="10.5703125" style="163" customWidth="1"/>
    <col min="11792" max="12023" width="1.85546875" style="163"/>
    <col min="12024" max="12024" width="2.85546875" style="163" customWidth="1"/>
    <col min="12025" max="12025" width="14.140625" style="163" bestFit="1" customWidth="1"/>
    <col min="12026" max="12026" width="29.28515625" style="163" customWidth="1"/>
    <col min="12027" max="12027" width="0.42578125" style="163" customWidth="1"/>
    <col min="12028" max="12028" width="13.7109375" style="163" customWidth="1"/>
    <col min="12029" max="12029" width="10.85546875" style="163" customWidth="1"/>
    <col min="12030" max="12030" width="13.7109375" style="163" customWidth="1"/>
    <col min="12031" max="12031" width="0.42578125" style="163" customWidth="1"/>
    <col min="12032" max="12032" width="13.7109375" style="163" customWidth="1"/>
    <col min="12033" max="12033" width="10.85546875" style="163" customWidth="1"/>
    <col min="12034" max="12035" width="13.7109375" style="163" customWidth="1"/>
    <col min="12036" max="12036" width="0.42578125" style="163" customWidth="1"/>
    <col min="12037" max="12037" width="13.7109375" style="163" customWidth="1"/>
    <col min="12038" max="12038" width="10.85546875" style="163" customWidth="1"/>
    <col min="12039" max="12040" width="13.7109375" style="163" customWidth="1"/>
    <col min="12041" max="12041" width="0.42578125" style="163" customWidth="1"/>
    <col min="12042" max="12042" width="13.7109375" style="163" customWidth="1"/>
    <col min="12043" max="12043" width="10.85546875" style="163" customWidth="1"/>
    <col min="12044" max="12045" width="13.7109375" style="163" customWidth="1"/>
    <col min="12046" max="12046" width="9.42578125" style="163" customWidth="1"/>
    <col min="12047" max="12047" width="10.5703125" style="163" customWidth="1"/>
    <col min="12048" max="12279" width="1.85546875" style="163"/>
    <col min="12280" max="12280" width="2.85546875" style="163" customWidth="1"/>
    <col min="12281" max="12281" width="14.140625" style="163" bestFit="1" customWidth="1"/>
    <col min="12282" max="12282" width="29.28515625" style="163" customWidth="1"/>
    <col min="12283" max="12283" width="0.42578125" style="163" customWidth="1"/>
    <col min="12284" max="12284" width="13.7109375" style="163" customWidth="1"/>
    <col min="12285" max="12285" width="10.85546875" style="163" customWidth="1"/>
    <col min="12286" max="12286" width="13.7109375" style="163" customWidth="1"/>
    <col min="12287" max="12287" width="0.42578125" style="163" customWidth="1"/>
    <col min="12288" max="12288" width="13.7109375" style="163" customWidth="1"/>
    <col min="12289" max="12289" width="10.85546875" style="163" customWidth="1"/>
    <col min="12290" max="12291" width="13.7109375" style="163" customWidth="1"/>
    <col min="12292" max="12292" width="0.42578125" style="163" customWidth="1"/>
    <col min="12293" max="12293" width="13.7109375" style="163" customWidth="1"/>
    <col min="12294" max="12294" width="10.85546875" style="163" customWidth="1"/>
    <col min="12295" max="12296" width="13.7109375" style="163" customWidth="1"/>
    <col min="12297" max="12297" width="0.42578125" style="163" customWidth="1"/>
    <col min="12298" max="12298" width="13.7109375" style="163" customWidth="1"/>
    <col min="12299" max="12299" width="10.85546875" style="163" customWidth="1"/>
    <col min="12300" max="12301" width="13.7109375" style="163" customWidth="1"/>
    <col min="12302" max="12302" width="9.42578125" style="163" customWidth="1"/>
    <col min="12303" max="12303" width="10.5703125" style="163" customWidth="1"/>
    <col min="12304" max="12535" width="1.85546875" style="163"/>
    <col min="12536" max="12536" width="2.85546875" style="163" customWidth="1"/>
    <col min="12537" max="12537" width="14.140625" style="163" bestFit="1" customWidth="1"/>
    <col min="12538" max="12538" width="29.28515625" style="163" customWidth="1"/>
    <col min="12539" max="12539" width="0.42578125" style="163" customWidth="1"/>
    <col min="12540" max="12540" width="13.7109375" style="163" customWidth="1"/>
    <col min="12541" max="12541" width="10.85546875" style="163" customWidth="1"/>
    <col min="12542" max="12542" width="13.7109375" style="163" customWidth="1"/>
    <col min="12543" max="12543" width="0.42578125" style="163" customWidth="1"/>
    <col min="12544" max="12544" width="13.7109375" style="163" customWidth="1"/>
    <col min="12545" max="12545" width="10.85546875" style="163" customWidth="1"/>
    <col min="12546" max="12547" width="13.7109375" style="163" customWidth="1"/>
    <col min="12548" max="12548" width="0.42578125" style="163" customWidth="1"/>
    <col min="12549" max="12549" width="13.7109375" style="163" customWidth="1"/>
    <col min="12550" max="12550" width="10.85546875" style="163" customWidth="1"/>
    <col min="12551" max="12552" width="13.7109375" style="163" customWidth="1"/>
    <col min="12553" max="12553" width="0.42578125" style="163" customWidth="1"/>
    <col min="12554" max="12554" width="13.7109375" style="163" customWidth="1"/>
    <col min="12555" max="12555" width="10.85546875" style="163" customWidth="1"/>
    <col min="12556" max="12557" width="13.7109375" style="163" customWidth="1"/>
    <col min="12558" max="12558" width="9.42578125" style="163" customWidth="1"/>
    <col min="12559" max="12559" width="10.5703125" style="163" customWidth="1"/>
    <col min="12560" max="12791" width="1.85546875" style="163"/>
    <col min="12792" max="12792" width="2.85546875" style="163" customWidth="1"/>
    <col min="12793" max="12793" width="14.140625" style="163" bestFit="1" customWidth="1"/>
    <col min="12794" max="12794" width="29.28515625" style="163" customWidth="1"/>
    <col min="12795" max="12795" width="0.42578125" style="163" customWidth="1"/>
    <col min="12796" max="12796" width="13.7109375" style="163" customWidth="1"/>
    <col min="12797" max="12797" width="10.85546875" style="163" customWidth="1"/>
    <col min="12798" max="12798" width="13.7109375" style="163" customWidth="1"/>
    <col min="12799" max="12799" width="0.42578125" style="163" customWidth="1"/>
    <col min="12800" max="12800" width="13.7109375" style="163" customWidth="1"/>
    <col min="12801" max="12801" width="10.85546875" style="163" customWidth="1"/>
    <col min="12802" max="12803" width="13.7109375" style="163" customWidth="1"/>
    <col min="12804" max="12804" width="0.42578125" style="163" customWidth="1"/>
    <col min="12805" max="12805" width="13.7109375" style="163" customWidth="1"/>
    <col min="12806" max="12806" width="10.85546875" style="163" customWidth="1"/>
    <col min="12807" max="12808" width="13.7109375" style="163" customWidth="1"/>
    <col min="12809" max="12809" width="0.42578125" style="163" customWidth="1"/>
    <col min="12810" max="12810" width="13.7109375" style="163" customWidth="1"/>
    <col min="12811" max="12811" width="10.85546875" style="163" customWidth="1"/>
    <col min="12812" max="12813" width="13.7109375" style="163" customWidth="1"/>
    <col min="12814" max="12814" width="9.42578125" style="163" customWidth="1"/>
    <col min="12815" max="12815" width="10.5703125" style="163" customWidth="1"/>
    <col min="12816" max="13047" width="1.85546875" style="163"/>
    <col min="13048" max="13048" width="2.85546875" style="163" customWidth="1"/>
    <col min="13049" max="13049" width="14.140625" style="163" bestFit="1" customWidth="1"/>
    <col min="13050" max="13050" width="29.28515625" style="163" customWidth="1"/>
    <col min="13051" max="13051" width="0.42578125" style="163" customWidth="1"/>
    <col min="13052" max="13052" width="13.7109375" style="163" customWidth="1"/>
    <col min="13053" max="13053" width="10.85546875" style="163" customWidth="1"/>
    <col min="13054" max="13054" width="13.7109375" style="163" customWidth="1"/>
    <col min="13055" max="13055" width="0.42578125" style="163" customWidth="1"/>
    <col min="13056" max="13056" width="13.7109375" style="163" customWidth="1"/>
    <col min="13057" max="13057" width="10.85546875" style="163" customWidth="1"/>
    <col min="13058" max="13059" width="13.7109375" style="163" customWidth="1"/>
    <col min="13060" max="13060" width="0.42578125" style="163" customWidth="1"/>
    <col min="13061" max="13061" width="13.7109375" style="163" customWidth="1"/>
    <col min="13062" max="13062" width="10.85546875" style="163" customWidth="1"/>
    <col min="13063" max="13064" width="13.7109375" style="163" customWidth="1"/>
    <col min="13065" max="13065" width="0.42578125" style="163" customWidth="1"/>
    <col min="13066" max="13066" width="13.7109375" style="163" customWidth="1"/>
    <col min="13067" max="13067" width="10.85546875" style="163" customWidth="1"/>
    <col min="13068" max="13069" width="13.7109375" style="163" customWidth="1"/>
    <col min="13070" max="13070" width="9.42578125" style="163" customWidth="1"/>
    <col min="13071" max="13071" width="10.5703125" style="163" customWidth="1"/>
    <col min="13072" max="13303" width="1.85546875" style="163"/>
    <col min="13304" max="13304" width="2.85546875" style="163" customWidth="1"/>
    <col min="13305" max="13305" width="14.140625" style="163" bestFit="1" customWidth="1"/>
    <col min="13306" max="13306" width="29.28515625" style="163" customWidth="1"/>
    <col min="13307" max="13307" width="0.42578125" style="163" customWidth="1"/>
    <col min="13308" max="13308" width="13.7109375" style="163" customWidth="1"/>
    <col min="13309" max="13309" width="10.85546875" style="163" customWidth="1"/>
    <col min="13310" max="13310" width="13.7109375" style="163" customWidth="1"/>
    <col min="13311" max="13311" width="0.42578125" style="163" customWidth="1"/>
    <col min="13312" max="13312" width="13.7109375" style="163" customWidth="1"/>
    <col min="13313" max="13313" width="10.85546875" style="163" customWidth="1"/>
    <col min="13314" max="13315" width="13.7109375" style="163" customWidth="1"/>
    <col min="13316" max="13316" width="0.42578125" style="163" customWidth="1"/>
    <col min="13317" max="13317" width="13.7109375" style="163" customWidth="1"/>
    <col min="13318" max="13318" width="10.85546875" style="163" customWidth="1"/>
    <col min="13319" max="13320" width="13.7109375" style="163" customWidth="1"/>
    <col min="13321" max="13321" width="0.42578125" style="163" customWidth="1"/>
    <col min="13322" max="13322" width="13.7109375" style="163" customWidth="1"/>
    <col min="13323" max="13323" width="10.85546875" style="163" customWidth="1"/>
    <col min="13324" max="13325" width="13.7109375" style="163" customWidth="1"/>
    <col min="13326" max="13326" width="9.42578125" style="163" customWidth="1"/>
    <col min="13327" max="13327" width="10.5703125" style="163" customWidth="1"/>
    <col min="13328" max="13559" width="1.85546875" style="163"/>
    <col min="13560" max="13560" width="2.85546875" style="163" customWidth="1"/>
    <col min="13561" max="13561" width="14.140625" style="163" bestFit="1" customWidth="1"/>
    <col min="13562" max="13562" width="29.28515625" style="163" customWidth="1"/>
    <col min="13563" max="13563" width="0.42578125" style="163" customWidth="1"/>
    <col min="13564" max="13564" width="13.7109375" style="163" customWidth="1"/>
    <col min="13565" max="13565" width="10.85546875" style="163" customWidth="1"/>
    <col min="13566" max="13566" width="13.7109375" style="163" customWidth="1"/>
    <col min="13567" max="13567" width="0.42578125" style="163" customWidth="1"/>
    <col min="13568" max="13568" width="13.7109375" style="163" customWidth="1"/>
    <col min="13569" max="13569" width="10.85546875" style="163" customWidth="1"/>
    <col min="13570" max="13571" width="13.7109375" style="163" customWidth="1"/>
    <col min="13572" max="13572" width="0.42578125" style="163" customWidth="1"/>
    <col min="13573" max="13573" width="13.7109375" style="163" customWidth="1"/>
    <col min="13574" max="13574" width="10.85546875" style="163" customWidth="1"/>
    <col min="13575" max="13576" width="13.7109375" style="163" customWidth="1"/>
    <col min="13577" max="13577" width="0.42578125" style="163" customWidth="1"/>
    <col min="13578" max="13578" width="13.7109375" style="163" customWidth="1"/>
    <col min="13579" max="13579" width="10.85546875" style="163" customWidth="1"/>
    <col min="13580" max="13581" width="13.7109375" style="163" customWidth="1"/>
    <col min="13582" max="13582" width="9.42578125" style="163" customWidth="1"/>
    <col min="13583" max="13583" width="10.5703125" style="163" customWidth="1"/>
    <col min="13584" max="13815" width="1.85546875" style="163"/>
    <col min="13816" max="13816" width="2.85546875" style="163" customWidth="1"/>
    <col min="13817" max="13817" width="14.140625" style="163" bestFit="1" customWidth="1"/>
    <col min="13818" max="13818" width="29.28515625" style="163" customWidth="1"/>
    <col min="13819" max="13819" width="0.42578125" style="163" customWidth="1"/>
    <col min="13820" max="13820" width="13.7109375" style="163" customWidth="1"/>
    <col min="13821" max="13821" width="10.85546875" style="163" customWidth="1"/>
    <col min="13822" max="13822" width="13.7109375" style="163" customWidth="1"/>
    <col min="13823" max="13823" width="0.42578125" style="163" customWidth="1"/>
    <col min="13824" max="13824" width="13.7109375" style="163" customWidth="1"/>
    <col min="13825" max="13825" width="10.85546875" style="163" customWidth="1"/>
    <col min="13826" max="13827" width="13.7109375" style="163" customWidth="1"/>
    <col min="13828" max="13828" width="0.42578125" style="163" customWidth="1"/>
    <col min="13829" max="13829" width="13.7109375" style="163" customWidth="1"/>
    <col min="13830" max="13830" width="10.85546875" style="163" customWidth="1"/>
    <col min="13831" max="13832" width="13.7109375" style="163" customWidth="1"/>
    <col min="13833" max="13833" width="0.42578125" style="163" customWidth="1"/>
    <col min="13834" max="13834" width="13.7109375" style="163" customWidth="1"/>
    <col min="13835" max="13835" width="10.85546875" style="163" customWidth="1"/>
    <col min="13836" max="13837" width="13.7109375" style="163" customWidth="1"/>
    <col min="13838" max="13838" width="9.42578125" style="163" customWidth="1"/>
    <col min="13839" max="13839" width="10.5703125" style="163" customWidth="1"/>
    <col min="13840" max="14071" width="1.85546875" style="163"/>
    <col min="14072" max="14072" width="2.85546875" style="163" customWidth="1"/>
    <col min="14073" max="14073" width="14.140625" style="163" bestFit="1" customWidth="1"/>
    <col min="14074" max="14074" width="29.28515625" style="163" customWidth="1"/>
    <col min="14075" max="14075" width="0.42578125" style="163" customWidth="1"/>
    <col min="14076" max="14076" width="13.7109375" style="163" customWidth="1"/>
    <col min="14077" max="14077" width="10.85546875" style="163" customWidth="1"/>
    <col min="14078" max="14078" width="13.7109375" style="163" customWidth="1"/>
    <col min="14079" max="14079" width="0.42578125" style="163" customWidth="1"/>
    <col min="14080" max="14080" width="13.7109375" style="163" customWidth="1"/>
    <col min="14081" max="14081" width="10.85546875" style="163" customWidth="1"/>
    <col min="14082" max="14083" width="13.7109375" style="163" customWidth="1"/>
    <col min="14084" max="14084" width="0.42578125" style="163" customWidth="1"/>
    <col min="14085" max="14085" width="13.7109375" style="163" customWidth="1"/>
    <col min="14086" max="14086" width="10.85546875" style="163" customWidth="1"/>
    <col min="14087" max="14088" width="13.7109375" style="163" customWidth="1"/>
    <col min="14089" max="14089" width="0.42578125" style="163" customWidth="1"/>
    <col min="14090" max="14090" width="13.7109375" style="163" customWidth="1"/>
    <col min="14091" max="14091" width="10.85546875" style="163" customWidth="1"/>
    <col min="14092" max="14093" width="13.7109375" style="163" customWidth="1"/>
    <col min="14094" max="14094" width="9.42578125" style="163" customWidth="1"/>
    <col min="14095" max="14095" width="10.5703125" style="163" customWidth="1"/>
    <col min="14096" max="14327" width="1.85546875" style="163"/>
    <col min="14328" max="14328" width="2.85546875" style="163" customWidth="1"/>
    <col min="14329" max="14329" width="14.140625" style="163" bestFit="1" customWidth="1"/>
    <col min="14330" max="14330" width="29.28515625" style="163" customWidth="1"/>
    <col min="14331" max="14331" width="0.42578125" style="163" customWidth="1"/>
    <col min="14332" max="14332" width="13.7109375" style="163" customWidth="1"/>
    <col min="14333" max="14333" width="10.85546875" style="163" customWidth="1"/>
    <col min="14334" max="14334" width="13.7109375" style="163" customWidth="1"/>
    <col min="14335" max="14335" width="0.42578125" style="163" customWidth="1"/>
    <col min="14336" max="14336" width="13.7109375" style="163" customWidth="1"/>
    <col min="14337" max="14337" width="10.85546875" style="163" customWidth="1"/>
    <col min="14338" max="14339" width="13.7109375" style="163" customWidth="1"/>
    <col min="14340" max="14340" width="0.42578125" style="163" customWidth="1"/>
    <col min="14341" max="14341" width="13.7109375" style="163" customWidth="1"/>
    <col min="14342" max="14342" width="10.85546875" style="163" customWidth="1"/>
    <col min="14343" max="14344" width="13.7109375" style="163" customWidth="1"/>
    <col min="14345" max="14345" width="0.42578125" style="163" customWidth="1"/>
    <col min="14346" max="14346" width="13.7109375" style="163" customWidth="1"/>
    <col min="14347" max="14347" width="10.85546875" style="163" customWidth="1"/>
    <col min="14348" max="14349" width="13.7109375" style="163" customWidth="1"/>
    <col min="14350" max="14350" width="9.42578125" style="163" customWidth="1"/>
    <col min="14351" max="14351" width="10.5703125" style="163" customWidth="1"/>
    <col min="14352" max="14583" width="1.85546875" style="163"/>
    <col min="14584" max="14584" width="2.85546875" style="163" customWidth="1"/>
    <col min="14585" max="14585" width="14.140625" style="163" bestFit="1" customWidth="1"/>
    <col min="14586" max="14586" width="29.28515625" style="163" customWidth="1"/>
    <col min="14587" max="14587" width="0.42578125" style="163" customWidth="1"/>
    <col min="14588" max="14588" width="13.7109375" style="163" customWidth="1"/>
    <col min="14589" max="14589" width="10.85546875" style="163" customWidth="1"/>
    <col min="14590" max="14590" width="13.7109375" style="163" customWidth="1"/>
    <col min="14591" max="14591" width="0.42578125" style="163" customWidth="1"/>
    <col min="14592" max="14592" width="13.7109375" style="163" customWidth="1"/>
    <col min="14593" max="14593" width="10.85546875" style="163" customWidth="1"/>
    <col min="14594" max="14595" width="13.7109375" style="163" customWidth="1"/>
    <col min="14596" max="14596" width="0.42578125" style="163" customWidth="1"/>
    <col min="14597" max="14597" width="13.7109375" style="163" customWidth="1"/>
    <col min="14598" max="14598" width="10.85546875" style="163" customWidth="1"/>
    <col min="14599" max="14600" width="13.7109375" style="163" customWidth="1"/>
    <col min="14601" max="14601" width="0.42578125" style="163" customWidth="1"/>
    <col min="14602" max="14602" width="13.7109375" style="163" customWidth="1"/>
    <col min="14603" max="14603" width="10.85546875" style="163" customWidth="1"/>
    <col min="14604" max="14605" width="13.7109375" style="163" customWidth="1"/>
    <col min="14606" max="14606" width="9.42578125" style="163" customWidth="1"/>
    <col min="14607" max="14607" width="10.5703125" style="163" customWidth="1"/>
    <col min="14608" max="14839" width="1.85546875" style="163"/>
    <col min="14840" max="14840" width="2.85546875" style="163" customWidth="1"/>
    <col min="14841" max="14841" width="14.140625" style="163" bestFit="1" customWidth="1"/>
    <col min="14842" max="14842" width="29.28515625" style="163" customWidth="1"/>
    <col min="14843" max="14843" width="0.42578125" style="163" customWidth="1"/>
    <col min="14844" max="14844" width="13.7109375" style="163" customWidth="1"/>
    <col min="14845" max="14845" width="10.85546875" style="163" customWidth="1"/>
    <col min="14846" max="14846" width="13.7109375" style="163" customWidth="1"/>
    <col min="14847" max="14847" width="0.42578125" style="163" customWidth="1"/>
    <col min="14848" max="14848" width="13.7109375" style="163" customWidth="1"/>
    <col min="14849" max="14849" width="10.85546875" style="163" customWidth="1"/>
    <col min="14850" max="14851" width="13.7109375" style="163" customWidth="1"/>
    <col min="14852" max="14852" width="0.42578125" style="163" customWidth="1"/>
    <col min="14853" max="14853" width="13.7109375" style="163" customWidth="1"/>
    <col min="14854" max="14854" width="10.85546875" style="163" customWidth="1"/>
    <col min="14855" max="14856" width="13.7109375" style="163" customWidth="1"/>
    <col min="14857" max="14857" width="0.42578125" style="163" customWidth="1"/>
    <col min="14858" max="14858" width="13.7109375" style="163" customWidth="1"/>
    <col min="14859" max="14859" width="10.85546875" style="163" customWidth="1"/>
    <col min="14860" max="14861" width="13.7109375" style="163" customWidth="1"/>
    <col min="14862" max="14862" width="9.42578125" style="163" customWidth="1"/>
    <col min="14863" max="14863" width="10.5703125" style="163" customWidth="1"/>
    <col min="14864" max="15095" width="1.85546875" style="163"/>
    <col min="15096" max="15096" width="2.85546875" style="163" customWidth="1"/>
    <col min="15097" max="15097" width="14.140625" style="163" bestFit="1" customWidth="1"/>
    <col min="15098" max="15098" width="29.28515625" style="163" customWidth="1"/>
    <col min="15099" max="15099" width="0.42578125" style="163" customWidth="1"/>
    <col min="15100" max="15100" width="13.7109375" style="163" customWidth="1"/>
    <col min="15101" max="15101" width="10.85546875" style="163" customWidth="1"/>
    <col min="15102" max="15102" width="13.7109375" style="163" customWidth="1"/>
    <col min="15103" max="15103" width="0.42578125" style="163" customWidth="1"/>
    <col min="15104" max="15104" width="13.7109375" style="163" customWidth="1"/>
    <col min="15105" max="15105" width="10.85546875" style="163" customWidth="1"/>
    <col min="15106" max="15107" width="13.7109375" style="163" customWidth="1"/>
    <col min="15108" max="15108" width="0.42578125" style="163" customWidth="1"/>
    <col min="15109" max="15109" width="13.7109375" style="163" customWidth="1"/>
    <col min="15110" max="15110" width="10.85546875" style="163" customWidth="1"/>
    <col min="15111" max="15112" width="13.7109375" style="163" customWidth="1"/>
    <col min="15113" max="15113" width="0.42578125" style="163" customWidth="1"/>
    <col min="15114" max="15114" width="13.7109375" style="163" customWidth="1"/>
    <col min="15115" max="15115" width="10.85546875" style="163" customWidth="1"/>
    <col min="15116" max="15117" width="13.7109375" style="163" customWidth="1"/>
    <col min="15118" max="15118" width="9.42578125" style="163" customWidth="1"/>
    <col min="15119" max="15119" width="10.5703125" style="163" customWidth="1"/>
    <col min="15120" max="15351" width="1.85546875" style="163"/>
    <col min="15352" max="15352" width="2.85546875" style="163" customWidth="1"/>
    <col min="15353" max="15353" width="14.140625" style="163" bestFit="1" customWidth="1"/>
    <col min="15354" max="15354" width="29.28515625" style="163" customWidth="1"/>
    <col min="15355" max="15355" width="0.42578125" style="163" customWidth="1"/>
    <col min="15356" max="15356" width="13.7109375" style="163" customWidth="1"/>
    <col min="15357" max="15357" width="10.85546875" style="163" customWidth="1"/>
    <col min="15358" max="15358" width="13.7109375" style="163" customWidth="1"/>
    <col min="15359" max="15359" width="0.42578125" style="163" customWidth="1"/>
    <col min="15360" max="15360" width="13.7109375" style="163" customWidth="1"/>
    <col min="15361" max="15361" width="10.85546875" style="163" customWidth="1"/>
    <col min="15362" max="15363" width="13.7109375" style="163" customWidth="1"/>
    <col min="15364" max="15364" width="0.42578125" style="163" customWidth="1"/>
    <col min="15365" max="15365" width="13.7109375" style="163" customWidth="1"/>
    <col min="15366" max="15366" width="10.85546875" style="163" customWidth="1"/>
    <col min="15367" max="15368" width="13.7109375" style="163" customWidth="1"/>
    <col min="15369" max="15369" width="0.42578125" style="163" customWidth="1"/>
    <col min="15370" max="15370" width="13.7109375" style="163" customWidth="1"/>
    <col min="15371" max="15371" width="10.85546875" style="163" customWidth="1"/>
    <col min="15372" max="15373" width="13.7109375" style="163" customWidth="1"/>
    <col min="15374" max="15374" width="9.42578125" style="163" customWidth="1"/>
    <col min="15375" max="15375" width="10.5703125" style="163" customWidth="1"/>
    <col min="15376" max="15607" width="1.85546875" style="163"/>
    <col min="15608" max="15608" width="2.85546875" style="163" customWidth="1"/>
    <col min="15609" max="15609" width="14.140625" style="163" bestFit="1" customWidth="1"/>
    <col min="15610" max="15610" width="29.28515625" style="163" customWidth="1"/>
    <col min="15611" max="15611" width="0.42578125" style="163" customWidth="1"/>
    <col min="15612" max="15612" width="13.7109375" style="163" customWidth="1"/>
    <col min="15613" max="15613" width="10.85546875" style="163" customWidth="1"/>
    <col min="15614" max="15614" width="13.7109375" style="163" customWidth="1"/>
    <col min="15615" max="15615" width="0.42578125" style="163" customWidth="1"/>
    <col min="15616" max="15616" width="13.7109375" style="163" customWidth="1"/>
    <col min="15617" max="15617" width="10.85546875" style="163" customWidth="1"/>
    <col min="15618" max="15619" width="13.7109375" style="163" customWidth="1"/>
    <col min="15620" max="15620" width="0.42578125" style="163" customWidth="1"/>
    <col min="15621" max="15621" width="13.7109375" style="163" customWidth="1"/>
    <col min="15622" max="15622" width="10.85546875" style="163" customWidth="1"/>
    <col min="15623" max="15624" width="13.7109375" style="163" customWidth="1"/>
    <col min="15625" max="15625" width="0.42578125" style="163" customWidth="1"/>
    <col min="15626" max="15626" width="13.7109375" style="163" customWidth="1"/>
    <col min="15627" max="15627" width="10.85546875" style="163" customWidth="1"/>
    <col min="15628" max="15629" width="13.7109375" style="163" customWidth="1"/>
    <col min="15630" max="15630" width="9.42578125" style="163" customWidth="1"/>
    <col min="15631" max="15631" width="10.5703125" style="163" customWidth="1"/>
    <col min="15632" max="15863" width="1.85546875" style="163"/>
    <col min="15864" max="15864" width="2.85546875" style="163" customWidth="1"/>
    <col min="15865" max="15865" width="14.140625" style="163" bestFit="1" customWidth="1"/>
    <col min="15866" max="15866" width="29.28515625" style="163" customWidth="1"/>
    <col min="15867" max="15867" width="0.42578125" style="163" customWidth="1"/>
    <col min="15868" max="15868" width="13.7109375" style="163" customWidth="1"/>
    <col min="15869" max="15869" width="10.85546875" style="163" customWidth="1"/>
    <col min="15870" max="15870" width="13.7109375" style="163" customWidth="1"/>
    <col min="15871" max="15871" width="0.42578125" style="163" customWidth="1"/>
    <col min="15872" max="15872" width="13.7109375" style="163" customWidth="1"/>
    <col min="15873" max="15873" width="10.85546875" style="163" customWidth="1"/>
    <col min="15874" max="15875" width="13.7109375" style="163" customWidth="1"/>
    <col min="15876" max="15876" width="0.42578125" style="163" customWidth="1"/>
    <col min="15877" max="15877" width="13.7109375" style="163" customWidth="1"/>
    <col min="15878" max="15878" width="10.85546875" style="163" customWidth="1"/>
    <col min="15879" max="15880" width="13.7109375" style="163" customWidth="1"/>
    <col min="15881" max="15881" width="0.42578125" style="163" customWidth="1"/>
    <col min="15882" max="15882" width="13.7109375" style="163" customWidth="1"/>
    <col min="15883" max="15883" width="10.85546875" style="163" customWidth="1"/>
    <col min="15884" max="15885" width="13.7109375" style="163" customWidth="1"/>
    <col min="15886" max="15886" width="9.42578125" style="163" customWidth="1"/>
    <col min="15887" max="15887" width="10.5703125" style="163" customWidth="1"/>
    <col min="15888" max="16119" width="1.85546875" style="163"/>
    <col min="16120" max="16120" width="2.85546875" style="163" customWidth="1"/>
    <col min="16121" max="16121" width="14.140625" style="163" bestFit="1" customWidth="1"/>
    <col min="16122" max="16122" width="29.28515625" style="163" customWidth="1"/>
    <col min="16123" max="16123" width="0.42578125" style="163" customWidth="1"/>
    <col min="16124" max="16124" width="13.7109375" style="163" customWidth="1"/>
    <col min="16125" max="16125" width="10.85546875" style="163" customWidth="1"/>
    <col min="16126" max="16126" width="13.7109375" style="163" customWidth="1"/>
    <col min="16127" max="16127" width="0.42578125" style="163" customWidth="1"/>
    <col min="16128" max="16128" width="13.7109375" style="163" customWidth="1"/>
    <col min="16129" max="16129" width="10.85546875" style="163" customWidth="1"/>
    <col min="16130" max="16131" width="13.7109375" style="163" customWidth="1"/>
    <col min="16132" max="16132" width="0.42578125" style="163" customWidth="1"/>
    <col min="16133" max="16133" width="13.7109375" style="163" customWidth="1"/>
    <col min="16134" max="16134" width="10.85546875" style="163" customWidth="1"/>
    <col min="16135" max="16136" width="13.7109375" style="163" customWidth="1"/>
    <col min="16137" max="16137" width="0.42578125" style="163" customWidth="1"/>
    <col min="16138" max="16138" width="13.7109375" style="163" customWidth="1"/>
    <col min="16139" max="16139" width="10.85546875" style="163" customWidth="1"/>
    <col min="16140" max="16141" width="13.7109375" style="163" customWidth="1"/>
    <col min="16142" max="16142" width="9.42578125" style="163" customWidth="1"/>
    <col min="16143" max="16143" width="10.5703125" style="163" customWidth="1"/>
    <col min="16144" max="16384" width="1.85546875" style="163"/>
  </cols>
  <sheetData>
    <row r="1" spans="1:15" ht="26.25" customHeight="1" x14ac:dyDescent="0.35">
      <c r="D1" s="1111"/>
      <c r="E1" s="1112"/>
      <c r="G1" s="601">
        <v>2016</v>
      </c>
      <c r="I1" s="601">
        <v>2017</v>
      </c>
      <c r="K1" s="601">
        <v>2018</v>
      </c>
      <c r="M1" s="601">
        <v>2019</v>
      </c>
    </row>
    <row r="2" spans="1:15" ht="49.5" customHeight="1" x14ac:dyDescent="0.2">
      <c r="A2" s="324" t="s">
        <v>1899</v>
      </c>
      <c r="B2" s="162" t="s">
        <v>272</v>
      </c>
      <c r="C2" s="162" t="s">
        <v>1</v>
      </c>
      <c r="D2" s="162" t="s">
        <v>342</v>
      </c>
      <c r="E2" s="162" t="s">
        <v>7</v>
      </c>
      <c r="G2" s="162" t="s">
        <v>1390</v>
      </c>
      <c r="I2" s="162" t="s">
        <v>1390</v>
      </c>
      <c r="K2" s="162" t="s">
        <v>1390</v>
      </c>
      <c r="M2" s="162" t="s">
        <v>1390</v>
      </c>
      <c r="N2" s="162" t="s">
        <v>340</v>
      </c>
      <c r="O2" s="162" t="s">
        <v>6</v>
      </c>
    </row>
    <row r="3" spans="1:15" s="207" customFormat="1" ht="18.75" customHeight="1" x14ac:dyDescent="0.2">
      <c r="A3" s="202"/>
      <c r="B3" s="203"/>
      <c r="C3" s="511" t="s">
        <v>8</v>
      </c>
      <c r="D3" s="204">
        <f>SUM(D4:D40)</f>
        <v>0</v>
      </c>
      <c r="E3" s="204">
        <f>SUM(E4:E40)</f>
        <v>0</v>
      </c>
      <c r="F3" s="600"/>
      <c r="G3" s="204">
        <f>SUM(G4:G40)</f>
        <v>13562835.01</v>
      </c>
      <c r="H3" s="600"/>
      <c r="I3" s="204">
        <f>SUM(I4:I40)</f>
        <v>15588003</v>
      </c>
      <c r="J3" s="600"/>
      <c r="K3" s="204">
        <f>SUM(K4:K40)</f>
        <v>13255354</v>
      </c>
      <c r="L3" s="600"/>
      <c r="M3" s="204">
        <f>SUM(M4:M40)</f>
        <v>13237774</v>
      </c>
      <c r="N3" s="204"/>
      <c r="O3" s="204"/>
    </row>
    <row r="4" spans="1:15" ht="37.5" customHeight="1" x14ac:dyDescent="0.2">
      <c r="A4" s="444">
        <v>1</v>
      </c>
      <c r="B4" s="195">
        <v>580094977</v>
      </c>
      <c r="C4" s="241" t="s">
        <v>1900</v>
      </c>
      <c r="D4" s="602"/>
      <c r="E4" s="602">
        <f t="shared" ref="E4:E33" si="0">SUM(D4:D4)</f>
        <v>0</v>
      </c>
      <c r="G4" s="602">
        <f>1700000+927364</f>
        <v>2627364</v>
      </c>
      <c r="I4" s="602">
        <v>3066830</v>
      </c>
      <c r="K4" s="602">
        <v>1200000</v>
      </c>
      <c r="M4" s="602">
        <v>1386046</v>
      </c>
      <c r="N4" s="435" t="s">
        <v>73</v>
      </c>
      <c r="O4" s="435" t="s">
        <v>136</v>
      </c>
    </row>
    <row r="5" spans="1:15" ht="26.1" customHeight="1" x14ac:dyDescent="0.2">
      <c r="A5" s="444">
        <v>3</v>
      </c>
      <c r="B5" s="195">
        <v>580029866</v>
      </c>
      <c r="C5" s="241" t="s">
        <v>1901</v>
      </c>
      <c r="D5" s="602"/>
      <c r="E5" s="602">
        <f t="shared" si="0"/>
        <v>0</v>
      </c>
      <c r="G5" s="602">
        <v>816242</v>
      </c>
      <c r="I5" s="602">
        <v>950000</v>
      </c>
      <c r="K5" s="602">
        <v>919356</v>
      </c>
      <c r="M5" s="602">
        <v>739954</v>
      </c>
      <c r="N5" s="435" t="s">
        <v>1902</v>
      </c>
      <c r="O5" s="170" t="s">
        <v>12</v>
      </c>
    </row>
    <row r="6" spans="1:15" ht="25.5" x14ac:dyDescent="0.2">
      <c r="A6" s="444">
        <v>5</v>
      </c>
      <c r="B6" s="195">
        <v>580023968</v>
      </c>
      <c r="C6" s="241" t="s">
        <v>1903</v>
      </c>
      <c r="D6" s="602"/>
      <c r="E6" s="602">
        <f t="shared" si="0"/>
        <v>0</v>
      </c>
      <c r="G6" s="602">
        <v>77080</v>
      </c>
      <c r="I6" s="602">
        <v>80000</v>
      </c>
      <c r="K6" s="602"/>
      <c r="M6" s="602"/>
      <c r="N6" s="435" t="s">
        <v>53</v>
      </c>
      <c r="O6" s="435" t="s">
        <v>53</v>
      </c>
    </row>
    <row r="7" spans="1:15" ht="25.5" x14ac:dyDescent="0.2">
      <c r="A7" s="444">
        <v>6</v>
      </c>
      <c r="B7" s="231">
        <v>510748734</v>
      </c>
      <c r="C7" s="241" t="s">
        <v>1267</v>
      </c>
      <c r="D7" s="602"/>
      <c r="E7" s="602">
        <f t="shared" si="0"/>
        <v>0</v>
      </c>
      <c r="G7" s="602">
        <v>800000</v>
      </c>
      <c r="I7" s="602">
        <v>1055585</v>
      </c>
      <c r="K7" s="602">
        <v>1115060</v>
      </c>
      <c r="M7" s="602">
        <v>953717</v>
      </c>
      <c r="N7" s="435" t="s">
        <v>53</v>
      </c>
      <c r="O7" s="435" t="s">
        <v>53</v>
      </c>
    </row>
    <row r="8" spans="1:15" s="359" customFormat="1" ht="20.25" customHeight="1" x14ac:dyDescent="0.2">
      <c r="A8" s="446">
        <v>7</v>
      </c>
      <c r="B8" s="195">
        <v>580210870</v>
      </c>
      <c r="C8" s="241" t="s">
        <v>1904</v>
      </c>
      <c r="D8" s="602"/>
      <c r="E8" s="602">
        <f t="shared" si="0"/>
        <v>0</v>
      </c>
      <c r="F8" s="600"/>
      <c r="G8" s="602">
        <f>200000+89991</f>
        <v>289991</v>
      </c>
      <c r="H8" s="600"/>
      <c r="I8" s="602">
        <v>300000</v>
      </c>
      <c r="J8" s="600"/>
      <c r="K8" s="602"/>
      <c r="L8" s="600"/>
      <c r="M8" s="602"/>
      <c r="N8" s="435" t="s">
        <v>73</v>
      </c>
      <c r="O8" s="435" t="s">
        <v>136</v>
      </c>
    </row>
    <row r="9" spans="1:15" ht="25.5" x14ac:dyDescent="0.2">
      <c r="A9" s="444"/>
      <c r="B9" s="195">
        <v>580015535</v>
      </c>
      <c r="C9" s="241" t="s">
        <v>1905</v>
      </c>
      <c r="D9" s="602"/>
      <c r="E9" s="602">
        <f t="shared" si="0"/>
        <v>0</v>
      </c>
      <c r="G9" s="602">
        <v>960000</v>
      </c>
      <c r="I9" s="602"/>
      <c r="K9" s="602"/>
      <c r="M9" s="602"/>
      <c r="N9" s="435" t="s">
        <v>73</v>
      </c>
      <c r="O9" s="435" t="s">
        <v>136</v>
      </c>
    </row>
    <row r="10" spans="1:15" ht="21.75" customHeight="1" x14ac:dyDescent="0.2">
      <c r="A10" s="444">
        <v>9</v>
      </c>
      <c r="B10" s="195">
        <v>580032381</v>
      </c>
      <c r="C10" s="241" t="s">
        <v>1906</v>
      </c>
      <c r="D10" s="602"/>
      <c r="E10" s="602">
        <f t="shared" si="0"/>
        <v>0</v>
      </c>
      <c r="G10" s="602"/>
      <c r="I10" s="839">
        <v>90472</v>
      </c>
      <c r="K10" s="602"/>
      <c r="M10" s="602"/>
      <c r="N10" s="435" t="s">
        <v>53</v>
      </c>
      <c r="O10" s="435" t="s">
        <v>53</v>
      </c>
    </row>
    <row r="11" spans="1:15" ht="24.75" customHeight="1" x14ac:dyDescent="0.2">
      <c r="A11" s="444">
        <v>11</v>
      </c>
      <c r="B11" s="195">
        <v>580037596</v>
      </c>
      <c r="C11" s="241" t="s">
        <v>1907</v>
      </c>
      <c r="D11" s="602"/>
      <c r="E11" s="602">
        <f t="shared" si="0"/>
        <v>0</v>
      </c>
      <c r="G11" s="602">
        <v>551561</v>
      </c>
      <c r="I11" s="602">
        <v>706112</v>
      </c>
      <c r="K11" s="602">
        <v>752362</v>
      </c>
      <c r="M11" s="602">
        <v>567968</v>
      </c>
      <c r="N11" s="435" t="s">
        <v>73</v>
      </c>
      <c r="O11" s="435" t="s">
        <v>136</v>
      </c>
    </row>
    <row r="12" spans="1:15" ht="18" customHeight="1" x14ac:dyDescent="0.2">
      <c r="A12" s="444">
        <v>15</v>
      </c>
      <c r="B12" s="195">
        <v>580041887</v>
      </c>
      <c r="C12" s="241" t="s">
        <v>1908</v>
      </c>
      <c r="D12" s="602"/>
      <c r="E12" s="602">
        <f t="shared" si="0"/>
        <v>0</v>
      </c>
      <c r="G12" s="602">
        <v>132276</v>
      </c>
      <c r="I12" s="602">
        <v>203882</v>
      </c>
      <c r="K12" s="602">
        <v>239881</v>
      </c>
      <c r="M12" s="602">
        <v>257994</v>
      </c>
      <c r="N12" s="435" t="s">
        <v>28</v>
      </c>
      <c r="O12" s="435" t="s">
        <v>136</v>
      </c>
    </row>
    <row r="13" spans="1:15" ht="25.5" x14ac:dyDescent="0.2">
      <c r="A13" s="444">
        <v>21</v>
      </c>
      <c r="B13" s="195">
        <v>580145381</v>
      </c>
      <c r="C13" s="603" t="s">
        <v>2393</v>
      </c>
      <c r="D13" s="602"/>
      <c r="E13" s="602">
        <f t="shared" si="0"/>
        <v>0</v>
      </c>
      <c r="G13" s="602">
        <v>250000</v>
      </c>
      <c r="I13" s="602">
        <v>300000</v>
      </c>
      <c r="K13" s="602">
        <v>350000</v>
      </c>
      <c r="M13" s="602">
        <v>350000</v>
      </c>
      <c r="N13" s="435" t="s">
        <v>53</v>
      </c>
      <c r="O13" s="435" t="s">
        <v>53</v>
      </c>
    </row>
    <row r="14" spans="1:15" ht="25.5" x14ac:dyDescent="0.2">
      <c r="A14" s="444">
        <v>22</v>
      </c>
      <c r="B14" s="195">
        <v>580222552</v>
      </c>
      <c r="C14" s="241" t="s">
        <v>1909</v>
      </c>
      <c r="D14" s="602"/>
      <c r="E14" s="602">
        <f t="shared" si="0"/>
        <v>0</v>
      </c>
      <c r="G14" s="602">
        <v>100000</v>
      </c>
      <c r="I14" s="602">
        <v>137937</v>
      </c>
      <c r="K14" s="602">
        <v>149851</v>
      </c>
      <c r="M14" s="602">
        <v>212217</v>
      </c>
      <c r="N14" s="435" t="s">
        <v>1910</v>
      </c>
      <c r="O14" s="435" t="s">
        <v>32</v>
      </c>
    </row>
    <row r="15" spans="1:15" ht="21" customHeight="1" x14ac:dyDescent="0.2">
      <c r="A15" s="444">
        <v>24</v>
      </c>
      <c r="B15" s="195">
        <v>580020501</v>
      </c>
      <c r="C15" s="241" t="s">
        <v>894</v>
      </c>
      <c r="D15" s="602"/>
      <c r="E15" s="602">
        <f t="shared" si="0"/>
        <v>0</v>
      </c>
      <c r="G15" s="602"/>
      <c r="I15" s="602"/>
      <c r="K15" s="602"/>
      <c r="M15" s="602"/>
      <c r="N15" s="435" t="s">
        <v>53</v>
      </c>
      <c r="O15" s="435" t="s">
        <v>53</v>
      </c>
    </row>
    <row r="16" spans="1:15" ht="18.75" customHeight="1" x14ac:dyDescent="0.2">
      <c r="A16" s="444">
        <v>25</v>
      </c>
      <c r="B16" s="195">
        <v>580229771</v>
      </c>
      <c r="C16" s="241" t="s">
        <v>1911</v>
      </c>
      <c r="D16" s="602"/>
      <c r="E16" s="602">
        <f t="shared" si="0"/>
        <v>0</v>
      </c>
      <c r="G16" s="602">
        <v>220000</v>
      </c>
      <c r="I16" s="602">
        <v>250000</v>
      </c>
      <c r="K16" s="602">
        <v>250000</v>
      </c>
      <c r="M16" s="602">
        <v>294368</v>
      </c>
      <c r="N16" s="435" t="s">
        <v>1593</v>
      </c>
      <c r="O16" s="170" t="s">
        <v>12</v>
      </c>
    </row>
    <row r="17" spans="1:15" ht="25.5" x14ac:dyDescent="0.2">
      <c r="A17" s="444">
        <v>26</v>
      </c>
      <c r="B17" s="195">
        <v>580013522</v>
      </c>
      <c r="C17" s="241" t="s">
        <v>1912</v>
      </c>
      <c r="D17" s="602"/>
      <c r="E17" s="602">
        <f t="shared" si="0"/>
        <v>0</v>
      </c>
      <c r="G17" s="602">
        <v>757206</v>
      </c>
      <c r="I17" s="602">
        <v>1098843</v>
      </c>
      <c r="K17" s="602">
        <v>1299075</v>
      </c>
      <c r="M17" s="602">
        <v>1377639</v>
      </c>
      <c r="N17" s="435" t="s">
        <v>670</v>
      </c>
      <c r="O17" s="170" t="s">
        <v>12</v>
      </c>
    </row>
    <row r="18" spans="1:15" ht="18.75" customHeight="1" x14ac:dyDescent="0.2">
      <c r="A18" s="444">
        <v>45</v>
      </c>
      <c r="B18" s="195">
        <v>580181741</v>
      </c>
      <c r="C18" s="241" t="s">
        <v>1913</v>
      </c>
      <c r="D18" s="602"/>
      <c r="E18" s="602">
        <f t="shared" si="0"/>
        <v>0</v>
      </c>
      <c r="G18" s="602">
        <f>619563+470157</f>
        <v>1089720</v>
      </c>
      <c r="I18" s="839">
        <v>782044</v>
      </c>
      <c r="K18" s="602"/>
      <c r="M18" s="602"/>
      <c r="N18" s="435" t="s">
        <v>461</v>
      </c>
      <c r="O18" s="435" t="s">
        <v>12</v>
      </c>
    </row>
    <row r="19" spans="1:15" ht="25.5" x14ac:dyDescent="0.2">
      <c r="A19" s="444">
        <v>46</v>
      </c>
      <c r="B19" s="195">
        <v>580065167</v>
      </c>
      <c r="C19" s="241" t="s">
        <v>1914</v>
      </c>
      <c r="D19" s="602"/>
      <c r="E19" s="602">
        <f t="shared" si="0"/>
        <v>0</v>
      </c>
      <c r="G19" s="602">
        <v>144000</v>
      </c>
      <c r="I19" s="602">
        <v>170000</v>
      </c>
      <c r="K19" s="602">
        <v>190000</v>
      </c>
      <c r="M19" s="602">
        <v>210000</v>
      </c>
      <c r="N19" s="1020" t="s">
        <v>73</v>
      </c>
      <c r="O19" s="1020" t="s">
        <v>136</v>
      </c>
    </row>
    <row r="20" spans="1:15" ht="20.25" customHeight="1" x14ac:dyDescent="0.2">
      <c r="A20" s="450"/>
      <c r="B20" s="195">
        <v>580370344</v>
      </c>
      <c r="C20" s="241" t="s">
        <v>1915</v>
      </c>
      <c r="D20" s="602"/>
      <c r="E20" s="602">
        <f t="shared" si="0"/>
        <v>0</v>
      </c>
      <c r="G20" s="602">
        <v>350000</v>
      </c>
      <c r="I20" s="602">
        <v>450000</v>
      </c>
      <c r="K20" s="602">
        <v>600000</v>
      </c>
      <c r="M20" s="602">
        <v>474731</v>
      </c>
      <c r="N20" s="714" t="s">
        <v>53</v>
      </c>
      <c r="O20" s="714" t="s">
        <v>53</v>
      </c>
    </row>
    <row r="21" spans="1:15" ht="31.5" customHeight="1" x14ac:dyDescent="0.2">
      <c r="A21" s="450"/>
      <c r="B21" s="195">
        <v>580186278</v>
      </c>
      <c r="C21" s="241" t="s">
        <v>1916</v>
      </c>
      <c r="D21" s="602"/>
      <c r="E21" s="602">
        <f t="shared" si="0"/>
        <v>0</v>
      </c>
      <c r="G21" s="602">
        <v>950000</v>
      </c>
      <c r="I21" s="602">
        <v>1222536</v>
      </c>
      <c r="K21" s="602">
        <v>1180356</v>
      </c>
      <c r="M21" s="602">
        <v>985627</v>
      </c>
      <c r="N21" s="1020" t="s">
        <v>73</v>
      </c>
      <c r="O21" s="1020" t="s">
        <v>136</v>
      </c>
    </row>
    <row r="22" spans="1:15" ht="18" customHeight="1" x14ac:dyDescent="0.2">
      <c r="A22" s="450"/>
      <c r="B22" s="195">
        <v>580008027</v>
      </c>
      <c r="C22" s="241" t="s">
        <v>1917</v>
      </c>
      <c r="D22" s="602"/>
      <c r="E22" s="602">
        <f t="shared" si="0"/>
        <v>0</v>
      </c>
      <c r="G22" s="602">
        <v>150000</v>
      </c>
      <c r="I22" s="602">
        <v>175352</v>
      </c>
      <c r="K22" s="602">
        <v>183845</v>
      </c>
      <c r="M22" s="602">
        <v>208849</v>
      </c>
      <c r="N22" s="435" t="s">
        <v>426</v>
      </c>
      <c r="O22" s="170" t="s">
        <v>136</v>
      </c>
    </row>
    <row r="23" spans="1:15" ht="20.25" customHeight="1" x14ac:dyDescent="0.2">
      <c r="A23" s="450"/>
      <c r="B23" s="195">
        <v>580037208</v>
      </c>
      <c r="C23" s="241" t="s">
        <v>1918</v>
      </c>
      <c r="D23" s="602"/>
      <c r="E23" s="602">
        <f t="shared" si="0"/>
        <v>0</v>
      </c>
      <c r="G23" s="602">
        <v>54576</v>
      </c>
      <c r="I23" s="602">
        <v>150000</v>
      </c>
      <c r="K23" s="839">
        <v>297966</v>
      </c>
      <c r="M23" s="602"/>
      <c r="N23" s="435" t="s">
        <v>73</v>
      </c>
      <c r="O23" s="435" t="s">
        <v>136</v>
      </c>
    </row>
    <row r="24" spans="1:15" ht="24.75" customHeight="1" x14ac:dyDescent="0.2">
      <c r="A24" s="450"/>
      <c r="B24" s="195">
        <v>580281095</v>
      </c>
      <c r="C24" s="241" t="s">
        <v>1919</v>
      </c>
      <c r="D24" s="602"/>
      <c r="E24" s="602">
        <f t="shared" si="0"/>
        <v>0</v>
      </c>
      <c r="G24" s="602">
        <v>250000</v>
      </c>
      <c r="I24" s="602">
        <v>350000</v>
      </c>
      <c r="K24" s="602">
        <v>389925</v>
      </c>
      <c r="M24" s="602">
        <v>365484</v>
      </c>
      <c r="N24" s="435" t="s">
        <v>1211</v>
      </c>
      <c r="O24" s="435" t="s">
        <v>12</v>
      </c>
    </row>
    <row r="25" spans="1:15" ht="19.5" customHeight="1" x14ac:dyDescent="0.2">
      <c r="A25" s="450"/>
      <c r="B25" s="195">
        <v>580337913</v>
      </c>
      <c r="C25" s="241" t="s">
        <v>1920</v>
      </c>
      <c r="D25" s="602"/>
      <c r="E25" s="602">
        <f t="shared" si="0"/>
        <v>0</v>
      </c>
      <c r="G25" s="602">
        <f>143267+25000</f>
        <v>168267</v>
      </c>
      <c r="I25" s="602">
        <v>280000</v>
      </c>
      <c r="K25" s="602"/>
      <c r="M25" s="602"/>
      <c r="N25" s="435" t="s">
        <v>53</v>
      </c>
      <c r="O25" s="435" t="s">
        <v>53</v>
      </c>
    </row>
    <row r="26" spans="1:15" ht="33" customHeight="1" x14ac:dyDescent="0.2">
      <c r="A26" s="450"/>
      <c r="B26" s="195">
        <v>580361285</v>
      </c>
      <c r="C26" s="241" t="s">
        <v>1854</v>
      </c>
      <c r="D26" s="602"/>
      <c r="E26" s="602">
        <f t="shared" si="0"/>
        <v>0</v>
      </c>
      <c r="G26" s="602">
        <v>415895</v>
      </c>
      <c r="I26" s="602">
        <v>600000</v>
      </c>
      <c r="K26" s="602">
        <v>750000</v>
      </c>
      <c r="M26" s="602">
        <v>1000000</v>
      </c>
      <c r="N26" s="435" t="s">
        <v>73</v>
      </c>
      <c r="O26" s="435" t="s">
        <v>136</v>
      </c>
    </row>
    <row r="27" spans="1:15" ht="37.5" customHeight="1" x14ac:dyDescent="0.2">
      <c r="A27" s="450"/>
      <c r="B27" s="195">
        <v>580409449</v>
      </c>
      <c r="C27" s="241" t="s">
        <v>1865</v>
      </c>
      <c r="D27" s="602"/>
      <c r="E27" s="602">
        <f t="shared" si="0"/>
        <v>0</v>
      </c>
      <c r="G27" s="602">
        <v>180000</v>
      </c>
      <c r="I27" s="839">
        <v>250000</v>
      </c>
      <c r="K27" s="602"/>
      <c r="M27" s="602"/>
      <c r="N27" s="435" t="s">
        <v>1921</v>
      </c>
      <c r="O27" s="435" t="s">
        <v>12</v>
      </c>
    </row>
    <row r="28" spans="1:15" ht="24.75" customHeight="1" x14ac:dyDescent="0.2">
      <c r="A28" s="450"/>
      <c r="B28" s="195">
        <v>580002996</v>
      </c>
      <c r="C28" s="241" t="s">
        <v>1881</v>
      </c>
      <c r="D28" s="602"/>
      <c r="E28" s="602">
        <f t="shared" si="0"/>
        <v>0</v>
      </c>
      <c r="G28" s="602">
        <v>250000</v>
      </c>
      <c r="I28" s="602">
        <v>350000</v>
      </c>
      <c r="K28" s="602">
        <v>447794</v>
      </c>
      <c r="M28" s="602">
        <v>442303</v>
      </c>
      <c r="N28" s="435" t="s">
        <v>53</v>
      </c>
      <c r="O28" s="435" t="s">
        <v>53</v>
      </c>
    </row>
    <row r="29" spans="1:15" ht="22.5" customHeight="1" x14ac:dyDescent="0.2">
      <c r="A29" s="450"/>
      <c r="B29" s="195">
        <v>580135903</v>
      </c>
      <c r="C29" s="436" t="s">
        <v>1870</v>
      </c>
      <c r="D29" s="602"/>
      <c r="E29" s="602">
        <f t="shared" si="0"/>
        <v>0</v>
      </c>
      <c r="G29" s="602">
        <v>638847</v>
      </c>
      <c r="I29" s="602">
        <v>800000</v>
      </c>
      <c r="K29" s="602">
        <v>898451</v>
      </c>
      <c r="M29" s="602">
        <v>786889</v>
      </c>
      <c r="N29" s="435" t="s">
        <v>1902</v>
      </c>
      <c r="O29" s="435" t="s">
        <v>12</v>
      </c>
    </row>
    <row r="30" spans="1:15" ht="20.25" customHeight="1" x14ac:dyDescent="0.2">
      <c r="A30" s="450"/>
      <c r="B30" s="195">
        <v>580041770</v>
      </c>
      <c r="C30" s="315" t="s">
        <v>1922</v>
      </c>
      <c r="D30" s="602"/>
      <c r="E30" s="602">
        <f t="shared" si="0"/>
        <v>0</v>
      </c>
      <c r="G30" s="602">
        <v>457439</v>
      </c>
      <c r="I30" s="602">
        <v>579221</v>
      </c>
      <c r="K30" s="602">
        <v>571309</v>
      </c>
      <c r="M30" s="602">
        <v>432508</v>
      </c>
      <c r="N30" s="604" t="s">
        <v>477</v>
      </c>
      <c r="O30" s="604" t="s">
        <v>9</v>
      </c>
    </row>
    <row r="31" spans="1:15" ht="24.75" customHeight="1" x14ac:dyDescent="0.2">
      <c r="A31" s="450"/>
      <c r="B31" s="195">
        <v>580001451</v>
      </c>
      <c r="C31" s="315" t="s">
        <v>1923</v>
      </c>
      <c r="D31" s="602"/>
      <c r="E31" s="602">
        <f t="shared" si="0"/>
        <v>0</v>
      </c>
      <c r="G31" s="602">
        <v>42220.01</v>
      </c>
      <c r="I31" s="839">
        <v>12848</v>
      </c>
      <c r="K31" s="602"/>
      <c r="M31" s="602"/>
      <c r="N31" s="435" t="s">
        <v>53</v>
      </c>
      <c r="O31" s="435" t="s">
        <v>53</v>
      </c>
    </row>
    <row r="32" spans="1:15" ht="24.75" customHeight="1" x14ac:dyDescent="0.2">
      <c r="A32" s="450"/>
      <c r="B32" s="195">
        <v>580465011</v>
      </c>
      <c r="C32" s="315" t="s">
        <v>1924</v>
      </c>
      <c r="D32" s="602"/>
      <c r="E32" s="602">
        <f t="shared" si="0"/>
        <v>0</v>
      </c>
      <c r="G32" s="602">
        <v>225000</v>
      </c>
      <c r="I32" s="602">
        <v>275000</v>
      </c>
      <c r="K32" s="602">
        <v>350000</v>
      </c>
      <c r="M32" s="602">
        <v>449874</v>
      </c>
      <c r="N32" s="435" t="s">
        <v>53</v>
      </c>
      <c r="O32" s="435" t="s">
        <v>53</v>
      </c>
    </row>
    <row r="33" spans="1:15" ht="24.75" customHeight="1" x14ac:dyDescent="0.2">
      <c r="A33" s="450"/>
      <c r="B33" s="195">
        <v>580540672</v>
      </c>
      <c r="C33" s="315" t="s">
        <v>1874</v>
      </c>
      <c r="D33" s="602"/>
      <c r="E33" s="602">
        <f t="shared" si="0"/>
        <v>0</v>
      </c>
      <c r="G33" s="602">
        <f>290000+104743</f>
        <v>394743</v>
      </c>
      <c r="I33" s="839">
        <v>265836</v>
      </c>
      <c r="K33" s="602"/>
      <c r="M33" s="602"/>
      <c r="N33" s="435" t="s">
        <v>53</v>
      </c>
      <c r="O33" s="435" t="s">
        <v>53</v>
      </c>
    </row>
    <row r="34" spans="1:15" ht="24.75" customHeight="1" x14ac:dyDescent="0.2">
      <c r="A34" s="450"/>
      <c r="B34" s="195" t="s">
        <v>2986</v>
      </c>
      <c r="C34" s="315" t="s">
        <v>2987</v>
      </c>
      <c r="D34" s="602"/>
      <c r="E34" s="602"/>
      <c r="G34" s="602"/>
      <c r="I34" s="602">
        <v>135696</v>
      </c>
      <c r="K34" s="602">
        <v>265800</v>
      </c>
      <c r="M34" s="602">
        <v>437378</v>
      </c>
      <c r="N34" s="435" t="s">
        <v>1589</v>
      </c>
      <c r="O34" s="435" t="s">
        <v>32</v>
      </c>
    </row>
    <row r="35" spans="1:15" ht="24.75" customHeight="1" x14ac:dyDescent="0.2">
      <c r="A35" s="450"/>
      <c r="B35" s="195" t="s">
        <v>2988</v>
      </c>
      <c r="C35" s="315" t="s">
        <v>2989</v>
      </c>
      <c r="D35" s="602"/>
      <c r="E35" s="602"/>
      <c r="G35" s="602"/>
      <c r="I35" s="839">
        <v>50222</v>
      </c>
      <c r="K35" s="602"/>
      <c r="M35" s="602"/>
      <c r="N35" s="435" t="s">
        <v>774</v>
      </c>
      <c r="O35" s="435" t="s">
        <v>12</v>
      </c>
    </row>
    <row r="36" spans="1:15" ht="24.75" customHeight="1" x14ac:dyDescent="0.2">
      <c r="A36" s="450"/>
      <c r="B36" s="195" t="s">
        <v>2993</v>
      </c>
      <c r="C36" s="315" t="s">
        <v>2994</v>
      </c>
      <c r="D36" s="602"/>
      <c r="E36" s="602"/>
      <c r="G36" s="602"/>
      <c r="I36" s="602">
        <v>60000</v>
      </c>
      <c r="K36" s="602"/>
      <c r="M36" s="602"/>
      <c r="N36" s="435" t="s">
        <v>53</v>
      </c>
      <c r="O36" s="435" t="s">
        <v>53</v>
      </c>
    </row>
    <row r="37" spans="1:15" ht="24.75" customHeight="1" x14ac:dyDescent="0.2">
      <c r="A37" s="450"/>
      <c r="B37" s="195" t="s">
        <v>2990</v>
      </c>
      <c r="C37" s="315" t="s">
        <v>2991</v>
      </c>
      <c r="D37" s="602"/>
      <c r="E37" s="602"/>
      <c r="G37" s="602"/>
      <c r="I37" s="602">
        <v>54614</v>
      </c>
      <c r="K37" s="602">
        <v>102140</v>
      </c>
      <c r="M37" s="602">
        <v>100536</v>
      </c>
      <c r="N37" s="435" t="s">
        <v>2992</v>
      </c>
      <c r="O37" s="435" t="s">
        <v>12</v>
      </c>
    </row>
    <row r="38" spans="1:15" ht="24.75" customHeight="1" x14ac:dyDescent="0.2">
      <c r="A38" s="450"/>
      <c r="B38" s="195" t="s">
        <v>3141</v>
      </c>
      <c r="C38" s="315" t="s">
        <v>3142</v>
      </c>
      <c r="D38" s="602"/>
      <c r="E38" s="602"/>
      <c r="G38" s="602"/>
      <c r="I38" s="602"/>
      <c r="K38" s="602">
        <v>369366</v>
      </c>
      <c r="M38" s="602">
        <v>533602</v>
      </c>
      <c r="N38" s="435" t="s">
        <v>53</v>
      </c>
      <c r="O38" s="435" t="s">
        <v>53</v>
      </c>
    </row>
    <row r="39" spans="1:15" ht="24.75" customHeight="1" x14ac:dyDescent="0.2">
      <c r="A39" s="450"/>
      <c r="B39" s="195">
        <v>580542637</v>
      </c>
      <c r="C39" s="1026" t="s">
        <v>3347</v>
      </c>
      <c r="D39" s="602"/>
      <c r="E39" s="602"/>
      <c r="G39" s="602"/>
      <c r="I39" s="602"/>
      <c r="K39" s="602"/>
      <c r="M39" s="602">
        <v>200700</v>
      </c>
      <c r="N39" s="435" t="s">
        <v>774</v>
      </c>
      <c r="O39" s="435" t="s">
        <v>12</v>
      </c>
    </row>
    <row r="40" spans="1:15" ht="29.25" customHeight="1" x14ac:dyDescent="0.2">
      <c r="A40" s="450"/>
      <c r="B40" s="872" t="s">
        <v>2439</v>
      </c>
      <c r="C40" s="873" t="s">
        <v>2440</v>
      </c>
      <c r="D40" s="602"/>
      <c r="E40" s="602">
        <f>SUM(D40:D40)</f>
        <v>0</v>
      </c>
      <c r="G40" s="602">
        <v>220408</v>
      </c>
      <c r="I40" s="602">
        <v>334973</v>
      </c>
      <c r="K40" s="602">
        <v>382817</v>
      </c>
      <c r="M40" s="602">
        <v>469390</v>
      </c>
      <c r="N40" s="435" t="s">
        <v>53</v>
      </c>
      <c r="O40" s="435" t="s">
        <v>53</v>
      </c>
    </row>
  </sheetData>
  <mergeCells count="1">
    <mergeCell ref="D1:E1"/>
  </mergeCells>
  <pageMargins left="0.19685039370078741" right="0.31496062992125984" top="1.63" bottom="0.39370078740157483" header="0.98425196850393704" footer="0.11811023622047245"/>
  <pageSetup paperSize="9" fitToHeight="4" orientation="landscape" r:id="rId1"/>
  <headerFooter alignWithMargins="0">
    <oddHeader>&amp;L&amp;D&amp;Cמינהל תרבות
&amp;"Arial,מודגש"&amp;11תקציב על שינויו 2016-2019  בש"ח בהתאם להחלטת ועדת התמיכות&amp;R&amp;"Arial,מודגש"&amp;16תקנה 42-02-32- מורשת עדות ישראל</oddHeader>
    <oddFooter>&amp;L&amp;F&amp;C&amp;P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A1:U131"/>
  <sheetViews>
    <sheetView rightToLeft="1" zoomScale="90" zoomScaleNormal="90" workbookViewId="0">
      <pane xSplit="2" ySplit="4" topLeftCell="C5" activePane="bottomRight" state="frozen"/>
      <selection activeCell="S19" sqref="S19"/>
      <selection pane="topRight" activeCell="S19" sqref="S19"/>
      <selection pane="bottomLeft" activeCell="S19" sqref="S19"/>
      <selection pane="bottomRight" activeCell="T1" sqref="T1:U1048576"/>
    </sheetView>
  </sheetViews>
  <sheetFormatPr defaultRowHeight="12.75" x14ac:dyDescent="0.2"/>
  <cols>
    <col min="1" max="1" width="12.85546875" style="1" customWidth="1"/>
    <col min="2" max="2" width="32.140625" style="38" customWidth="1"/>
    <col min="3" max="3" width="15.140625" style="39" hidden="1" customWidth="1"/>
    <col min="4" max="4" width="0.85546875" style="3" customWidth="1"/>
    <col min="5" max="6" width="11.7109375" customWidth="1"/>
    <col min="7" max="7" width="12" customWidth="1"/>
    <col min="8" max="8" width="0.85546875" style="3" customWidth="1"/>
    <col min="9" max="11" width="11.7109375" customWidth="1"/>
    <col min="12" max="12" width="0.85546875" style="3" customWidth="1"/>
    <col min="13" max="15" width="11.7109375" customWidth="1"/>
    <col min="16" max="16" width="0.85546875" style="3" customWidth="1"/>
    <col min="17" max="19" width="11.7109375" customWidth="1"/>
    <col min="20" max="20" width="13.28515625" style="39" hidden="1" customWidth="1"/>
    <col min="21" max="21" width="13.28515625" style="40" hidden="1" customWidth="1"/>
  </cols>
  <sheetData>
    <row r="1" spans="1:21" ht="21" customHeight="1" x14ac:dyDescent="0.3">
      <c r="B1" s="2"/>
      <c r="C1" s="936"/>
      <c r="E1" s="1113">
        <v>2016</v>
      </c>
      <c r="F1" s="1113"/>
      <c r="G1" s="1113"/>
      <c r="I1" s="1113">
        <v>2017</v>
      </c>
      <c r="J1" s="1113"/>
      <c r="K1" s="1113"/>
      <c r="M1" s="1113">
        <v>2018</v>
      </c>
      <c r="N1" s="1113"/>
      <c r="O1" s="1113"/>
      <c r="Q1" s="1113">
        <v>2019</v>
      </c>
      <c r="R1" s="1113"/>
      <c r="S1" s="1113"/>
      <c r="T1" s="4"/>
      <c r="U1" s="5"/>
    </row>
    <row r="2" spans="1:21" ht="51.75" customHeight="1" x14ac:dyDescent="0.2">
      <c r="A2" s="6" t="s">
        <v>0</v>
      </c>
      <c r="B2" s="7" t="s">
        <v>1</v>
      </c>
      <c r="C2" s="6" t="s">
        <v>4</v>
      </c>
      <c r="E2" s="6" t="s">
        <v>2</v>
      </c>
      <c r="F2" s="6" t="s">
        <v>2538</v>
      </c>
      <c r="G2" s="6" t="s">
        <v>3</v>
      </c>
      <c r="I2" s="6" t="s">
        <v>2</v>
      </c>
      <c r="J2" s="6" t="s">
        <v>2538</v>
      </c>
      <c r="K2" s="6" t="s">
        <v>3</v>
      </c>
      <c r="M2" s="6" t="s">
        <v>2</v>
      </c>
      <c r="N2" s="6" t="s">
        <v>2538</v>
      </c>
      <c r="O2" s="6" t="s">
        <v>3</v>
      </c>
      <c r="Q2" s="6" t="s">
        <v>2</v>
      </c>
      <c r="R2" s="6" t="s">
        <v>2538</v>
      </c>
      <c r="S2" s="6" t="s">
        <v>3</v>
      </c>
      <c r="T2" s="8" t="s">
        <v>5</v>
      </c>
      <c r="U2" s="6" t="s">
        <v>6</v>
      </c>
    </row>
    <row r="3" spans="1:21" s="12" customFormat="1" ht="16.5" customHeight="1" x14ac:dyDescent="0.2">
      <c r="A3" s="9"/>
      <c r="B3" s="10" t="s">
        <v>7</v>
      </c>
      <c r="C3" s="10"/>
      <c r="D3" s="3"/>
      <c r="E3" s="10">
        <f>E4+E108</f>
        <v>22933814</v>
      </c>
      <c r="F3" s="10">
        <f>F4+F108</f>
        <v>237098.02890847879</v>
      </c>
      <c r="G3" s="10">
        <f>G4+G108</f>
        <v>23170912.02890848</v>
      </c>
      <c r="H3" s="3"/>
      <c r="I3" s="10">
        <f>I4+I108</f>
        <v>28181586</v>
      </c>
      <c r="J3" s="10">
        <f>J4+J108</f>
        <v>753410</v>
      </c>
      <c r="K3" s="10">
        <f>K4+K108</f>
        <v>28934996</v>
      </c>
      <c r="L3" s="3"/>
      <c r="M3" s="10">
        <f>M4+M108</f>
        <v>34681846.010000005</v>
      </c>
      <c r="N3" s="10">
        <f>N4+N108</f>
        <v>1356887</v>
      </c>
      <c r="O3" s="10">
        <f>O4+O108</f>
        <v>36038733.010000005</v>
      </c>
      <c r="P3" s="3"/>
      <c r="Q3" s="10">
        <f>Q4+Q108</f>
        <v>39569002</v>
      </c>
      <c r="R3" s="10">
        <f>R4+R108</f>
        <v>4916139</v>
      </c>
      <c r="S3" s="10">
        <f>S4+S108</f>
        <v>44485141</v>
      </c>
      <c r="T3" s="11"/>
      <c r="U3" s="10"/>
    </row>
    <row r="4" spans="1:21" s="12" customFormat="1" ht="21.75" customHeight="1" x14ac:dyDescent="0.2">
      <c r="A4" s="9" t="s">
        <v>8</v>
      </c>
      <c r="B4" s="10"/>
      <c r="C4" s="13"/>
      <c r="D4" s="3"/>
      <c r="E4" s="13">
        <f>SUM(E5:E107)</f>
        <v>21259083</v>
      </c>
      <c r="F4" s="13">
        <f>SUM(F5:F107)</f>
        <v>237098.02890847879</v>
      </c>
      <c r="G4" s="10">
        <f>SUM(G5:G107)</f>
        <v>21496181.02890848</v>
      </c>
      <c r="H4" s="3"/>
      <c r="I4" s="13">
        <f>SUM(I5:I107)</f>
        <v>25700282</v>
      </c>
      <c r="J4" s="13">
        <f>SUM(J5:J107)</f>
        <v>753410</v>
      </c>
      <c r="K4" s="10">
        <f>SUM(K5:K107)</f>
        <v>26453692</v>
      </c>
      <c r="L4" s="3"/>
      <c r="M4" s="13">
        <f>SUM(M5:M107)</f>
        <v>31622300.010000002</v>
      </c>
      <c r="N4" s="13">
        <f>SUM(N5:N107)</f>
        <v>1356887</v>
      </c>
      <c r="O4" s="10">
        <f>SUM(O5:O107)</f>
        <v>32979187.010000002</v>
      </c>
      <c r="P4" s="3"/>
      <c r="Q4" s="13">
        <f>SUM(Q5:Q107)</f>
        <v>36183547</v>
      </c>
      <c r="R4" s="13">
        <f>SUM(R5:R107)</f>
        <v>4916139</v>
      </c>
      <c r="S4" s="10">
        <f>SUM(S5:S107)</f>
        <v>41099686</v>
      </c>
      <c r="T4" s="14"/>
      <c r="U4" s="10"/>
    </row>
    <row r="5" spans="1:21" s="20" customFormat="1" ht="27.75" customHeight="1" x14ac:dyDescent="0.2">
      <c r="A5" s="21">
        <v>580368256</v>
      </c>
      <c r="B5" s="16" t="s">
        <v>10</v>
      </c>
      <c r="C5" s="18"/>
      <c r="D5" s="3"/>
      <c r="E5" s="17">
        <v>331007</v>
      </c>
      <c r="F5" s="17"/>
      <c r="G5" s="842">
        <f t="shared" ref="G5:G58" si="0">SUM(E5:F5)</f>
        <v>331007</v>
      </c>
      <c r="H5" s="3"/>
      <c r="I5" s="17">
        <v>364672</v>
      </c>
      <c r="J5" s="17"/>
      <c r="K5" s="842">
        <f t="shared" ref="K5:K58" si="1">SUM(I5:J5)</f>
        <v>364672</v>
      </c>
      <c r="L5" s="3"/>
      <c r="M5" s="17">
        <v>592048</v>
      </c>
      <c r="N5" s="17"/>
      <c r="O5" s="842">
        <f t="shared" ref="O5:O58" si="2">SUM(M5:N5)</f>
        <v>592048</v>
      </c>
      <c r="P5" s="3"/>
      <c r="Q5" s="17">
        <v>615197</v>
      </c>
      <c r="R5" s="17"/>
      <c r="S5" s="842">
        <f t="shared" ref="S5:S58" si="3">SUM(Q5:R5)</f>
        <v>615197</v>
      </c>
      <c r="T5" s="18" t="s">
        <v>11</v>
      </c>
      <c r="U5" s="19" t="s">
        <v>12</v>
      </c>
    </row>
    <row r="6" spans="1:21" s="12" customFormat="1" ht="25.5" customHeight="1" x14ac:dyDescent="0.2">
      <c r="A6" s="22">
        <v>580346708</v>
      </c>
      <c r="B6" s="16" t="s">
        <v>14</v>
      </c>
      <c r="C6" s="18"/>
      <c r="D6" s="3"/>
      <c r="E6" s="17">
        <v>228259</v>
      </c>
      <c r="F6" s="17"/>
      <c r="G6" s="842">
        <f t="shared" si="0"/>
        <v>228259</v>
      </c>
      <c r="H6" s="3"/>
      <c r="I6" s="17">
        <v>285459</v>
      </c>
      <c r="J6" s="17"/>
      <c r="K6" s="842">
        <f t="shared" si="1"/>
        <v>285459</v>
      </c>
      <c r="L6" s="3"/>
      <c r="M6" s="840">
        <v>316030</v>
      </c>
      <c r="N6" s="17"/>
      <c r="O6" s="842">
        <f t="shared" si="2"/>
        <v>316030</v>
      </c>
      <c r="P6" s="3"/>
      <c r="Q6" s="17">
        <v>332817</v>
      </c>
      <c r="R6" s="17"/>
      <c r="S6" s="842">
        <f t="shared" si="3"/>
        <v>332817</v>
      </c>
      <c r="T6" s="18" t="s">
        <v>15</v>
      </c>
      <c r="U6" s="19" t="s">
        <v>9</v>
      </c>
    </row>
    <row r="7" spans="1:21" s="20" customFormat="1" ht="23.25" customHeight="1" x14ac:dyDescent="0.2">
      <c r="A7" s="21">
        <v>580344570</v>
      </c>
      <c r="B7" s="16" t="s">
        <v>16</v>
      </c>
      <c r="C7" s="18"/>
      <c r="D7" s="3"/>
      <c r="E7" s="17">
        <v>186686</v>
      </c>
      <c r="F7" s="17"/>
      <c r="G7" s="842">
        <f t="shared" si="0"/>
        <v>186686</v>
      </c>
      <c r="H7" s="3"/>
      <c r="I7" s="17">
        <v>279792</v>
      </c>
      <c r="J7" s="17"/>
      <c r="K7" s="842">
        <f t="shared" si="1"/>
        <v>279792</v>
      </c>
      <c r="L7" s="3"/>
      <c r="M7" s="17">
        <v>289169</v>
      </c>
      <c r="N7" s="17"/>
      <c r="O7" s="842">
        <f t="shared" si="2"/>
        <v>289169</v>
      </c>
      <c r="P7" s="3"/>
      <c r="Q7" s="17">
        <v>327406</v>
      </c>
      <c r="R7" s="17"/>
      <c r="S7" s="842">
        <f t="shared" si="3"/>
        <v>327406</v>
      </c>
      <c r="T7" s="18" t="s">
        <v>17</v>
      </c>
      <c r="U7" s="19" t="s">
        <v>9</v>
      </c>
    </row>
    <row r="8" spans="1:21" s="12" customFormat="1" ht="19.5" customHeight="1" x14ac:dyDescent="0.2">
      <c r="A8" s="15">
        <v>580337137</v>
      </c>
      <c r="B8" s="16" t="s">
        <v>18</v>
      </c>
      <c r="C8" s="18"/>
      <c r="D8" s="3"/>
      <c r="E8" s="17">
        <v>569790</v>
      </c>
      <c r="F8" s="17">
        <v>22189.82479656033</v>
      </c>
      <c r="G8" s="842">
        <f t="shared" si="0"/>
        <v>591979.82479656034</v>
      </c>
      <c r="H8" s="3"/>
      <c r="I8" s="17">
        <v>577242</v>
      </c>
      <c r="J8" s="17">
        <v>38832</v>
      </c>
      <c r="K8" s="842">
        <f t="shared" si="1"/>
        <v>616074</v>
      </c>
      <c r="L8" s="3"/>
      <c r="M8" s="17">
        <v>686689</v>
      </c>
      <c r="N8" s="17">
        <v>67956</v>
      </c>
      <c r="O8" s="842">
        <f t="shared" si="2"/>
        <v>754645</v>
      </c>
      <c r="P8" s="3"/>
      <c r="Q8" s="17">
        <v>652556</v>
      </c>
      <c r="R8" s="17">
        <f>225000+65427</f>
        <v>290427</v>
      </c>
      <c r="S8" s="842">
        <f t="shared" si="3"/>
        <v>942983</v>
      </c>
      <c r="T8" s="18" t="s">
        <v>19</v>
      </c>
      <c r="U8" s="19" t="s">
        <v>9</v>
      </c>
    </row>
    <row r="9" spans="1:21" s="20" customFormat="1" ht="28.5" customHeight="1" x14ac:dyDescent="0.2">
      <c r="A9" s="15">
        <v>580332047</v>
      </c>
      <c r="B9" s="16" t="s">
        <v>20</v>
      </c>
      <c r="C9" s="18"/>
      <c r="D9" s="3"/>
      <c r="E9" s="17">
        <v>106892</v>
      </c>
      <c r="F9" s="17"/>
      <c r="G9" s="842">
        <f t="shared" si="0"/>
        <v>106892</v>
      </c>
      <c r="H9" s="3"/>
      <c r="I9" s="17"/>
      <c r="J9" s="17"/>
      <c r="K9" s="842">
        <f t="shared" si="1"/>
        <v>0</v>
      </c>
      <c r="L9" s="3"/>
      <c r="M9" s="840">
        <v>145724</v>
      </c>
      <c r="N9" s="17"/>
      <c r="O9" s="842">
        <f t="shared" si="2"/>
        <v>145724</v>
      </c>
      <c r="P9" s="3"/>
      <c r="Q9" s="17">
        <f>113947+20108</f>
        <v>134055</v>
      </c>
      <c r="R9" s="17"/>
      <c r="S9" s="842">
        <f t="shared" si="3"/>
        <v>134055</v>
      </c>
      <c r="T9" s="18" t="s">
        <v>13</v>
      </c>
      <c r="U9" s="19" t="s">
        <v>9</v>
      </c>
    </row>
    <row r="10" spans="1:21" s="20" customFormat="1" ht="36" customHeight="1" x14ac:dyDescent="0.2">
      <c r="A10" s="21">
        <v>580327674</v>
      </c>
      <c r="B10" s="16" t="s">
        <v>21</v>
      </c>
      <c r="C10" s="18"/>
      <c r="D10" s="3"/>
      <c r="E10" s="17">
        <v>866598</v>
      </c>
      <c r="F10" s="17"/>
      <c r="G10" s="842">
        <f t="shared" si="0"/>
        <v>866598</v>
      </c>
      <c r="H10" s="3"/>
      <c r="I10" s="17">
        <v>761655</v>
      </c>
      <c r="J10" s="17"/>
      <c r="K10" s="842">
        <f t="shared" si="1"/>
        <v>761655</v>
      </c>
      <c r="L10" s="3"/>
      <c r="M10" s="17">
        <v>1213269</v>
      </c>
      <c r="N10" s="17"/>
      <c r="O10" s="842">
        <f t="shared" si="2"/>
        <v>1213269</v>
      </c>
      <c r="P10" s="3"/>
      <c r="Q10" s="17">
        <v>1156359</v>
      </c>
      <c r="R10" s="17"/>
      <c r="S10" s="842">
        <f t="shared" si="3"/>
        <v>1156359</v>
      </c>
      <c r="T10" s="18" t="s">
        <v>22</v>
      </c>
      <c r="U10" s="23" t="s">
        <v>9</v>
      </c>
    </row>
    <row r="11" spans="1:21" s="20" customFormat="1" ht="23.25" customHeight="1" x14ac:dyDescent="0.2">
      <c r="A11" s="21">
        <v>580309532</v>
      </c>
      <c r="B11" s="16" t="s">
        <v>24</v>
      </c>
      <c r="C11" s="18"/>
      <c r="D11" s="3"/>
      <c r="E11" s="17">
        <v>644360</v>
      </c>
      <c r="F11" s="17">
        <v>25093.832395650137</v>
      </c>
      <c r="G11" s="842">
        <f t="shared" si="0"/>
        <v>669453.8323956501</v>
      </c>
      <c r="H11" s="3"/>
      <c r="I11" s="17">
        <v>724953</v>
      </c>
      <c r="J11" s="849">
        <v>43914</v>
      </c>
      <c r="K11" s="842">
        <f t="shared" si="1"/>
        <v>768867</v>
      </c>
      <c r="L11" s="3"/>
      <c r="M11" s="17">
        <v>876983</v>
      </c>
      <c r="N11" s="849">
        <v>76850</v>
      </c>
      <c r="O11" s="842">
        <f t="shared" si="2"/>
        <v>953833</v>
      </c>
      <c r="P11" s="3"/>
      <c r="Q11" s="17">
        <v>754400</v>
      </c>
      <c r="R11" s="849">
        <f>225000+129651</f>
        <v>354651</v>
      </c>
      <c r="S11" s="842">
        <f t="shared" si="3"/>
        <v>1109051</v>
      </c>
      <c r="T11" s="18" t="s">
        <v>25</v>
      </c>
      <c r="U11" s="19" t="s">
        <v>9</v>
      </c>
    </row>
    <row r="12" spans="1:21" s="20" customFormat="1" ht="29.25" customHeight="1" x14ac:dyDescent="0.2">
      <c r="A12" s="25">
        <v>580308963</v>
      </c>
      <c r="B12" s="26" t="s">
        <v>26</v>
      </c>
      <c r="C12" s="18" t="s">
        <v>277</v>
      </c>
      <c r="D12" s="3"/>
      <c r="E12" s="840">
        <v>264193</v>
      </c>
      <c r="F12" s="17"/>
      <c r="G12" s="842">
        <f t="shared" si="0"/>
        <v>264193</v>
      </c>
      <c r="H12" s="3"/>
      <c r="I12" s="17">
        <v>522482</v>
      </c>
      <c r="J12" s="17"/>
      <c r="K12" s="842">
        <f t="shared" si="1"/>
        <v>522482</v>
      </c>
      <c r="L12" s="3"/>
      <c r="M12" s="17">
        <v>590140</v>
      </c>
      <c r="N12" s="17"/>
      <c r="O12" s="842">
        <f t="shared" si="2"/>
        <v>590140</v>
      </c>
      <c r="P12" s="3"/>
      <c r="Q12" s="17">
        <v>637223</v>
      </c>
      <c r="R12" s="17"/>
      <c r="S12" s="842">
        <f t="shared" si="3"/>
        <v>637223</v>
      </c>
      <c r="T12" s="18" t="s">
        <v>27</v>
      </c>
      <c r="U12" s="19" t="s">
        <v>28</v>
      </c>
    </row>
    <row r="13" spans="1:21" s="20" customFormat="1" ht="16.5" customHeight="1" x14ac:dyDescent="0.2">
      <c r="A13" s="25">
        <v>580296952</v>
      </c>
      <c r="B13" s="26" t="s">
        <v>29</v>
      </c>
      <c r="C13" s="18"/>
      <c r="D13" s="3"/>
      <c r="E13" s="17">
        <v>362385</v>
      </c>
      <c r="F13" s="17"/>
      <c r="G13" s="842">
        <f t="shared" si="0"/>
        <v>362385</v>
      </c>
      <c r="H13" s="3"/>
      <c r="I13" s="17">
        <v>408447</v>
      </c>
      <c r="J13" s="17"/>
      <c r="K13" s="842">
        <f t="shared" si="1"/>
        <v>408447</v>
      </c>
      <c r="L13" s="3"/>
      <c r="M13" s="17">
        <v>466448</v>
      </c>
      <c r="N13" s="17"/>
      <c r="O13" s="842">
        <f t="shared" si="2"/>
        <v>466448</v>
      </c>
      <c r="P13" s="3"/>
      <c r="Q13" s="17">
        <v>489753</v>
      </c>
      <c r="R13" s="17"/>
      <c r="S13" s="842">
        <f t="shared" si="3"/>
        <v>489753</v>
      </c>
      <c r="T13" s="18" t="s">
        <v>17</v>
      </c>
      <c r="U13" s="19" t="s">
        <v>9</v>
      </c>
    </row>
    <row r="14" spans="1:21" s="20" customFormat="1" ht="18.75" customHeight="1" x14ac:dyDescent="0.2">
      <c r="A14" s="25">
        <v>580286607</v>
      </c>
      <c r="B14" s="26" t="s">
        <v>30</v>
      </c>
      <c r="C14" s="18"/>
      <c r="D14" s="3"/>
      <c r="E14" s="17">
        <f>48750*3+52550</f>
        <v>198800</v>
      </c>
      <c r="F14" s="24"/>
      <c r="G14" s="842">
        <f t="shared" si="0"/>
        <v>198800</v>
      </c>
      <c r="H14" s="3"/>
      <c r="I14" s="17">
        <f>72385*4</f>
        <v>289540</v>
      </c>
      <c r="J14" s="24"/>
      <c r="K14" s="842">
        <f t="shared" si="1"/>
        <v>289540</v>
      </c>
      <c r="L14" s="3"/>
      <c r="M14" s="17">
        <v>312864</v>
      </c>
      <c r="N14" s="24"/>
      <c r="O14" s="842">
        <f t="shared" si="2"/>
        <v>312864</v>
      </c>
      <c r="P14" s="3"/>
      <c r="Q14" s="17">
        <f>68148*4</f>
        <v>272592</v>
      </c>
      <c r="R14" s="24"/>
      <c r="S14" s="842">
        <f t="shared" si="3"/>
        <v>272592</v>
      </c>
      <c r="T14" s="18" t="s">
        <v>31</v>
      </c>
      <c r="U14" s="19" t="s">
        <v>32</v>
      </c>
    </row>
    <row r="15" spans="1:21" s="20" customFormat="1" ht="33.75" customHeight="1" x14ac:dyDescent="0.2">
      <c r="A15" s="25">
        <v>580282218</v>
      </c>
      <c r="B15" s="26" t="s">
        <v>34</v>
      </c>
      <c r="C15" s="18"/>
      <c r="D15" s="3"/>
      <c r="E15" s="17">
        <v>643613</v>
      </c>
      <c r="F15" s="17"/>
      <c r="G15" s="842">
        <f t="shared" si="0"/>
        <v>643613</v>
      </c>
      <c r="H15" s="3"/>
      <c r="I15" s="17">
        <v>687776</v>
      </c>
      <c r="J15" s="17"/>
      <c r="K15" s="842">
        <f t="shared" si="1"/>
        <v>687776</v>
      </c>
      <c r="L15" s="3"/>
      <c r="M15" s="17">
        <v>854035</v>
      </c>
      <c r="N15" s="17"/>
      <c r="O15" s="842">
        <f t="shared" si="2"/>
        <v>854035</v>
      </c>
      <c r="P15" s="3"/>
      <c r="Q15" s="17">
        <v>686796</v>
      </c>
      <c r="R15" s="17">
        <v>357246</v>
      </c>
      <c r="S15" s="842">
        <f t="shared" si="3"/>
        <v>1044042</v>
      </c>
      <c r="T15" s="18" t="s">
        <v>19</v>
      </c>
      <c r="U15" s="19" t="s">
        <v>9</v>
      </c>
    </row>
    <row r="16" spans="1:21" s="20" customFormat="1" ht="29.25" customHeight="1" x14ac:dyDescent="0.2">
      <c r="A16" s="25">
        <v>580280550</v>
      </c>
      <c r="B16" s="26" t="s">
        <v>35</v>
      </c>
      <c r="C16" s="18" t="s">
        <v>276</v>
      </c>
      <c r="D16" s="3"/>
      <c r="E16" s="17">
        <f>34985+30000</f>
        <v>64985</v>
      </c>
      <c r="F16" s="17"/>
      <c r="G16" s="842">
        <f t="shared" si="0"/>
        <v>64985</v>
      </c>
      <c r="H16" s="3"/>
      <c r="I16" s="17">
        <f>40000*2</f>
        <v>80000</v>
      </c>
      <c r="J16" s="17"/>
      <c r="K16" s="842">
        <f t="shared" si="1"/>
        <v>80000</v>
      </c>
      <c r="L16" s="3"/>
      <c r="M16" s="17">
        <v>91752</v>
      </c>
      <c r="N16" s="17"/>
      <c r="O16" s="842">
        <f t="shared" si="2"/>
        <v>91752</v>
      </c>
      <c r="P16" s="3"/>
      <c r="Q16" s="17">
        <f>50000*2</f>
        <v>100000</v>
      </c>
      <c r="R16" s="17"/>
      <c r="S16" s="842">
        <f t="shared" si="3"/>
        <v>100000</v>
      </c>
      <c r="T16" s="18" t="s">
        <v>36</v>
      </c>
      <c r="U16" s="19" t="s">
        <v>9</v>
      </c>
    </row>
    <row r="17" spans="1:21" s="20" customFormat="1" ht="21" customHeight="1" x14ac:dyDescent="0.2">
      <c r="A17" s="21">
        <v>580276822</v>
      </c>
      <c r="B17" s="16" t="s">
        <v>37</v>
      </c>
      <c r="C17" s="18"/>
      <c r="D17" s="3"/>
      <c r="E17" s="840">
        <f>20000+40000</f>
        <v>60000</v>
      </c>
      <c r="F17" s="17"/>
      <c r="G17" s="842">
        <f t="shared" si="0"/>
        <v>60000</v>
      </c>
      <c r="H17" s="3"/>
      <c r="I17" s="17">
        <f>20671+31007+17226</f>
        <v>68904</v>
      </c>
      <c r="J17" s="17"/>
      <c r="K17" s="842">
        <f t="shared" si="1"/>
        <v>68904</v>
      </c>
      <c r="L17" s="3"/>
      <c r="M17" s="17">
        <v>108980</v>
      </c>
      <c r="N17" s="17"/>
      <c r="O17" s="842">
        <f t="shared" si="2"/>
        <v>108980</v>
      </c>
      <c r="P17" s="3"/>
      <c r="Q17" s="17"/>
      <c r="R17" s="17"/>
      <c r="S17" s="842">
        <f t="shared" si="3"/>
        <v>0</v>
      </c>
      <c r="T17" s="18" t="s">
        <v>17</v>
      </c>
      <c r="U17" s="19" t="s">
        <v>9</v>
      </c>
    </row>
    <row r="18" spans="1:21" s="20" customFormat="1" ht="18.75" customHeight="1" x14ac:dyDescent="0.2">
      <c r="A18" s="25">
        <v>580258044</v>
      </c>
      <c r="B18" s="26" t="s">
        <v>38</v>
      </c>
      <c r="C18" s="18"/>
      <c r="D18" s="3"/>
      <c r="E18" s="17">
        <v>500000</v>
      </c>
      <c r="F18" s="17"/>
      <c r="G18" s="842">
        <f t="shared" si="0"/>
        <v>500000</v>
      </c>
      <c r="H18" s="3"/>
      <c r="I18" s="17">
        <v>981210</v>
      </c>
      <c r="J18" s="17">
        <v>46752</v>
      </c>
      <c r="K18" s="842">
        <f t="shared" si="1"/>
        <v>1027962</v>
      </c>
      <c r="L18" s="3"/>
      <c r="M18" s="17">
        <v>1203454</v>
      </c>
      <c r="N18" s="17">
        <v>81815</v>
      </c>
      <c r="O18" s="842">
        <f t="shared" si="2"/>
        <v>1285269</v>
      </c>
      <c r="P18" s="3"/>
      <c r="Q18" s="17">
        <v>1469365</v>
      </c>
      <c r="R18" s="17">
        <v>484287</v>
      </c>
      <c r="S18" s="842">
        <f t="shared" si="3"/>
        <v>1953652</v>
      </c>
      <c r="T18" s="18" t="s">
        <v>39</v>
      </c>
      <c r="U18" s="19" t="s">
        <v>9</v>
      </c>
    </row>
    <row r="19" spans="1:21" s="20" customFormat="1" ht="40.5" customHeight="1" x14ac:dyDescent="0.2">
      <c r="A19" s="21">
        <v>580257327</v>
      </c>
      <c r="B19" s="16" t="s">
        <v>40</v>
      </c>
      <c r="C19" s="18"/>
      <c r="D19" s="3"/>
      <c r="E19" s="17">
        <v>291640</v>
      </c>
      <c r="F19" s="24"/>
      <c r="G19" s="842">
        <f t="shared" si="0"/>
        <v>291640</v>
      </c>
      <c r="H19" s="3"/>
      <c r="I19" s="17">
        <v>376478</v>
      </c>
      <c r="J19" s="24"/>
      <c r="K19" s="842">
        <f t="shared" si="1"/>
        <v>376478</v>
      </c>
      <c r="L19" s="3"/>
      <c r="M19" s="17">
        <v>437704</v>
      </c>
      <c r="N19" s="24"/>
      <c r="O19" s="842">
        <f t="shared" si="2"/>
        <v>437704</v>
      </c>
      <c r="P19" s="3"/>
      <c r="Q19" s="17">
        <v>470724</v>
      </c>
      <c r="R19" s="24"/>
      <c r="S19" s="842">
        <f t="shared" si="3"/>
        <v>470724</v>
      </c>
      <c r="T19" s="18" t="s">
        <v>41</v>
      </c>
      <c r="U19" s="23" t="s">
        <v>9</v>
      </c>
    </row>
    <row r="20" spans="1:21" s="20" customFormat="1" ht="21" customHeight="1" x14ac:dyDescent="0.2">
      <c r="A20" s="25">
        <v>580253540</v>
      </c>
      <c r="B20" s="26" t="s">
        <v>42</v>
      </c>
      <c r="C20" s="18"/>
      <c r="D20" s="3"/>
      <c r="E20" s="17">
        <v>206532</v>
      </c>
      <c r="F20" s="17"/>
      <c r="G20" s="842">
        <f t="shared" si="0"/>
        <v>206532</v>
      </c>
      <c r="H20" s="3"/>
      <c r="I20" s="17">
        <v>238577</v>
      </c>
      <c r="J20" s="17"/>
      <c r="K20" s="842">
        <f t="shared" si="1"/>
        <v>238577</v>
      </c>
      <c r="L20" s="3"/>
      <c r="M20" s="17">
        <v>259532</v>
      </c>
      <c r="N20" s="17"/>
      <c r="O20" s="842">
        <f t="shared" si="2"/>
        <v>259532</v>
      </c>
      <c r="P20" s="3"/>
      <c r="Q20" s="17">
        <v>364934</v>
      </c>
      <c r="R20" s="17"/>
      <c r="S20" s="842">
        <f t="shared" si="3"/>
        <v>364934</v>
      </c>
      <c r="T20" s="18" t="s">
        <v>43</v>
      </c>
      <c r="U20" s="19" t="s">
        <v>9</v>
      </c>
    </row>
    <row r="21" spans="1:21" s="20" customFormat="1" ht="48.75" customHeight="1" x14ac:dyDescent="0.2">
      <c r="A21" s="25">
        <v>580246353</v>
      </c>
      <c r="B21" s="26" t="s">
        <v>44</v>
      </c>
      <c r="C21" s="18"/>
      <c r="D21" s="3"/>
      <c r="E21" s="17"/>
      <c r="F21" s="24"/>
      <c r="G21" s="842">
        <f t="shared" si="0"/>
        <v>0</v>
      </c>
      <c r="H21" s="3"/>
      <c r="I21" s="17"/>
      <c r="J21" s="24"/>
      <c r="K21" s="842">
        <f t="shared" si="1"/>
        <v>0</v>
      </c>
      <c r="L21" s="3"/>
      <c r="M21" s="17"/>
      <c r="N21" s="24"/>
      <c r="O21" s="842">
        <f t="shared" si="2"/>
        <v>0</v>
      </c>
      <c r="P21" s="3"/>
      <c r="Q21" s="17"/>
      <c r="R21" s="24"/>
      <c r="S21" s="842">
        <f t="shared" si="3"/>
        <v>0</v>
      </c>
      <c r="T21" s="18" t="s">
        <v>45</v>
      </c>
      <c r="U21" s="19" t="s">
        <v>9</v>
      </c>
    </row>
    <row r="22" spans="1:21" s="20" customFormat="1" ht="17.25" customHeight="1" x14ac:dyDescent="0.2">
      <c r="A22" s="21">
        <v>580243392</v>
      </c>
      <c r="B22" s="16" t="s">
        <v>46</v>
      </c>
      <c r="C22" s="18"/>
      <c r="D22" s="3"/>
      <c r="E22" s="17">
        <f>39052*5</f>
        <v>195260</v>
      </c>
      <c r="F22" s="17"/>
      <c r="G22" s="842">
        <f t="shared" si="0"/>
        <v>195260</v>
      </c>
      <c r="H22" s="3"/>
      <c r="I22" s="17">
        <f>39419*6</f>
        <v>236514</v>
      </c>
      <c r="J22" s="17"/>
      <c r="K22" s="842">
        <f t="shared" si="1"/>
        <v>236514</v>
      </c>
      <c r="L22" s="3"/>
      <c r="M22" s="17">
        <v>270204</v>
      </c>
      <c r="N22" s="17"/>
      <c r="O22" s="842">
        <f t="shared" si="2"/>
        <v>270204</v>
      </c>
      <c r="P22" s="3"/>
      <c r="Q22" s="17">
        <f>58730*6</f>
        <v>352380</v>
      </c>
      <c r="R22" s="17"/>
      <c r="S22" s="842">
        <f t="shared" si="3"/>
        <v>352380</v>
      </c>
      <c r="T22" s="18" t="s">
        <v>47</v>
      </c>
      <c r="U22" s="19" t="s">
        <v>12</v>
      </c>
    </row>
    <row r="23" spans="1:21" s="20" customFormat="1" ht="21.75" customHeight="1" x14ac:dyDescent="0.2">
      <c r="A23" s="25">
        <v>580233815</v>
      </c>
      <c r="B23" s="26" t="s">
        <v>48</v>
      </c>
      <c r="C23" s="18"/>
      <c r="D23" s="3"/>
      <c r="E23" s="17">
        <v>596828</v>
      </c>
      <c r="F23" s="17">
        <v>24922.447143138965</v>
      </c>
      <c r="G23" s="842">
        <f t="shared" si="0"/>
        <v>621750.44714313897</v>
      </c>
      <c r="H23" s="3"/>
      <c r="I23" s="17">
        <v>652806</v>
      </c>
      <c r="J23" s="849">
        <v>43614</v>
      </c>
      <c r="K23" s="842">
        <f t="shared" si="1"/>
        <v>696420</v>
      </c>
      <c r="L23" s="3"/>
      <c r="M23" s="17">
        <v>777547</v>
      </c>
      <c r="N23" s="849">
        <v>76325</v>
      </c>
      <c r="O23" s="842">
        <f t="shared" si="2"/>
        <v>853872</v>
      </c>
      <c r="P23" s="3"/>
      <c r="Q23" s="17">
        <v>584404</v>
      </c>
      <c r="R23" s="849">
        <f>300000+28855</f>
        <v>328855</v>
      </c>
      <c r="S23" s="842">
        <f t="shared" si="3"/>
        <v>913259</v>
      </c>
      <c r="T23" s="18" t="s">
        <v>19</v>
      </c>
      <c r="U23" s="19" t="s">
        <v>9</v>
      </c>
    </row>
    <row r="24" spans="1:21" s="20" customFormat="1" ht="34.5" customHeight="1" x14ac:dyDescent="0.2">
      <c r="A24" s="25">
        <v>580232239</v>
      </c>
      <c r="B24" s="26" t="s">
        <v>49</v>
      </c>
      <c r="C24" s="18"/>
      <c r="D24" s="3"/>
      <c r="E24" s="17">
        <v>745969</v>
      </c>
      <c r="F24" s="233">
        <v>29050.895997516363</v>
      </c>
      <c r="G24" s="842">
        <f t="shared" si="0"/>
        <v>775019.89599751635</v>
      </c>
      <c r="H24" s="3"/>
      <c r="I24" s="17">
        <v>541610</v>
      </c>
      <c r="J24" s="849">
        <v>50839</v>
      </c>
      <c r="K24" s="842">
        <f t="shared" si="1"/>
        <v>592449</v>
      </c>
      <c r="L24" s="3"/>
      <c r="M24" s="17">
        <v>857661</v>
      </c>
      <c r="N24" s="849">
        <v>88968</v>
      </c>
      <c r="O24" s="842">
        <f t="shared" si="2"/>
        <v>946629</v>
      </c>
      <c r="P24" s="3"/>
      <c r="Q24" s="17">
        <v>833411</v>
      </c>
      <c r="R24" s="849">
        <f>250000+112738</f>
        <v>362738</v>
      </c>
      <c r="S24" s="842">
        <f t="shared" si="3"/>
        <v>1196149</v>
      </c>
      <c r="T24" s="18" t="s">
        <v>25</v>
      </c>
      <c r="U24" s="23" t="s">
        <v>9</v>
      </c>
    </row>
    <row r="25" spans="1:21" s="20" customFormat="1" ht="23.25" customHeight="1" x14ac:dyDescent="0.2">
      <c r="A25" s="25">
        <v>580230514</v>
      </c>
      <c r="B25" s="26" t="s">
        <v>50</v>
      </c>
      <c r="C25" s="18"/>
      <c r="D25" s="3"/>
      <c r="E25" s="17">
        <f>47305*4</f>
        <v>189220</v>
      </c>
      <c r="F25" s="17"/>
      <c r="G25" s="842">
        <f t="shared" si="0"/>
        <v>189220</v>
      </c>
      <c r="H25" s="3"/>
      <c r="I25" s="17">
        <f>52797*4</f>
        <v>211188</v>
      </c>
      <c r="J25" s="17"/>
      <c r="K25" s="842">
        <f t="shared" si="1"/>
        <v>211188</v>
      </c>
      <c r="L25" s="3"/>
      <c r="M25" s="17">
        <v>252505</v>
      </c>
      <c r="N25" s="17"/>
      <c r="O25" s="842">
        <f t="shared" si="2"/>
        <v>252505</v>
      </c>
      <c r="P25" s="3"/>
      <c r="Q25" s="17">
        <f>75720*4</f>
        <v>302880</v>
      </c>
      <c r="R25" s="17"/>
      <c r="S25" s="842">
        <f t="shared" si="3"/>
        <v>302880</v>
      </c>
      <c r="T25" s="18" t="s">
        <v>51</v>
      </c>
      <c r="U25" s="19" t="s">
        <v>9</v>
      </c>
    </row>
    <row r="26" spans="1:21" s="20" customFormat="1" ht="21" customHeight="1" x14ac:dyDescent="0.2">
      <c r="A26" s="25">
        <v>580215390</v>
      </c>
      <c r="B26" s="26" t="s">
        <v>52</v>
      </c>
      <c r="C26" s="18"/>
      <c r="D26" s="3"/>
      <c r="E26" s="17">
        <v>119366</v>
      </c>
      <c r="F26" s="17"/>
      <c r="G26" s="842">
        <f t="shared" si="0"/>
        <v>119366</v>
      </c>
      <c r="H26" s="3"/>
      <c r="I26" s="842">
        <v>0</v>
      </c>
      <c r="J26" s="17"/>
      <c r="K26" s="842">
        <f t="shared" si="1"/>
        <v>0</v>
      </c>
      <c r="L26" s="3"/>
      <c r="M26" s="840">
        <v>163192</v>
      </c>
      <c r="N26" s="17"/>
      <c r="O26" s="842">
        <f t="shared" si="2"/>
        <v>163192</v>
      </c>
      <c r="P26" s="3"/>
      <c r="Q26" s="17">
        <v>180072</v>
      </c>
      <c r="R26" s="17"/>
      <c r="S26" s="842">
        <f t="shared" si="3"/>
        <v>180072</v>
      </c>
      <c r="T26" s="18" t="s">
        <v>23</v>
      </c>
      <c r="U26" s="19" t="s">
        <v>9</v>
      </c>
    </row>
    <row r="27" spans="1:21" s="20" customFormat="1" ht="29.25" customHeight="1" x14ac:dyDescent="0.2">
      <c r="A27" s="25">
        <v>580188241</v>
      </c>
      <c r="B27" s="26" t="s">
        <v>54</v>
      </c>
      <c r="C27" s="18" t="s">
        <v>275</v>
      </c>
      <c r="D27" s="3"/>
      <c r="E27" s="17"/>
      <c r="F27" s="17"/>
      <c r="G27" s="842">
        <f t="shared" si="0"/>
        <v>0</v>
      </c>
      <c r="H27" s="3"/>
      <c r="I27" s="17"/>
      <c r="J27" s="17"/>
      <c r="K27" s="842">
        <f t="shared" si="1"/>
        <v>0</v>
      </c>
      <c r="L27" s="3"/>
      <c r="M27" s="17"/>
      <c r="N27" s="17"/>
      <c r="O27" s="842">
        <f t="shared" si="2"/>
        <v>0</v>
      </c>
      <c r="P27" s="3"/>
      <c r="Q27" s="17"/>
      <c r="R27" s="17"/>
      <c r="S27" s="842">
        <f t="shared" si="3"/>
        <v>0</v>
      </c>
      <c r="T27" s="18" t="s">
        <v>39</v>
      </c>
      <c r="U27" s="19" t="s">
        <v>9</v>
      </c>
    </row>
    <row r="28" spans="1:21" s="20" customFormat="1" ht="29.25" customHeight="1" x14ac:dyDescent="0.2">
      <c r="A28" s="25">
        <v>580183523</v>
      </c>
      <c r="B28" s="26" t="s">
        <v>55</v>
      </c>
      <c r="C28" s="18"/>
      <c r="D28" s="3"/>
      <c r="E28" s="17">
        <v>499374</v>
      </c>
      <c r="F28" s="17"/>
      <c r="G28" s="842">
        <f t="shared" si="0"/>
        <v>499374</v>
      </c>
      <c r="H28" s="3"/>
      <c r="I28" s="17">
        <v>474939</v>
      </c>
      <c r="J28" s="17"/>
      <c r="K28" s="842">
        <f t="shared" si="1"/>
        <v>474939</v>
      </c>
      <c r="L28" s="3"/>
      <c r="M28" s="17">
        <v>485392</v>
      </c>
      <c r="N28" s="17"/>
      <c r="O28" s="842">
        <f t="shared" si="2"/>
        <v>485392</v>
      </c>
      <c r="P28" s="3"/>
      <c r="Q28" s="17">
        <v>427523</v>
      </c>
      <c r="R28" s="17"/>
      <c r="S28" s="842">
        <f t="shared" si="3"/>
        <v>427523</v>
      </c>
      <c r="T28" s="18" t="s">
        <v>13</v>
      </c>
      <c r="U28" s="19" t="s">
        <v>9</v>
      </c>
    </row>
    <row r="29" spans="1:21" s="20" customFormat="1" ht="30" customHeight="1" x14ac:dyDescent="0.2">
      <c r="A29" s="25">
        <v>580160257</v>
      </c>
      <c r="B29" s="26" t="s">
        <v>56</v>
      </c>
      <c r="C29" s="18"/>
      <c r="D29" s="3"/>
      <c r="E29" s="17">
        <v>316232</v>
      </c>
      <c r="F29" s="17"/>
      <c r="G29" s="842">
        <f t="shared" si="0"/>
        <v>316232</v>
      </c>
      <c r="H29" s="3"/>
      <c r="I29" s="17">
        <v>302456</v>
      </c>
      <c r="J29" s="17"/>
      <c r="K29" s="842">
        <f t="shared" si="1"/>
        <v>302456</v>
      </c>
      <c r="L29" s="3"/>
      <c r="M29" s="17">
        <v>313499</v>
      </c>
      <c r="N29" s="17"/>
      <c r="O29" s="842">
        <f t="shared" si="2"/>
        <v>313499</v>
      </c>
      <c r="P29" s="3"/>
      <c r="Q29" s="17">
        <v>344490</v>
      </c>
      <c r="R29" s="17"/>
      <c r="S29" s="842">
        <f t="shared" si="3"/>
        <v>344490</v>
      </c>
      <c r="T29" s="18" t="s">
        <v>43</v>
      </c>
      <c r="U29" s="19" t="s">
        <v>9</v>
      </c>
    </row>
    <row r="30" spans="1:21" s="20" customFormat="1" ht="39.75" customHeight="1" x14ac:dyDescent="0.2">
      <c r="A30" s="25">
        <v>580157550</v>
      </c>
      <c r="B30" s="26" t="s">
        <v>57</v>
      </c>
      <c r="C30" s="18"/>
      <c r="D30" s="3"/>
      <c r="E30" s="17">
        <v>366562</v>
      </c>
      <c r="F30" s="17"/>
      <c r="G30" s="842">
        <f t="shared" si="0"/>
        <v>366562</v>
      </c>
      <c r="H30" s="3"/>
      <c r="I30" s="17">
        <v>611450</v>
      </c>
      <c r="J30" s="17"/>
      <c r="K30" s="842">
        <f t="shared" si="1"/>
        <v>611450</v>
      </c>
      <c r="L30" s="3"/>
      <c r="M30" s="17">
        <v>746224</v>
      </c>
      <c r="N30" s="17">
        <v>211993</v>
      </c>
      <c r="O30" s="842">
        <f t="shared" si="2"/>
        <v>958217</v>
      </c>
      <c r="P30" s="3"/>
      <c r="Q30" s="17">
        <v>724673</v>
      </c>
      <c r="R30" s="17">
        <v>315607</v>
      </c>
      <c r="S30" s="842">
        <f t="shared" si="3"/>
        <v>1040280</v>
      </c>
      <c r="T30" s="18" t="s">
        <v>15</v>
      </c>
      <c r="U30" s="19" t="s">
        <v>9</v>
      </c>
    </row>
    <row r="31" spans="1:21" s="20" customFormat="1" ht="22.5" customHeight="1" x14ac:dyDescent="0.2">
      <c r="A31" s="25">
        <v>580147296</v>
      </c>
      <c r="B31" s="26" t="s">
        <v>58</v>
      </c>
      <c r="C31" s="18"/>
      <c r="D31" s="3"/>
      <c r="E31" s="17">
        <v>388169</v>
      </c>
      <c r="F31" s="17"/>
      <c r="G31" s="842">
        <f t="shared" si="0"/>
        <v>388169</v>
      </c>
      <c r="H31" s="3"/>
      <c r="I31" s="17">
        <v>393345</v>
      </c>
      <c r="J31" s="17"/>
      <c r="K31" s="842">
        <f t="shared" si="1"/>
        <v>393345</v>
      </c>
      <c r="L31" s="3"/>
      <c r="M31" s="17">
        <v>440560</v>
      </c>
      <c r="N31" s="17"/>
      <c r="O31" s="842">
        <f t="shared" si="2"/>
        <v>440560</v>
      </c>
      <c r="P31" s="3"/>
      <c r="Q31" s="17">
        <v>454758</v>
      </c>
      <c r="R31" s="17"/>
      <c r="S31" s="842">
        <f t="shared" si="3"/>
        <v>454758</v>
      </c>
      <c r="T31" s="18" t="s">
        <v>43</v>
      </c>
      <c r="U31" s="19" t="s">
        <v>9</v>
      </c>
    </row>
    <row r="32" spans="1:21" s="20" customFormat="1" ht="25.5" customHeight="1" x14ac:dyDescent="0.2">
      <c r="A32" s="25">
        <v>580072080</v>
      </c>
      <c r="B32" s="26" t="s">
        <v>59</v>
      </c>
      <c r="C32" s="18"/>
      <c r="D32" s="3"/>
      <c r="E32" s="17">
        <f>75603+20514</f>
        <v>96117</v>
      </c>
      <c r="F32" s="17"/>
      <c r="G32" s="842">
        <f t="shared" si="0"/>
        <v>96117</v>
      </c>
      <c r="H32" s="3"/>
      <c r="I32" s="17"/>
      <c r="J32" s="17"/>
      <c r="K32" s="842">
        <f t="shared" si="1"/>
        <v>0</v>
      </c>
      <c r="L32" s="3"/>
      <c r="M32" s="17"/>
      <c r="N32" s="17"/>
      <c r="O32" s="842">
        <f t="shared" si="2"/>
        <v>0</v>
      </c>
      <c r="P32" s="3"/>
      <c r="Q32" s="17"/>
      <c r="R32" s="17"/>
      <c r="S32" s="842">
        <f t="shared" si="3"/>
        <v>0</v>
      </c>
      <c r="T32" s="18" t="s">
        <v>60</v>
      </c>
      <c r="U32" s="19" t="s">
        <v>9</v>
      </c>
    </row>
    <row r="33" spans="1:21" s="20" customFormat="1" ht="25.5" customHeight="1" x14ac:dyDescent="0.2">
      <c r="A33" s="25">
        <v>580029429</v>
      </c>
      <c r="B33" s="28" t="s">
        <v>2996</v>
      </c>
      <c r="C33" s="18"/>
      <c r="D33" s="3"/>
      <c r="E33" s="17"/>
      <c r="F33" s="17"/>
      <c r="G33" s="842"/>
      <c r="H33" s="3"/>
      <c r="I33" s="17">
        <f>22500+52500</f>
        <v>75000</v>
      </c>
      <c r="J33" s="17"/>
      <c r="K33" s="842">
        <f t="shared" si="1"/>
        <v>75000</v>
      </c>
      <c r="L33" s="3"/>
      <c r="M33" s="17"/>
      <c r="N33" s="17"/>
      <c r="O33" s="842">
        <f t="shared" si="2"/>
        <v>0</v>
      </c>
      <c r="P33" s="3"/>
      <c r="Q33" s="17"/>
      <c r="R33" s="17"/>
      <c r="S33" s="842">
        <f t="shared" si="3"/>
        <v>0</v>
      </c>
      <c r="T33" s="18" t="s">
        <v>706</v>
      </c>
      <c r="U33" s="19" t="s">
        <v>12</v>
      </c>
    </row>
    <row r="34" spans="1:21" s="20" customFormat="1" ht="38.25" x14ac:dyDescent="0.2">
      <c r="A34" s="15">
        <v>580051068</v>
      </c>
      <c r="B34" s="27" t="s">
        <v>61</v>
      </c>
      <c r="C34" s="18"/>
      <c r="D34" s="3"/>
      <c r="E34" s="17">
        <f>40000+30000</f>
        <v>70000</v>
      </c>
      <c r="F34" s="17"/>
      <c r="G34" s="842">
        <f t="shared" si="0"/>
        <v>70000</v>
      </c>
      <c r="H34" s="3"/>
      <c r="I34" s="17"/>
      <c r="J34" s="17"/>
      <c r="K34" s="842">
        <f t="shared" si="1"/>
        <v>0</v>
      </c>
      <c r="L34" s="3"/>
      <c r="M34" s="17">
        <v>39263</v>
      </c>
      <c r="N34" s="17"/>
      <c r="O34" s="842">
        <f t="shared" si="2"/>
        <v>39263</v>
      </c>
      <c r="P34" s="3"/>
      <c r="Q34" s="17">
        <v>56000</v>
      </c>
      <c r="R34" s="17"/>
      <c r="S34" s="842">
        <f t="shared" si="3"/>
        <v>56000</v>
      </c>
      <c r="T34" s="18" t="s">
        <v>62</v>
      </c>
      <c r="U34" s="19" t="s">
        <v>9</v>
      </c>
    </row>
    <row r="35" spans="1:21" s="20" customFormat="1" ht="25.5" customHeight="1" x14ac:dyDescent="0.2">
      <c r="A35" s="25">
        <v>580037745</v>
      </c>
      <c r="B35" s="28" t="s">
        <v>63</v>
      </c>
      <c r="C35" s="18"/>
      <c r="D35" s="3"/>
      <c r="E35" s="17">
        <v>308212</v>
      </c>
      <c r="F35" s="17"/>
      <c r="G35" s="842">
        <f t="shared" si="0"/>
        <v>308212</v>
      </c>
      <c r="H35" s="3"/>
      <c r="I35" s="17">
        <v>346065</v>
      </c>
      <c r="J35" s="17"/>
      <c r="K35" s="842">
        <f t="shared" si="1"/>
        <v>346065</v>
      </c>
      <c r="L35" s="3"/>
      <c r="M35" s="17">
        <v>391863</v>
      </c>
      <c r="N35" s="17"/>
      <c r="O35" s="842">
        <f t="shared" si="2"/>
        <v>391863</v>
      </c>
      <c r="P35" s="3"/>
      <c r="Q35" s="17">
        <v>498820</v>
      </c>
      <c r="R35" s="17"/>
      <c r="S35" s="842">
        <f t="shared" si="3"/>
        <v>498820</v>
      </c>
      <c r="T35" s="18" t="s">
        <v>43</v>
      </c>
      <c r="U35" s="19" t="s">
        <v>9</v>
      </c>
    </row>
    <row r="36" spans="1:21" s="20" customFormat="1" ht="24.75" customHeight="1" x14ac:dyDescent="0.2">
      <c r="A36" s="25">
        <v>580030401</v>
      </c>
      <c r="B36" s="28" t="s">
        <v>64</v>
      </c>
      <c r="C36" s="18"/>
      <c r="D36" s="3"/>
      <c r="E36" s="17">
        <f>114089+48895</f>
        <v>162984</v>
      </c>
      <c r="F36" s="17"/>
      <c r="G36" s="842">
        <f t="shared" si="0"/>
        <v>162984</v>
      </c>
      <c r="H36" s="3"/>
      <c r="I36" s="17">
        <f>47446+110707</f>
        <v>158153</v>
      </c>
      <c r="J36" s="17"/>
      <c r="K36" s="842">
        <f t="shared" si="1"/>
        <v>158153</v>
      </c>
      <c r="L36" s="3"/>
      <c r="M36" s="840">
        <v>136270</v>
      </c>
      <c r="N36" s="17"/>
      <c r="O36" s="842">
        <f t="shared" si="2"/>
        <v>136270</v>
      </c>
      <c r="P36" s="3"/>
      <c r="Q36" s="17"/>
      <c r="R36" s="17"/>
      <c r="S36" s="842">
        <f t="shared" si="3"/>
        <v>0</v>
      </c>
      <c r="T36" s="18" t="s">
        <v>13</v>
      </c>
      <c r="U36" s="19" t="s">
        <v>9</v>
      </c>
    </row>
    <row r="37" spans="1:21" s="20" customFormat="1" ht="25.5" customHeight="1" x14ac:dyDescent="0.2">
      <c r="A37" s="25">
        <v>580010494</v>
      </c>
      <c r="B37" s="28" t="s">
        <v>3297</v>
      </c>
      <c r="C37" s="18"/>
      <c r="D37" s="3"/>
      <c r="E37" s="17">
        <f>40698+29284*4</f>
        <v>157834</v>
      </c>
      <c r="F37" s="17"/>
      <c r="G37" s="842">
        <f t="shared" si="0"/>
        <v>157834</v>
      </c>
      <c r="H37" s="3"/>
      <c r="I37" s="17">
        <f>92319+34620*4</f>
        <v>230799</v>
      </c>
      <c r="J37" s="17"/>
      <c r="K37" s="842">
        <f t="shared" si="1"/>
        <v>230799</v>
      </c>
      <c r="L37" s="3"/>
      <c r="M37" s="840">
        <v>244558</v>
      </c>
      <c r="N37" s="17"/>
      <c r="O37" s="842">
        <f t="shared" si="2"/>
        <v>244558</v>
      </c>
      <c r="P37" s="3"/>
      <c r="Q37" s="17">
        <f>29305*5+146524</f>
        <v>293049</v>
      </c>
      <c r="R37" s="17"/>
      <c r="S37" s="842">
        <f t="shared" si="3"/>
        <v>293049</v>
      </c>
      <c r="T37" s="18" t="s">
        <v>129</v>
      </c>
      <c r="U37" s="19" t="s">
        <v>9</v>
      </c>
    </row>
    <row r="38" spans="1:21" s="20" customFormat="1" ht="38.25" customHeight="1" x14ac:dyDescent="0.2">
      <c r="A38" s="25">
        <v>580379758</v>
      </c>
      <c r="B38" s="28" t="s">
        <v>65</v>
      </c>
      <c r="C38" s="18"/>
      <c r="D38" s="3"/>
      <c r="E38" s="17">
        <v>804162</v>
      </c>
      <c r="F38" s="17">
        <v>31317.162362634786</v>
      </c>
      <c r="G38" s="842">
        <f t="shared" si="0"/>
        <v>835479.16236263479</v>
      </c>
      <c r="H38" s="3"/>
      <c r="I38" s="17">
        <v>548409</v>
      </c>
      <c r="J38" s="17">
        <v>54805</v>
      </c>
      <c r="K38" s="842">
        <f t="shared" si="1"/>
        <v>603214</v>
      </c>
      <c r="L38" s="3"/>
      <c r="M38" s="17">
        <v>896905</v>
      </c>
      <c r="N38" s="17">
        <v>95909</v>
      </c>
      <c r="O38" s="842">
        <f t="shared" si="2"/>
        <v>992814</v>
      </c>
      <c r="P38" s="3"/>
      <c r="Q38" s="17">
        <v>859909</v>
      </c>
      <c r="R38" s="17">
        <f>200000+50000+109590</f>
        <v>359590</v>
      </c>
      <c r="S38" s="842">
        <f t="shared" si="3"/>
        <v>1219499</v>
      </c>
      <c r="T38" s="18" t="s">
        <v>13</v>
      </c>
      <c r="U38" s="23" t="s">
        <v>9</v>
      </c>
    </row>
    <row r="39" spans="1:21" s="20" customFormat="1" ht="37.5" customHeight="1" x14ac:dyDescent="0.2">
      <c r="A39" s="25">
        <v>580370294</v>
      </c>
      <c r="B39" s="28" t="s">
        <v>3298</v>
      </c>
      <c r="C39" s="18"/>
      <c r="D39" s="3"/>
      <c r="E39" s="17">
        <v>660505</v>
      </c>
      <c r="F39" s="17">
        <v>25722.579784457772</v>
      </c>
      <c r="G39" s="842">
        <f t="shared" si="0"/>
        <v>686227.5797844578</v>
      </c>
      <c r="H39" s="3"/>
      <c r="I39" s="17">
        <v>732190</v>
      </c>
      <c r="J39" s="17">
        <v>45015</v>
      </c>
      <c r="K39" s="842">
        <f t="shared" si="1"/>
        <v>777205</v>
      </c>
      <c r="L39" s="3"/>
      <c r="M39" s="17">
        <v>938533</v>
      </c>
      <c r="N39" s="17">
        <v>78775</v>
      </c>
      <c r="O39" s="842">
        <f t="shared" si="2"/>
        <v>1017308</v>
      </c>
      <c r="P39" s="3"/>
      <c r="Q39" s="17">
        <v>907475</v>
      </c>
      <c r="R39" s="17">
        <v>396942</v>
      </c>
      <c r="S39" s="842">
        <f t="shared" si="3"/>
        <v>1304417</v>
      </c>
      <c r="T39" s="18" t="s">
        <v>129</v>
      </c>
      <c r="U39" s="23" t="s">
        <v>9</v>
      </c>
    </row>
    <row r="40" spans="1:21" s="20" customFormat="1" ht="20.25" customHeight="1" x14ac:dyDescent="0.2">
      <c r="A40" s="25">
        <v>580228120</v>
      </c>
      <c r="B40" s="28" t="s">
        <v>67</v>
      </c>
      <c r="C40" s="18"/>
      <c r="D40" s="3"/>
      <c r="E40" s="17"/>
      <c r="F40" s="17"/>
      <c r="G40" s="842">
        <f t="shared" si="0"/>
        <v>0</v>
      </c>
      <c r="H40" s="3"/>
      <c r="I40" s="17"/>
      <c r="J40" s="17"/>
      <c r="K40" s="842">
        <f t="shared" si="1"/>
        <v>0</v>
      </c>
      <c r="L40" s="3"/>
      <c r="M40" s="17"/>
      <c r="N40" s="17"/>
      <c r="O40" s="842">
        <f t="shared" si="2"/>
        <v>0</v>
      </c>
      <c r="P40" s="3"/>
      <c r="Q40" s="17"/>
      <c r="R40" s="17"/>
      <c r="S40" s="842">
        <f t="shared" si="3"/>
        <v>0</v>
      </c>
      <c r="T40" s="18" t="s">
        <v>68</v>
      </c>
      <c r="U40" s="19" t="s">
        <v>9</v>
      </c>
    </row>
    <row r="41" spans="1:21" s="20" customFormat="1" ht="19.5" customHeight="1" x14ac:dyDescent="0.2">
      <c r="A41" s="25">
        <v>580372167</v>
      </c>
      <c r="B41" s="28" t="s">
        <v>69</v>
      </c>
      <c r="C41" s="18"/>
      <c r="D41" s="3"/>
      <c r="E41" s="17">
        <f>27038*4</f>
        <v>108152</v>
      </c>
      <c r="F41" s="24"/>
      <c r="G41" s="842">
        <f t="shared" si="0"/>
        <v>108152</v>
      </c>
      <c r="H41" s="3"/>
      <c r="I41" s="17">
        <f>33412*4</f>
        <v>133648</v>
      </c>
      <c r="J41" s="24"/>
      <c r="K41" s="842">
        <f t="shared" si="1"/>
        <v>133648</v>
      </c>
      <c r="L41" s="3"/>
      <c r="M41" s="17">
        <v>154424</v>
      </c>
      <c r="N41" s="24"/>
      <c r="O41" s="842">
        <f t="shared" si="2"/>
        <v>154424</v>
      </c>
      <c r="P41" s="3"/>
      <c r="Q41" s="17"/>
      <c r="R41" s="24"/>
      <c r="S41" s="842">
        <f t="shared" si="3"/>
        <v>0</v>
      </c>
      <c r="T41" s="18" t="s">
        <v>70</v>
      </c>
      <c r="U41" s="19" t="s">
        <v>9</v>
      </c>
    </row>
    <row r="42" spans="1:21" s="20" customFormat="1" ht="43.5" customHeight="1" x14ac:dyDescent="0.2">
      <c r="A42" s="25">
        <v>580375715</v>
      </c>
      <c r="B42" s="28" t="s">
        <v>71</v>
      </c>
      <c r="C42" s="18"/>
      <c r="D42" s="3"/>
      <c r="E42" s="17">
        <f>20665*5</f>
        <v>103325</v>
      </c>
      <c r="F42" s="17"/>
      <c r="G42" s="842">
        <f t="shared" si="0"/>
        <v>103325</v>
      </c>
      <c r="H42" s="3"/>
      <c r="I42" s="17">
        <f>36274*5</f>
        <v>181370</v>
      </c>
      <c r="J42" s="17"/>
      <c r="K42" s="842">
        <f t="shared" si="1"/>
        <v>181370</v>
      </c>
      <c r="L42" s="3"/>
      <c r="M42" s="17">
        <v>183270</v>
      </c>
      <c r="N42" s="17"/>
      <c r="O42" s="842">
        <f t="shared" si="2"/>
        <v>183270</v>
      </c>
      <c r="P42" s="3"/>
      <c r="Q42" s="17">
        <f>65661*2+114906+41038*2</f>
        <v>328304</v>
      </c>
      <c r="R42" s="17"/>
      <c r="S42" s="842">
        <f t="shared" si="3"/>
        <v>328304</v>
      </c>
      <c r="T42" s="18" t="s">
        <v>72</v>
      </c>
      <c r="U42" s="23" t="s">
        <v>9</v>
      </c>
    </row>
    <row r="43" spans="1:21" s="20" customFormat="1" ht="20.25" customHeight="1" x14ac:dyDescent="0.2">
      <c r="A43" s="25">
        <v>580416584</v>
      </c>
      <c r="B43" s="28" t="s">
        <v>74</v>
      </c>
      <c r="C43" s="18"/>
      <c r="D43" s="3"/>
      <c r="E43" s="17">
        <v>261535</v>
      </c>
      <c r="F43" s="17"/>
      <c r="G43" s="842">
        <f t="shared" si="0"/>
        <v>261535</v>
      </c>
      <c r="H43" s="3"/>
      <c r="I43" s="17">
        <v>305074</v>
      </c>
      <c r="J43" s="17"/>
      <c r="K43" s="842">
        <f t="shared" si="1"/>
        <v>305074</v>
      </c>
      <c r="L43" s="3"/>
      <c r="M43" s="17">
        <v>329370</v>
      </c>
      <c r="N43" s="17"/>
      <c r="O43" s="842">
        <f t="shared" si="2"/>
        <v>329370</v>
      </c>
      <c r="P43" s="3"/>
      <c r="Q43" s="17">
        <v>406051</v>
      </c>
      <c r="R43" s="17"/>
      <c r="S43" s="842">
        <f t="shared" si="3"/>
        <v>406051</v>
      </c>
      <c r="T43" s="18" t="s">
        <v>13</v>
      </c>
      <c r="U43" s="19" t="s">
        <v>9</v>
      </c>
    </row>
    <row r="44" spans="1:21" s="20" customFormat="1" ht="26.25" customHeight="1" x14ac:dyDescent="0.2">
      <c r="A44" s="25">
        <v>580437713</v>
      </c>
      <c r="B44" s="28" t="s">
        <v>75</v>
      </c>
      <c r="C44" s="18"/>
      <c r="D44" s="3"/>
      <c r="E44" s="17"/>
      <c r="F44" s="17"/>
      <c r="G44" s="842">
        <f t="shared" si="0"/>
        <v>0</v>
      </c>
      <c r="H44" s="3"/>
      <c r="I44" s="17">
        <f>30402*3</f>
        <v>91206</v>
      </c>
      <c r="J44" s="17"/>
      <c r="K44" s="842">
        <f t="shared" si="1"/>
        <v>91206</v>
      </c>
      <c r="L44" s="3"/>
      <c r="M44" s="17"/>
      <c r="N44" s="17"/>
      <c r="O44" s="842">
        <f t="shared" si="2"/>
        <v>0</v>
      </c>
      <c r="P44" s="3"/>
      <c r="Q44" s="17"/>
      <c r="R44" s="17"/>
      <c r="S44" s="842">
        <f t="shared" si="3"/>
        <v>0</v>
      </c>
      <c r="T44" s="18" t="s">
        <v>76</v>
      </c>
      <c r="U44" s="19" t="s">
        <v>9</v>
      </c>
    </row>
    <row r="45" spans="1:21" s="20" customFormat="1" ht="21.75" customHeight="1" x14ac:dyDescent="0.2">
      <c r="A45" s="25">
        <v>580089100</v>
      </c>
      <c r="B45" s="28" t="s">
        <v>77</v>
      </c>
      <c r="C45" s="18"/>
      <c r="D45" s="3"/>
      <c r="E45" s="17">
        <f>38794*2</f>
        <v>77588</v>
      </c>
      <c r="F45" s="17"/>
      <c r="G45" s="842">
        <f t="shared" si="0"/>
        <v>77588</v>
      </c>
      <c r="H45" s="3"/>
      <c r="I45" s="17">
        <f>39374*2</f>
        <v>78748</v>
      </c>
      <c r="J45" s="17"/>
      <c r="K45" s="842">
        <f t="shared" si="1"/>
        <v>78748</v>
      </c>
      <c r="L45" s="3"/>
      <c r="M45" s="17">
        <v>115000</v>
      </c>
      <c r="N45" s="17"/>
      <c r="O45" s="842">
        <f t="shared" si="2"/>
        <v>115000</v>
      </c>
      <c r="P45" s="3"/>
      <c r="Q45" s="17">
        <f>70000+60000</f>
        <v>130000</v>
      </c>
      <c r="R45" s="17"/>
      <c r="S45" s="842">
        <f t="shared" si="3"/>
        <v>130000</v>
      </c>
      <c r="T45" s="18" t="s">
        <v>78</v>
      </c>
      <c r="U45" s="19" t="s">
        <v>9</v>
      </c>
    </row>
    <row r="46" spans="1:21" s="20" customFormat="1" ht="25.5" customHeight="1" x14ac:dyDescent="0.2">
      <c r="A46" s="25">
        <v>580194561</v>
      </c>
      <c r="B46" s="28" t="s">
        <v>79</v>
      </c>
      <c r="C46" s="18"/>
      <c r="D46" s="3"/>
      <c r="E46" s="17">
        <f>26352*2</f>
        <v>52704</v>
      </c>
      <c r="F46" s="17"/>
      <c r="G46" s="842">
        <f t="shared" si="0"/>
        <v>52704</v>
      </c>
      <c r="H46" s="3"/>
      <c r="I46" s="17"/>
      <c r="J46" s="17"/>
      <c r="K46" s="842">
        <f t="shared" si="1"/>
        <v>0</v>
      </c>
      <c r="L46" s="3"/>
      <c r="M46" s="17"/>
      <c r="N46" s="17"/>
      <c r="O46" s="842">
        <f t="shared" si="2"/>
        <v>0</v>
      </c>
      <c r="P46" s="3"/>
      <c r="Q46" s="17"/>
      <c r="R46" s="17"/>
      <c r="S46" s="842">
        <f t="shared" si="3"/>
        <v>0</v>
      </c>
      <c r="T46" s="18" t="s">
        <v>53</v>
      </c>
      <c r="U46" s="19" t="s">
        <v>53</v>
      </c>
    </row>
    <row r="47" spans="1:21" s="20" customFormat="1" ht="38.25" customHeight="1" x14ac:dyDescent="0.2">
      <c r="A47" s="25">
        <v>580313229</v>
      </c>
      <c r="B47" s="28" t="s">
        <v>80</v>
      </c>
      <c r="C47" s="18"/>
      <c r="D47" s="3"/>
      <c r="E47" s="17">
        <f>40494*3</f>
        <v>121482</v>
      </c>
      <c r="F47" s="17"/>
      <c r="G47" s="842">
        <f t="shared" si="0"/>
        <v>121482</v>
      </c>
      <c r="H47" s="3"/>
      <c r="I47" s="17"/>
      <c r="J47" s="17"/>
      <c r="K47" s="842">
        <f t="shared" si="1"/>
        <v>0</v>
      </c>
      <c r="L47" s="3"/>
      <c r="M47" s="17"/>
      <c r="N47" s="17"/>
      <c r="O47" s="842">
        <f t="shared" si="2"/>
        <v>0</v>
      </c>
      <c r="P47" s="3"/>
      <c r="Q47" s="17"/>
      <c r="R47" s="17"/>
      <c r="S47" s="842">
        <f t="shared" si="3"/>
        <v>0</v>
      </c>
      <c r="T47" s="18" t="s">
        <v>33</v>
      </c>
      <c r="U47" s="19" t="s">
        <v>9</v>
      </c>
    </row>
    <row r="48" spans="1:21" s="20" customFormat="1" ht="42" customHeight="1" x14ac:dyDescent="0.2">
      <c r="A48" s="25">
        <v>580382844</v>
      </c>
      <c r="B48" s="28" t="s">
        <v>81</v>
      </c>
      <c r="C48" s="18"/>
      <c r="D48" s="3"/>
      <c r="E48" s="17">
        <v>205870</v>
      </c>
      <c r="F48" s="17"/>
      <c r="G48" s="842">
        <f t="shared" si="0"/>
        <v>205870</v>
      </c>
      <c r="H48" s="3"/>
      <c r="I48" s="17">
        <f>148756+59502+89254</f>
        <v>297512</v>
      </c>
      <c r="J48" s="17"/>
      <c r="K48" s="842">
        <f t="shared" si="1"/>
        <v>297512</v>
      </c>
      <c r="L48" s="3"/>
      <c r="M48" s="17">
        <v>317813</v>
      </c>
      <c r="N48" s="17"/>
      <c r="O48" s="842">
        <f t="shared" si="2"/>
        <v>317813</v>
      </c>
      <c r="P48" s="3"/>
      <c r="Q48" s="17">
        <f>184896+55469+129427</f>
        <v>369792</v>
      </c>
      <c r="R48" s="17"/>
      <c r="S48" s="842">
        <f t="shared" si="3"/>
        <v>369792</v>
      </c>
      <c r="T48" s="18" t="s">
        <v>2548</v>
      </c>
      <c r="U48" s="19" t="s">
        <v>9</v>
      </c>
    </row>
    <row r="49" spans="1:21" s="20" customFormat="1" ht="28.5" customHeight="1" x14ac:dyDescent="0.2">
      <c r="A49" s="25">
        <v>580388304</v>
      </c>
      <c r="B49" s="28" t="s">
        <v>82</v>
      </c>
      <c r="C49" s="18"/>
      <c r="D49" s="3"/>
      <c r="E49" s="17">
        <f>178500+135750+42750</f>
        <v>357000</v>
      </c>
      <c r="F49" s="17"/>
      <c r="G49" s="842">
        <f t="shared" si="0"/>
        <v>357000</v>
      </c>
      <c r="H49" s="3"/>
      <c r="I49" s="17">
        <f>209800+186489+69933</f>
        <v>466222</v>
      </c>
      <c r="J49" s="17"/>
      <c r="K49" s="842">
        <f t="shared" si="1"/>
        <v>466222</v>
      </c>
      <c r="L49" s="3"/>
      <c r="M49" s="17">
        <v>543731</v>
      </c>
      <c r="N49" s="17"/>
      <c r="O49" s="842">
        <f t="shared" si="2"/>
        <v>543731</v>
      </c>
      <c r="P49" s="3"/>
      <c r="Q49" s="17">
        <f>117985+265467+206475</f>
        <v>589927</v>
      </c>
      <c r="R49" s="17"/>
      <c r="S49" s="842">
        <f t="shared" si="3"/>
        <v>589927</v>
      </c>
      <c r="T49" s="18" t="s">
        <v>25</v>
      </c>
      <c r="U49" s="19" t="s">
        <v>9</v>
      </c>
    </row>
    <row r="50" spans="1:21" s="20" customFormat="1" ht="28.5" customHeight="1" x14ac:dyDescent="0.2">
      <c r="A50" s="25">
        <v>580409589</v>
      </c>
      <c r="B50" s="28" t="s">
        <v>83</v>
      </c>
      <c r="C50" s="18"/>
      <c r="D50" s="3"/>
      <c r="E50" s="17"/>
      <c r="F50" s="17"/>
      <c r="G50" s="842">
        <f t="shared" si="0"/>
        <v>0</v>
      </c>
      <c r="H50" s="3"/>
      <c r="I50" s="17">
        <v>45446</v>
      </c>
      <c r="J50" s="17"/>
      <c r="K50" s="842">
        <f t="shared" si="1"/>
        <v>45446</v>
      </c>
      <c r="L50" s="3"/>
      <c r="M50" s="17"/>
      <c r="N50" s="17"/>
      <c r="O50" s="842">
        <f t="shared" si="2"/>
        <v>0</v>
      </c>
      <c r="P50" s="3"/>
      <c r="Q50" s="17">
        <v>52000</v>
      </c>
      <c r="R50" s="17"/>
      <c r="S50" s="842">
        <f t="shared" si="3"/>
        <v>52000</v>
      </c>
      <c r="T50" s="18" t="s">
        <v>84</v>
      </c>
      <c r="U50" s="23" t="s">
        <v>28</v>
      </c>
    </row>
    <row r="51" spans="1:21" s="20" customFormat="1" ht="28.5" customHeight="1" x14ac:dyDescent="0.2">
      <c r="A51" s="25">
        <v>580425767</v>
      </c>
      <c r="B51" s="28" t="s">
        <v>85</v>
      </c>
      <c r="C51" s="18" t="s">
        <v>278</v>
      </c>
      <c r="D51" s="3"/>
      <c r="E51" s="17"/>
      <c r="F51" s="17"/>
      <c r="G51" s="842">
        <f t="shared" si="0"/>
        <v>0</v>
      </c>
      <c r="H51" s="3"/>
      <c r="I51" s="17"/>
      <c r="J51" s="17"/>
      <c r="K51" s="842">
        <f t="shared" si="1"/>
        <v>0</v>
      </c>
      <c r="L51" s="3"/>
      <c r="M51" s="17"/>
      <c r="N51" s="17"/>
      <c r="O51" s="842">
        <f t="shared" si="2"/>
        <v>0</v>
      </c>
      <c r="P51" s="3"/>
      <c r="Q51" s="17"/>
      <c r="R51" s="17"/>
      <c r="S51" s="842">
        <f t="shared" si="3"/>
        <v>0</v>
      </c>
      <c r="T51" s="18" t="s">
        <v>86</v>
      </c>
      <c r="U51" s="23" t="s">
        <v>9</v>
      </c>
    </row>
    <row r="52" spans="1:21" s="20" customFormat="1" ht="25.5" customHeight="1" x14ac:dyDescent="0.2">
      <c r="A52" s="25">
        <v>580426492</v>
      </c>
      <c r="B52" s="28" t="s">
        <v>87</v>
      </c>
      <c r="C52" s="18"/>
      <c r="D52" s="3"/>
      <c r="E52" s="17">
        <v>37286</v>
      </c>
      <c r="F52" s="17"/>
      <c r="G52" s="842">
        <f t="shared" si="0"/>
        <v>37286</v>
      </c>
      <c r="H52" s="3"/>
      <c r="I52" s="17">
        <v>44254</v>
      </c>
      <c r="J52" s="17"/>
      <c r="K52" s="842">
        <f t="shared" si="1"/>
        <v>44254</v>
      </c>
      <c r="L52" s="3"/>
      <c r="M52" s="17">
        <v>55468</v>
      </c>
      <c r="N52" s="17"/>
      <c r="O52" s="842">
        <f t="shared" si="2"/>
        <v>55468</v>
      </c>
      <c r="P52" s="3"/>
      <c r="Q52" s="17"/>
      <c r="R52" s="17"/>
      <c r="S52" s="842">
        <f t="shared" si="3"/>
        <v>0</v>
      </c>
      <c r="T52" s="18" t="s">
        <v>70</v>
      </c>
      <c r="U52" s="19" t="s">
        <v>9</v>
      </c>
    </row>
    <row r="53" spans="1:21" s="20" customFormat="1" ht="25.5" customHeight="1" x14ac:dyDescent="0.2">
      <c r="A53" s="25">
        <v>580442697</v>
      </c>
      <c r="B53" s="28" t="s">
        <v>88</v>
      </c>
      <c r="C53" s="18"/>
      <c r="D53" s="3"/>
      <c r="E53" s="17">
        <f>33779*2</f>
        <v>67558</v>
      </c>
      <c r="F53" s="17"/>
      <c r="G53" s="842">
        <f t="shared" si="0"/>
        <v>67558</v>
      </c>
      <c r="H53" s="3"/>
      <c r="I53" s="17">
        <f>55956*2</f>
        <v>111912</v>
      </c>
      <c r="J53" s="17"/>
      <c r="K53" s="842">
        <f t="shared" si="1"/>
        <v>111912</v>
      </c>
      <c r="L53" s="3"/>
      <c r="M53" s="17">
        <v>95810</v>
      </c>
      <c r="N53" s="17"/>
      <c r="O53" s="842">
        <f t="shared" si="2"/>
        <v>95810</v>
      </c>
      <c r="P53" s="3"/>
      <c r="Q53" s="17">
        <f>75952*2</f>
        <v>151904</v>
      </c>
      <c r="R53" s="17"/>
      <c r="S53" s="842">
        <f t="shared" si="3"/>
        <v>151904</v>
      </c>
      <c r="T53" s="18" t="s">
        <v>13</v>
      </c>
      <c r="U53" s="19" t="s">
        <v>9</v>
      </c>
    </row>
    <row r="54" spans="1:21" s="20" customFormat="1" ht="25.5" customHeight="1" x14ac:dyDescent="0.2">
      <c r="A54" s="25">
        <v>580277168</v>
      </c>
      <c r="B54" s="28" t="s">
        <v>89</v>
      </c>
      <c r="C54" s="18"/>
      <c r="D54" s="3"/>
      <c r="E54" s="17">
        <v>199407</v>
      </c>
      <c r="F54" s="17"/>
      <c r="G54" s="842">
        <f t="shared" si="0"/>
        <v>199407</v>
      </c>
      <c r="H54" s="3"/>
      <c r="I54" s="17">
        <v>239752</v>
      </c>
      <c r="J54" s="17"/>
      <c r="K54" s="842">
        <f t="shared" si="1"/>
        <v>239752</v>
      </c>
      <c r="L54" s="3"/>
      <c r="M54" s="17">
        <v>246777</v>
      </c>
      <c r="N54" s="17"/>
      <c r="O54" s="842">
        <f t="shared" si="2"/>
        <v>246777</v>
      </c>
      <c r="P54" s="3"/>
      <c r="Q54" s="17">
        <v>273775</v>
      </c>
      <c r="R54" s="17"/>
      <c r="S54" s="842">
        <f t="shared" si="3"/>
        <v>273775</v>
      </c>
      <c r="T54" s="18" t="s">
        <v>13</v>
      </c>
      <c r="U54" s="19" t="s">
        <v>9</v>
      </c>
    </row>
    <row r="55" spans="1:21" s="20" customFormat="1" ht="25.5" customHeight="1" x14ac:dyDescent="0.2">
      <c r="A55" s="25">
        <v>580407559</v>
      </c>
      <c r="B55" s="28" t="s">
        <v>91</v>
      </c>
      <c r="C55" s="18"/>
      <c r="D55" s="3"/>
      <c r="E55" s="840">
        <v>106268</v>
      </c>
      <c r="F55" s="17"/>
      <c r="G55" s="842">
        <f t="shared" si="0"/>
        <v>106268</v>
      </c>
      <c r="H55" s="3"/>
      <c r="I55" s="17"/>
      <c r="J55" s="17"/>
      <c r="K55" s="842">
        <f t="shared" si="1"/>
        <v>0</v>
      </c>
      <c r="L55" s="3"/>
      <c r="M55" s="17"/>
      <c r="N55" s="17"/>
      <c r="O55" s="842">
        <f t="shared" si="2"/>
        <v>0</v>
      </c>
      <c r="P55" s="3"/>
      <c r="Q55" s="17"/>
      <c r="R55" s="17"/>
      <c r="S55" s="842">
        <f t="shared" si="3"/>
        <v>0</v>
      </c>
      <c r="T55" s="18" t="s">
        <v>19</v>
      </c>
      <c r="U55" s="19" t="s">
        <v>9</v>
      </c>
    </row>
    <row r="56" spans="1:21" s="20" customFormat="1" ht="28.5" customHeight="1" x14ac:dyDescent="0.2">
      <c r="A56" s="25">
        <v>580463339</v>
      </c>
      <c r="B56" s="28" t="s">
        <v>92</v>
      </c>
      <c r="C56" s="18" t="s">
        <v>279</v>
      </c>
      <c r="D56" s="3"/>
      <c r="E56" s="17">
        <v>720000</v>
      </c>
      <c r="F56" s="17"/>
      <c r="G56" s="842">
        <f t="shared" si="0"/>
        <v>720000</v>
      </c>
      <c r="H56" s="3"/>
      <c r="I56" s="17">
        <v>616676</v>
      </c>
      <c r="J56" s="17">
        <v>150000</v>
      </c>
      <c r="K56" s="842">
        <f t="shared" si="1"/>
        <v>766676</v>
      </c>
      <c r="L56" s="3"/>
      <c r="M56" s="17">
        <v>848701</v>
      </c>
      <c r="N56" s="17">
        <v>167481</v>
      </c>
      <c r="O56" s="842">
        <f t="shared" si="2"/>
        <v>1016182</v>
      </c>
      <c r="P56" s="3"/>
      <c r="Q56" s="17">
        <v>729637</v>
      </c>
      <c r="R56" s="17">
        <v>358949</v>
      </c>
      <c r="S56" s="842">
        <f t="shared" si="3"/>
        <v>1088586</v>
      </c>
      <c r="T56" s="18" t="s">
        <v>2548</v>
      </c>
      <c r="U56" s="23" t="s">
        <v>9</v>
      </c>
    </row>
    <row r="57" spans="1:21" s="20" customFormat="1" ht="25.5" customHeight="1" x14ac:dyDescent="0.2">
      <c r="A57" s="25">
        <v>580394880</v>
      </c>
      <c r="B57" s="28" t="s">
        <v>95</v>
      </c>
      <c r="C57" s="18"/>
      <c r="D57" s="3"/>
      <c r="E57" s="17">
        <v>220055</v>
      </c>
      <c r="F57" s="17"/>
      <c r="G57" s="842">
        <f t="shared" si="0"/>
        <v>220055</v>
      </c>
      <c r="H57" s="3"/>
      <c r="I57" s="17">
        <v>291081</v>
      </c>
      <c r="J57" s="17"/>
      <c r="K57" s="842">
        <f t="shared" si="1"/>
        <v>291081</v>
      </c>
      <c r="L57" s="3"/>
      <c r="M57" s="17">
        <v>286123</v>
      </c>
      <c r="N57" s="17"/>
      <c r="O57" s="842">
        <f t="shared" si="2"/>
        <v>286123</v>
      </c>
      <c r="P57" s="3"/>
      <c r="Q57" s="17">
        <v>291844</v>
      </c>
      <c r="R57" s="17"/>
      <c r="S57" s="842">
        <f t="shared" si="3"/>
        <v>291844</v>
      </c>
      <c r="T57" s="18" t="s">
        <v>13</v>
      </c>
      <c r="U57" s="29" t="s">
        <v>9</v>
      </c>
    </row>
    <row r="58" spans="1:21" s="20" customFormat="1" ht="25.5" customHeight="1" x14ac:dyDescent="0.2">
      <c r="A58" s="25">
        <v>580450849</v>
      </c>
      <c r="B58" s="28" t="s">
        <v>96</v>
      </c>
      <c r="C58" s="18"/>
      <c r="D58" s="3"/>
      <c r="E58" s="17">
        <v>141152</v>
      </c>
      <c r="F58" s="17"/>
      <c r="G58" s="842">
        <f t="shared" si="0"/>
        <v>141152</v>
      </c>
      <c r="H58" s="3"/>
      <c r="I58" s="17">
        <v>231372</v>
      </c>
      <c r="J58" s="17"/>
      <c r="K58" s="842">
        <f t="shared" si="1"/>
        <v>231372</v>
      </c>
      <c r="L58" s="3"/>
      <c r="M58" s="17">
        <v>266746</v>
      </c>
      <c r="N58" s="17"/>
      <c r="O58" s="842">
        <f t="shared" si="2"/>
        <v>266746</v>
      </c>
      <c r="P58" s="3"/>
      <c r="Q58" s="17">
        <v>279675</v>
      </c>
      <c r="R58" s="17"/>
      <c r="S58" s="842">
        <f t="shared" si="3"/>
        <v>279675</v>
      </c>
      <c r="T58" s="18" t="s">
        <v>97</v>
      </c>
      <c r="U58" s="29" t="s">
        <v>9</v>
      </c>
    </row>
    <row r="59" spans="1:21" s="20" customFormat="1" ht="25.5" customHeight="1" x14ac:dyDescent="0.2">
      <c r="A59" s="25">
        <v>580460285</v>
      </c>
      <c r="B59" s="28" t="s">
        <v>98</v>
      </c>
      <c r="C59" s="18"/>
      <c r="D59" s="3"/>
      <c r="E59" s="17">
        <v>129065</v>
      </c>
      <c r="F59" s="17"/>
      <c r="G59" s="842">
        <f t="shared" ref="G59:G76" si="4">SUM(E59:F59)</f>
        <v>129065</v>
      </c>
      <c r="H59" s="3"/>
      <c r="I59" s="17">
        <v>125059</v>
      </c>
      <c r="J59" s="17"/>
      <c r="K59" s="842">
        <f t="shared" ref="K59:K76" si="5">SUM(I59:J59)</f>
        <v>125059</v>
      </c>
      <c r="L59" s="3"/>
      <c r="M59" s="840">
        <v>130087</v>
      </c>
      <c r="N59" s="17"/>
      <c r="O59" s="842">
        <f t="shared" ref="O59:O107" si="6">SUM(M59:N59)</f>
        <v>130087</v>
      </c>
      <c r="P59" s="3"/>
      <c r="Q59" s="17">
        <v>147862</v>
      </c>
      <c r="R59" s="17"/>
      <c r="S59" s="842">
        <f t="shared" ref="S59:S64" si="7">SUM(Q59:R59)</f>
        <v>147862</v>
      </c>
      <c r="T59" s="18" t="s">
        <v>99</v>
      </c>
      <c r="U59" s="29" t="s">
        <v>12</v>
      </c>
    </row>
    <row r="60" spans="1:21" s="20" customFormat="1" ht="25.5" customHeight="1" x14ac:dyDescent="0.2">
      <c r="A60" s="25">
        <v>580470383</v>
      </c>
      <c r="B60" s="28" t="s">
        <v>100</v>
      </c>
      <c r="C60" s="18"/>
      <c r="D60" s="3"/>
      <c r="E60" s="17">
        <v>398515</v>
      </c>
      <c r="F60" s="17"/>
      <c r="G60" s="842">
        <f t="shared" si="4"/>
        <v>398515</v>
      </c>
      <c r="H60" s="3"/>
      <c r="I60" s="17">
        <v>484699</v>
      </c>
      <c r="J60" s="17">
        <v>141736</v>
      </c>
      <c r="K60" s="842">
        <f t="shared" si="5"/>
        <v>626435</v>
      </c>
      <c r="L60" s="3"/>
      <c r="M60" s="840">
        <v>376263</v>
      </c>
      <c r="N60" s="840">
        <v>169486</v>
      </c>
      <c r="O60" s="842">
        <f t="shared" si="6"/>
        <v>545749</v>
      </c>
      <c r="P60" s="3"/>
      <c r="Q60" s="17">
        <v>634434</v>
      </c>
      <c r="R60" s="17"/>
      <c r="S60" s="842">
        <f t="shared" si="7"/>
        <v>634434</v>
      </c>
      <c r="T60" s="18" t="s">
        <v>101</v>
      </c>
      <c r="U60" s="29" t="s">
        <v>9</v>
      </c>
    </row>
    <row r="61" spans="1:21" s="20" customFormat="1" ht="30" customHeight="1" x14ac:dyDescent="0.2">
      <c r="A61" s="25">
        <v>580481620</v>
      </c>
      <c r="B61" s="28" t="s">
        <v>102</v>
      </c>
      <c r="C61" s="18"/>
      <c r="D61" s="3"/>
      <c r="E61" s="17">
        <v>268518</v>
      </c>
      <c r="F61" s="17"/>
      <c r="G61" s="842">
        <f t="shared" si="4"/>
        <v>268518</v>
      </c>
      <c r="H61" s="3"/>
      <c r="I61" s="17">
        <v>386315</v>
      </c>
      <c r="J61" s="17"/>
      <c r="K61" s="842">
        <f t="shared" si="5"/>
        <v>386315</v>
      </c>
      <c r="L61" s="3"/>
      <c r="M61" s="17">
        <v>379346</v>
      </c>
      <c r="N61" s="17"/>
      <c r="O61" s="842">
        <f t="shared" si="6"/>
        <v>379346</v>
      </c>
      <c r="P61" s="3"/>
      <c r="Q61" s="17">
        <v>539543</v>
      </c>
      <c r="R61" s="17"/>
      <c r="S61" s="842">
        <f t="shared" si="7"/>
        <v>539543</v>
      </c>
      <c r="T61" s="18" t="s">
        <v>13</v>
      </c>
      <c r="U61" s="29" t="s">
        <v>9</v>
      </c>
    </row>
    <row r="62" spans="1:21" s="20" customFormat="1" ht="25.5" customHeight="1" x14ac:dyDescent="0.2">
      <c r="A62" s="25">
        <v>580486173</v>
      </c>
      <c r="B62" s="28" t="s">
        <v>103</v>
      </c>
      <c r="C62" s="18"/>
      <c r="D62" s="3"/>
      <c r="E62" s="17">
        <v>784249</v>
      </c>
      <c r="F62" s="17">
        <v>30541.682900952648</v>
      </c>
      <c r="G62" s="842">
        <f t="shared" si="4"/>
        <v>814790.68290095264</v>
      </c>
      <c r="H62" s="3"/>
      <c r="I62" s="17">
        <v>1097203</v>
      </c>
      <c r="J62" s="17">
        <v>53448</v>
      </c>
      <c r="K62" s="842">
        <f t="shared" si="5"/>
        <v>1150651</v>
      </c>
      <c r="L62" s="3"/>
      <c r="M62" s="17">
        <v>1278285</v>
      </c>
      <c r="N62" s="17">
        <v>93534</v>
      </c>
      <c r="O62" s="842">
        <f t="shared" si="6"/>
        <v>1371819</v>
      </c>
      <c r="P62" s="3"/>
      <c r="Q62" s="17">
        <v>975197</v>
      </c>
      <c r="R62" s="17">
        <f>250000+100000+175824</f>
        <v>525824</v>
      </c>
      <c r="S62" s="842">
        <f t="shared" si="7"/>
        <v>1501021</v>
      </c>
      <c r="T62" s="18" t="s">
        <v>13</v>
      </c>
      <c r="U62" s="29" t="s">
        <v>9</v>
      </c>
    </row>
    <row r="63" spans="1:21" s="20" customFormat="1" ht="25.5" customHeight="1" x14ac:dyDescent="0.2">
      <c r="A63" s="25">
        <v>580354850</v>
      </c>
      <c r="B63" s="28" t="s">
        <v>2416</v>
      </c>
      <c r="C63" s="18"/>
      <c r="D63" s="3"/>
      <c r="E63" s="17">
        <v>118045</v>
      </c>
      <c r="F63" s="17"/>
      <c r="G63" s="842">
        <f t="shared" si="4"/>
        <v>118045</v>
      </c>
      <c r="H63" s="3"/>
      <c r="I63" s="17">
        <v>177382</v>
      </c>
      <c r="J63" s="17"/>
      <c r="K63" s="842">
        <f t="shared" si="5"/>
        <v>177382</v>
      </c>
      <c r="L63" s="3"/>
      <c r="M63" s="17">
        <v>218124</v>
      </c>
      <c r="N63" s="17"/>
      <c r="O63" s="842">
        <f t="shared" si="6"/>
        <v>218124</v>
      </c>
      <c r="P63" s="3"/>
      <c r="Q63" s="17">
        <v>356216</v>
      </c>
      <c r="R63" s="17"/>
      <c r="S63" s="842">
        <f t="shared" si="7"/>
        <v>356216</v>
      </c>
      <c r="T63" s="18" t="s">
        <v>22</v>
      </c>
      <c r="U63" s="29" t="s">
        <v>9</v>
      </c>
    </row>
    <row r="64" spans="1:21" s="20" customFormat="1" ht="25.5" customHeight="1" x14ac:dyDescent="0.2">
      <c r="A64" s="25">
        <v>580472892</v>
      </c>
      <c r="B64" s="28" t="s">
        <v>104</v>
      </c>
      <c r="C64" s="18"/>
      <c r="D64" s="3"/>
      <c r="E64" s="17">
        <v>553216</v>
      </c>
      <c r="F64" s="17">
        <v>21544.368030443402</v>
      </c>
      <c r="G64" s="842">
        <f t="shared" si="4"/>
        <v>574760.36803044344</v>
      </c>
      <c r="H64" s="3"/>
      <c r="I64" s="17">
        <v>634046</v>
      </c>
      <c r="J64" s="17">
        <v>37703</v>
      </c>
      <c r="K64" s="842">
        <f t="shared" si="5"/>
        <v>671749</v>
      </c>
      <c r="L64" s="3"/>
      <c r="M64" s="17">
        <v>734306</v>
      </c>
      <c r="N64" s="17">
        <v>65980</v>
      </c>
      <c r="O64" s="842">
        <f t="shared" si="6"/>
        <v>800286</v>
      </c>
      <c r="P64" s="3"/>
      <c r="Q64" s="17">
        <v>647732</v>
      </c>
      <c r="R64" s="17">
        <v>310566</v>
      </c>
      <c r="S64" s="842">
        <f t="shared" si="7"/>
        <v>958298</v>
      </c>
      <c r="T64" s="18" t="s">
        <v>129</v>
      </c>
      <c r="U64" s="29" t="s">
        <v>9</v>
      </c>
    </row>
    <row r="65" spans="1:21" s="20" customFormat="1" ht="25.5" customHeight="1" x14ac:dyDescent="0.2">
      <c r="A65" s="25">
        <v>580451136</v>
      </c>
      <c r="B65" s="28" t="s">
        <v>105</v>
      </c>
      <c r="C65" s="18"/>
      <c r="D65" s="3"/>
      <c r="E65" s="17">
        <v>128779</v>
      </c>
      <c r="F65" s="17"/>
      <c r="G65" s="842">
        <f t="shared" si="4"/>
        <v>128779</v>
      </c>
      <c r="H65" s="3"/>
      <c r="I65" s="17">
        <v>146484</v>
      </c>
      <c r="J65" s="17"/>
      <c r="K65" s="842">
        <f t="shared" si="5"/>
        <v>146484</v>
      </c>
      <c r="L65" s="3"/>
      <c r="M65" s="17">
        <v>178851</v>
      </c>
      <c r="N65" s="17"/>
      <c r="O65" s="842">
        <f>SUM(M65:N65)</f>
        <v>178851</v>
      </c>
      <c r="P65" s="3"/>
      <c r="Q65" s="17">
        <v>146593</v>
      </c>
      <c r="R65" s="17"/>
      <c r="S65" s="842">
        <f>SUM(Q65:R65)</f>
        <v>146593</v>
      </c>
      <c r="T65" s="18" t="s">
        <v>13</v>
      </c>
      <c r="U65" s="29" t="s">
        <v>9</v>
      </c>
    </row>
    <row r="66" spans="1:21" s="20" customFormat="1" ht="25.5" customHeight="1" x14ac:dyDescent="0.2">
      <c r="A66" s="25">
        <v>510703499</v>
      </c>
      <c r="B66" s="28" t="s">
        <v>106</v>
      </c>
      <c r="C66" s="18"/>
      <c r="D66" s="3"/>
      <c r="E66" s="17">
        <f>38542+29257</f>
        <v>67799</v>
      </c>
      <c r="F66" s="17"/>
      <c r="G66" s="842">
        <f t="shared" si="4"/>
        <v>67799</v>
      </c>
      <c r="H66" s="3"/>
      <c r="I66" s="17"/>
      <c r="J66" s="17"/>
      <c r="K66" s="842">
        <f t="shared" si="5"/>
        <v>0</v>
      </c>
      <c r="L66" s="3"/>
      <c r="M66" s="17">
        <v>72000</v>
      </c>
      <c r="N66" s="17"/>
      <c r="O66" s="842">
        <f t="shared" si="6"/>
        <v>72000</v>
      </c>
      <c r="P66" s="3"/>
      <c r="Q66" s="17">
        <f>42000+30000</f>
        <v>72000</v>
      </c>
      <c r="R66" s="17"/>
      <c r="S66" s="842">
        <f t="shared" ref="S66:S107" si="8">SUM(Q66:R66)</f>
        <v>72000</v>
      </c>
      <c r="T66" s="18" t="s">
        <v>107</v>
      </c>
      <c r="U66" s="29" t="s">
        <v>9</v>
      </c>
    </row>
    <row r="67" spans="1:21" s="20" customFormat="1" ht="25.5" customHeight="1" x14ac:dyDescent="0.2">
      <c r="A67" s="25">
        <v>580329209</v>
      </c>
      <c r="B67" s="28" t="s">
        <v>108</v>
      </c>
      <c r="C67" s="18"/>
      <c r="D67" s="3"/>
      <c r="E67" s="840">
        <v>103835</v>
      </c>
      <c r="F67" s="17"/>
      <c r="G67" s="842">
        <f t="shared" si="4"/>
        <v>103835</v>
      </c>
      <c r="H67" s="3"/>
      <c r="I67" s="17">
        <v>84263</v>
      </c>
      <c r="J67" s="17"/>
      <c r="K67" s="842">
        <f t="shared" si="5"/>
        <v>84263</v>
      </c>
      <c r="L67" s="3"/>
      <c r="M67" s="840">
        <v>98940</v>
      </c>
      <c r="N67" s="17"/>
      <c r="O67" s="842">
        <f t="shared" si="6"/>
        <v>98940</v>
      </c>
      <c r="P67" s="3"/>
      <c r="Q67" s="17"/>
      <c r="R67" s="17"/>
      <c r="S67" s="842">
        <f t="shared" si="8"/>
        <v>0</v>
      </c>
      <c r="T67" s="18" t="s">
        <v>109</v>
      </c>
      <c r="U67" s="29" t="s">
        <v>32</v>
      </c>
    </row>
    <row r="68" spans="1:21" s="20" customFormat="1" ht="25.5" x14ac:dyDescent="0.2">
      <c r="A68" s="25">
        <v>580463420</v>
      </c>
      <c r="B68" s="28" t="s">
        <v>110</v>
      </c>
      <c r="C68" s="18"/>
      <c r="D68" s="3"/>
      <c r="E68" s="840">
        <v>200000</v>
      </c>
      <c r="F68" s="17"/>
      <c r="G68" s="842">
        <f t="shared" si="4"/>
        <v>200000</v>
      </c>
      <c r="H68" s="3"/>
      <c r="I68" s="17">
        <v>195460</v>
      </c>
      <c r="J68" s="17"/>
      <c r="K68" s="842">
        <f t="shared" si="5"/>
        <v>195460</v>
      </c>
      <c r="L68" s="3"/>
      <c r="M68" s="17">
        <v>180319</v>
      </c>
      <c r="N68" s="17"/>
      <c r="O68" s="842">
        <f t="shared" si="6"/>
        <v>180319</v>
      </c>
      <c r="P68" s="3"/>
      <c r="Q68" s="17">
        <v>157533</v>
      </c>
      <c r="R68" s="17"/>
      <c r="S68" s="842">
        <f t="shared" si="8"/>
        <v>157533</v>
      </c>
      <c r="T68" s="18" t="s">
        <v>111</v>
      </c>
      <c r="U68" s="29" t="s">
        <v>9</v>
      </c>
    </row>
    <row r="69" spans="1:21" s="20" customFormat="1" ht="22.5" customHeight="1" x14ac:dyDescent="0.2">
      <c r="A69" s="25">
        <v>580501823</v>
      </c>
      <c r="B69" s="28" t="s">
        <v>112</v>
      </c>
      <c r="C69" s="18"/>
      <c r="D69" s="3"/>
      <c r="E69" s="17">
        <v>65024</v>
      </c>
      <c r="F69" s="17"/>
      <c r="G69" s="842">
        <f t="shared" si="4"/>
        <v>65024</v>
      </c>
      <c r="H69" s="3"/>
      <c r="I69" s="17">
        <v>107764</v>
      </c>
      <c r="J69" s="17"/>
      <c r="K69" s="842">
        <f t="shared" si="5"/>
        <v>107764</v>
      </c>
      <c r="L69" s="3"/>
      <c r="M69" s="17">
        <v>96431</v>
      </c>
      <c r="N69" s="17"/>
      <c r="O69" s="842">
        <f t="shared" si="6"/>
        <v>96431</v>
      </c>
      <c r="P69" s="3"/>
      <c r="Q69" s="17">
        <v>143097</v>
      </c>
      <c r="R69" s="17"/>
      <c r="S69" s="842">
        <f t="shared" si="8"/>
        <v>143097</v>
      </c>
      <c r="T69" s="18" t="s">
        <v>113</v>
      </c>
      <c r="U69" s="29" t="s">
        <v>9</v>
      </c>
    </row>
    <row r="70" spans="1:21" s="20" customFormat="1" ht="22.5" customHeight="1" x14ac:dyDescent="0.2">
      <c r="A70" s="25">
        <v>580494177</v>
      </c>
      <c r="B70" s="28" t="s">
        <v>115</v>
      </c>
      <c r="C70" s="18"/>
      <c r="D70" s="3"/>
      <c r="E70" s="17">
        <v>490199</v>
      </c>
      <c r="F70" s="17"/>
      <c r="G70" s="842">
        <f t="shared" si="4"/>
        <v>490199</v>
      </c>
      <c r="H70" s="3"/>
      <c r="I70" s="17">
        <v>461865</v>
      </c>
      <c r="J70" s="17"/>
      <c r="K70" s="842">
        <f t="shared" si="5"/>
        <v>461865</v>
      </c>
      <c r="L70" s="3"/>
      <c r="M70" s="17">
        <v>485959</v>
      </c>
      <c r="N70" s="17"/>
      <c r="O70" s="842">
        <f t="shared" si="6"/>
        <v>485959</v>
      </c>
      <c r="P70" s="3"/>
      <c r="Q70" s="17">
        <v>504047</v>
      </c>
      <c r="R70" s="17"/>
      <c r="S70" s="842">
        <f t="shared" si="8"/>
        <v>504047</v>
      </c>
      <c r="T70" s="18" t="s">
        <v>23</v>
      </c>
      <c r="U70" s="29" t="s">
        <v>9</v>
      </c>
    </row>
    <row r="71" spans="1:21" s="20" customFormat="1" ht="22.5" customHeight="1" x14ac:dyDescent="0.2">
      <c r="A71" s="25">
        <v>580069268</v>
      </c>
      <c r="B71" s="30" t="s">
        <v>116</v>
      </c>
      <c r="C71" s="18"/>
      <c r="D71" s="3"/>
      <c r="E71" s="17"/>
      <c r="F71" s="17"/>
      <c r="G71" s="842">
        <f t="shared" si="4"/>
        <v>0</v>
      </c>
      <c r="H71" s="3"/>
      <c r="I71" s="17">
        <v>40000</v>
      </c>
      <c r="J71" s="17"/>
      <c r="K71" s="842">
        <f t="shared" si="5"/>
        <v>40000</v>
      </c>
      <c r="L71" s="3"/>
      <c r="M71" s="17"/>
      <c r="N71" s="17"/>
      <c r="O71" s="842">
        <f t="shared" si="6"/>
        <v>0</v>
      </c>
      <c r="P71" s="3"/>
      <c r="Q71" s="17"/>
      <c r="R71" s="17"/>
      <c r="S71" s="842">
        <f t="shared" si="8"/>
        <v>0</v>
      </c>
      <c r="T71" s="18" t="s">
        <v>2099</v>
      </c>
      <c r="U71" s="29" t="s">
        <v>9</v>
      </c>
    </row>
    <row r="72" spans="1:21" s="20" customFormat="1" ht="22.5" customHeight="1" x14ac:dyDescent="0.2">
      <c r="A72" s="25">
        <v>580505352</v>
      </c>
      <c r="B72" s="30" t="s">
        <v>117</v>
      </c>
      <c r="C72" s="18"/>
      <c r="D72" s="3"/>
      <c r="E72" s="17">
        <v>306511</v>
      </c>
      <c r="F72" s="17"/>
      <c r="G72" s="842">
        <f t="shared" si="4"/>
        <v>306511</v>
      </c>
      <c r="H72" s="3"/>
      <c r="I72" s="17">
        <v>374191</v>
      </c>
      <c r="J72" s="17"/>
      <c r="K72" s="842">
        <f t="shared" si="5"/>
        <v>374191</v>
      </c>
      <c r="L72" s="3"/>
      <c r="M72" s="17">
        <v>423471</v>
      </c>
      <c r="N72" s="17"/>
      <c r="O72" s="842">
        <f t="shared" si="6"/>
        <v>423471</v>
      </c>
      <c r="P72" s="3"/>
      <c r="Q72" s="17">
        <v>397452</v>
      </c>
      <c r="R72" s="17"/>
      <c r="S72" s="842">
        <f t="shared" si="8"/>
        <v>397452</v>
      </c>
      <c r="T72" s="18" t="s">
        <v>13</v>
      </c>
      <c r="U72" s="29" t="s">
        <v>9</v>
      </c>
    </row>
    <row r="73" spans="1:21" s="20" customFormat="1" ht="22.5" customHeight="1" x14ac:dyDescent="0.2">
      <c r="A73" s="25">
        <v>580527307</v>
      </c>
      <c r="B73" s="30" t="s">
        <v>118</v>
      </c>
      <c r="C73" s="18"/>
      <c r="D73" s="3"/>
      <c r="E73" s="17">
        <v>117106</v>
      </c>
      <c r="F73" s="17"/>
      <c r="G73" s="842">
        <f t="shared" si="4"/>
        <v>117106</v>
      </c>
      <c r="H73" s="3"/>
      <c r="I73" s="17">
        <v>176522</v>
      </c>
      <c r="J73" s="17"/>
      <c r="K73" s="842">
        <f t="shared" si="5"/>
        <v>176522</v>
      </c>
      <c r="L73" s="3"/>
      <c r="M73" s="17">
        <v>144128</v>
      </c>
      <c r="N73" s="17"/>
      <c r="O73" s="842">
        <f t="shared" si="6"/>
        <v>144128</v>
      </c>
      <c r="P73" s="3"/>
      <c r="Q73" s="17">
        <v>222178</v>
      </c>
      <c r="R73" s="17"/>
      <c r="S73" s="842">
        <f t="shared" si="8"/>
        <v>222178</v>
      </c>
      <c r="T73" s="18" t="s">
        <v>119</v>
      </c>
      <c r="U73" s="29" t="s">
        <v>9</v>
      </c>
    </row>
    <row r="74" spans="1:21" s="20" customFormat="1" ht="22.5" customHeight="1" x14ac:dyDescent="0.2">
      <c r="A74" s="25">
        <v>580475721</v>
      </c>
      <c r="B74" s="30" t="s">
        <v>487</v>
      </c>
      <c r="C74" s="18"/>
      <c r="D74" s="3"/>
      <c r="E74" s="17">
        <v>367500</v>
      </c>
      <c r="F74" s="17"/>
      <c r="G74" s="842">
        <f t="shared" si="4"/>
        <v>367500</v>
      </c>
      <c r="H74" s="3"/>
      <c r="I74" s="17">
        <v>500000</v>
      </c>
      <c r="J74" s="17"/>
      <c r="K74" s="842">
        <f t="shared" si="5"/>
        <v>500000</v>
      </c>
      <c r="L74" s="3"/>
      <c r="M74" s="17">
        <v>674661</v>
      </c>
      <c r="N74" s="17"/>
      <c r="O74" s="842">
        <f t="shared" si="6"/>
        <v>674661</v>
      </c>
      <c r="P74" s="3"/>
      <c r="Q74" s="17">
        <v>800000</v>
      </c>
      <c r="R74" s="17"/>
      <c r="S74" s="842">
        <f t="shared" si="8"/>
        <v>800000</v>
      </c>
      <c r="T74" s="18" t="s">
        <v>1547</v>
      </c>
      <c r="U74" s="29" t="s">
        <v>32</v>
      </c>
    </row>
    <row r="75" spans="1:21" s="20" customFormat="1" ht="22.5" customHeight="1" x14ac:dyDescent="0.2">
      <c r="A75" s="25">
        <v>580484624</v>
      </c>
      <c r="B75" s="30" t="s">
        <v>2417</v>
      </c>
      <c r="C75" s="18"/>
      <c r="D75" s="3"/>
      <c r="E75" s="17">
        <v>349767</v>
      </c>
      <c r="F75" s="17"/>
      <c r="G75" s="842">
        <f t="shared" si="4"/>
        <v>349767</v>
      </c>
      <c r="H75" s="3"/>
      <c r="I75" s="17">
        <v>534365</v>
      </c>
      <c r="J75" s="17"/>
      <c r="K75" s="842">
        <f t="shared" si="5"/>
        <v>534365</v>
      </c>
      <c r="L75" s="3"/>
      <c r="M75" s="17">
        <v>529112</v>
      </c>
      <c r="N75" s="17"/>
      <c r="O75" s="842">
        <f t="shared" si="6"/>
        <v>529112</v>
      </c>
      <c r="P75" s="3"/>
      <c r="Q75" s="17">
        <v>446746</v>
      </c>
      <c r="R75" s="17"/>
      <c r="S75" s="842">
        <f t="shared" si="8"/>
        <v>446746</v>
      </c>
      <c r="T75" s="18" t="s">
        <v>129</v>
      </c>
      <c r="U75" s="29" t="s">
        <v>9</v>
      </c>
    </row>
    <row r="76" spans="1:21" s="20" customFormat="1" ht="22.5" customHeight="1" x14ac:dyDescent="0.2">
      <c r="A76" s="25">
        <v>580526218</v>
      </c>
      <c r="B76" s="30" t="s">
        <v>2418</v>
      </c>
      <c r="C76" s="18"/>
      <c r="D76" s="3"/>
      <c r="E76" s="17">
        <v>25875</v>
      </c>
      <c r="F76" s="17"/>
      <c r="G76" s="842">
        <f t="shared" si="4"/>
        <v>25875</v>
      </c>
      <c r="H76" s="3"/>
      <c r="I76" s="17"/>
      <c r="J76" s="17"/>
      <c r="K76" s="842">
        <f t="shared" si="5"/>
        <v>0</v>
      </c>
      <c r="L76" s="3"/>
      <c r="M76" s="17">
        <v>124830</v>
      </c>
      <c r="N76" s="17"/>
      <c r="O76" s="842">
        <f t="shared" si="6"/>
        <v>124830</v>
      </c>
      <c r="P76" s="3"/>
      <c r="Q76" s="17">
        <f>112500+105000+25000</f>
        <v>242500</v>
      </c>
      <c r="R76" s="17"/>
      <c r="S76" s="842">
        <f t="shared" si="8"/>
        <v>242500</v>
      </c>
      <c r="T76" s="18" t="s">
        <v>25</v>
      </c>
      <c r="U76" s="29" t="s">
        <v>9</v>
      </c>
    </row>
    <row r="77" spans="1:21" s="20" customFormat="1" ht="27" customHeight="1" x14ac:dyDescent="0.2">
      <c r="A77" s="25">
        <v>580515195</v>
      </c>
      <c r="B77" s="28" t="s">
        <v>274</v>
      </c>
      <c r="C77" s="18"/>
      <c r="D77" s="3"/>
      <c r="E77" s="17">
        <v>167794</v>
      </c>
      <c r="F77" s="17"/>
      <c r="G77" s="842">
        <f t="shared" ref="G77:G86" si="9">SUM(E77:F77)</f>
        <v>167794</v>
      </c>
      <c r="H77" s="3"/>
      <c r="I77" s="17">
        <v>245707</v>
      </c>
      <c r="J77" s="17"/>
      <c r="K77" s="842">
        <f t="shared" ref="K77:K90" si="10">SUM(I77:J77)</f>
        <v>245707</v>
      </c>
      <c r="L77" s="3"/>
      <c r="M77" s="17">
        <v>235393</v>
      </c>
      <c r="N77" s="17"/>
      <c r="O77" s="842">
        <f t="shared" si="6"/>
        <v>235393</v>
      </c>
      <c r="P77" s="3"/>
      <c r="Q77" s="17">
        <v>329139</v>
      </c>
      <c r="R77" s="17"/>
      <c r="S77" s="842">
        <f t="shared" si="8"/>
        <v>329139</v>
      </c>
      <c r="T77" s="18" t="s">
        <v>13</v>
      </c>
      <c r="U77" s="29" t="s">
        <v>9</v>
      </c>
    </row>
    <row r="78" spans="1:21" s="20" customFormat="1" ht="27" customHeight="1" x14ac:dyDescent="0.2">
      <c r="A78" s="25">
        <v>580544567</v>
      </c>
      <c r="B78" s="28" t="s">
        <v>2419</v>
      </c>
      <c r="C78" s="18"/>
      <c r="D78" s="3"/>
      <c r="E78" s="17">
        <v>141280</v>
      </c>
      <c r="F78" s="17"/>
      <c r="G78" s="842">
        <f t="shared" si="9"/>
        <v>141280</v>
      </c>
      <c r="H78" s="3"/>
      <c r="I78" s="17">
        <v>273581</v>
      </c>
      <c r="J78" s="17"/>
      <c r="K78" s="842">
        <f t="shared" si="10"/>
        <v>273581</v>
      </c>
      <c r="L78" s="3"/>
      <c r="M78" s="17">
        <v>303480</v>
      </c>
      <c r="N78" s="17"/>
      <c r="O78" s="842">
        <f t="shared" si="6"/>
        <v>303480</v>
      </c>
      <c r="P78" s="3"/>
      <c r="Q78" s="17">
        <v>347320</v>
      </c>
      <c r="R78" s="17"/>
      <c r="S78" s="842">
        <f t="shared" si="8"/>
        <v>347320</v>
      </c>
      <c r="T78" s="18" t="s">
        <v>13</v>
      </c>
      <c r="U78" s="29" t="s">
        <v>9</v>
      </c>
    </row>
    <row r="79" spans="1:21" s="20" customFormat="1" ht="27" customHeight="1" x14ac:dyDescent="0.2">
      <c r="A79" s="25">
        <v>580557767</v>
      </c>
      <c r="B79" s="28" t="s">
        <v>2397</v>
      </c>
      <c r="C79" s="18"/>
      <c r="D79" s="3"/>
      <c r="E79" s="17">
        <v>597501</v>
      </c>
      <c r="F79" s="17"/>
      <c r="G79" s="842">
        <f t="shared" si="9"/>
        <v>597501</v>
      </c>
      <c r="H79" s="3"/>
      <c r="I79" s="17">
        <v>750000</v>
      </c>
      <c r="J79" s="17"/>
      <c r="K79" s="842">
        <f t="shared" si="10"/>
        <v>750000</v>
      </c>
      <c r="L79" s="3"/>
      <c r="M79" s="17">
        <v>880000</v>
      </c>
      <c r="N79" s="17"/>
      <c r="O79" s="842">
        <f t="shared" si="6"/>
        <v>880000</v>
      </c>
      <c r="P79" s="3"/>
      <c r="Q79" s="17">
        <v>1130000</v>
      </c>
      <c r="R79" s="17"/>
      <c r="S79" s="842">
        <f t="shared" si="8"/>
        <v>1130000</v>
      </c>
      <c r="T79" s="164" t="s">
        <v>73</v>
      </c>
      <c r="U79" s="164" t="s">
        <v>136</v>
      </c>
    </row>
    <row r="80" spans="1:21" s="20" customFormat="1" ht="27" customHeight="1" x14ac:dyDescent="0.2">
      <c r="A80" s="25">
        <v>580422525</v>
      </c>
      <c r="B80" s="28" t="s">
        <v>2420</v>
      </c>
      <c r="C80" s="18"/>
      <c r="D80" s="3"/>
      <c r="E80" s="17">
        <v>253042</v>
      </c>
      <c r="F80" s="17"/>
      <c r="G80" s="842">
        <f t="shared" si="9"/>
        <v>253042</v>
      </c>
      <c r="H80" s="3"/>
      <c r="I80" s="17">
        <v>416656</v>
      </c>
      <c r="J80" s="17"/>
      <c r="K80" s="842">
        <f t="shared" si="10"/>
        <v>416656</v>
      </c>
      <c r="L80" s="3"/>
      <c r="M80" s="17">
        <v>435597</v>
      </c>
      <c r="N80" s="17"/>
      <c r="O80" s="842">
        <f t="shared" si="6"/>
        <v>435597</v>
      </c>
      <c r="P80" s="3"/>
      <c r="Q80" s="17">
        <v>793379</v>
      </c>
      <c r="R80" s="17"/>
      <c r="S80" s="842">
        <f t="shared" si="8"/>
        <v>793379</v>
      </c>
      <c r="T80" s="863" t="s">
        <v>2421</v>
      </c>
      <c r="U80" s="164" t="s">
        <v>9</v>
      </c>
    </row>
    <row r="81" spans="1:21" s="20" customFormat="1" ht="27" customHeight="1" x14ac:dyDescent="0.2">
      <c r="A81" s="25">
        <v>514712454</v>
      </c>
      <c r="B81" s="28" t="s">
        <v>2422</v>
      </c>
      <c r="C81" s="18"/>
      <c r="D81" s="3"/>
      <c r="E81" s="17">
        <v>685994</v>
      </c>
      <c r="F81" s="17">
        <v>26715.235497124366</v>
      </c>
      <c r="G81" s="842">
        <f t="shared" si="9"/>
        <v>712709.23549712438</v>
      </c>
      <c r="H81" s="3"/>
      <c r="I81" s="17">
        <v>830973</v>
      </c>
      <c r="J81" s="17">
        <v>46752</v>
      </c>
      <c r="K81" s="842">
        <f t="shared" si="10"/>
        <v>877725</v>
      </c>
      <c r="L81" s="3"/>
      <c r="M81" s="17">
        <v>1112353</v>
      </c>
      <c r="N81" s="17">
        <v>81815</v>
      </c>
      <c r="O81" s="842">
        <f t="shared" si="6"/>
        <v>1194168</v>
      </c>
      <c r="P81" s="3"/>
      <c r="Q81" s="17">
        <v>1035454</v>
      </c>
      <c r="R81" s="17">
        <f>250000+50000+170457</f>
        <v>470457</v>
      </c>
      <c r="S81" s="842">
        <f t="shared" si="8"/>
        <v>1505911</v>
      </c>
      <c r="T81" s="18" t="s">
        <v>13</v>
      </c>
      <c r="U81" s="29" t="s">
        <v>9</v>
      </c>
    </row>
    <row r="82" spans="1:21" s="20" customFormat="1" ht="27" customHeight="1" x14ac:dyDescent="0.2">
      <c r="A82" s="25">
        <v>580227973</v>
      </c>
      <c r="B82" s="28" t="s">
        <v>2545</v>
      </c>
      <c r="C82" s="18"/>
      <c r="D82" s="3"/>
      <c r="E82" s="17">
        <v>474392</v>
      </c>
      <c r="F82" s="17"/>
      <c r="G82" s="842">
        <f t="shared" si="9"/>
        <v>474392</v>
      </c>
      <c r="H82" s="3"/>
      <c r="I82" s="17">
        <v>571103</v>
      </c>
      <c r="J82" s="17"/>
      <c r="K82" s="842">
        <f t="shared" si="10"/>
        <v>571103</v>
      </c>
      <c r="L82" s="3"/>
      <c r="M82" s="17">
        <v>602241</v>
      </c>
      <c r="N82" s="17"/>
      <c r="O82" s="842">
        <f t="shared" si="6"/>
        <v>602241</v>
      </c>
      <c r="P82" s="3"/>
      <c r="Q82" s="17">
        <f>611039+67893</f>
        <v>678932</v>
      </c>
      <c r="R82" s="17"/>
      <c r="S82" s="842">
        <f t="shared" si="8"/>
        <v>678932</v>
      </c>
      <c r="T82" s="18" t="s">
        <v>2546</v>
      </c>
      <c r="U82" s="29" t="s">
        <v>9</v>
      </c>
    </row>
    <row r="83" spans="1:21" s="20" customFormat="1" ht="27" customHeight="1" x14ac:dyDescent="0.2">
      <c r="A83" s="25">
        <v>580240216</v>
      </c>
      <c r="B83" s="28" t="s">
        <v>2547</v>
      </c>
      <c r="C83" s="18"/>
      <c r="D83" s="3"/>
      <c r="E83" s="17">
        <f>30793+92378</f>
        <v>123171</v>
      </c>
      <c r="F83" s="17"/>
      <c r="G83" s="842">
        <f t="shared" si="9"/>
        <v>123171</v>
      </c>
      <c r="H83" s="3"/>
      <c r="I83" s="17">
        <f>102493+34164</f>
        <v>136657</v>
      </c>
      <c r="J83" s="17"/>
      <c r="K83" s="842">
        <f t="shared" si="10"/>
        <v>136657</v>
      </c>
      <c r="L83" s="3"/>
      <c r="M83" s="17">
        <v>127825.01</v>
      </c>
      <c r="N83" s="17"/>
      <c r="O83" s="842">
        <f t="shared" si="6"/>
        <v>127825.01</v>
      </c>
      <c r="P83" s="3"/>
      <c r="Q83" s="17">
        <f>83834+45141</f>
        <v>128975</v>
      </c>
      <c r="R83" s="17"/>
      <c r="S83" s="842">
        <f t="shared" si="8"/>
        <v>128975</v>
      </c>
      <c r="T83" s="18" t="s">
        <v>2548</v>
      </c>
      <c r="U83" s="29" t="s">
        <v>9</v>
      </c>
    </row>
    <row r="84" spans="1:21" s="20" customFormat="1" ht="27" customHeight="1" x14ac:dyDescent="0.2">
      <c r="A84" s="25">
        <v>580559300</v>
      </c>
      <c r="B84" s="28" t="s">
        <v>2549</v>
      </c>
      <c r="C84" s="18"/>
      <c r="D84" s="3"/>
      <c r="E84" s="17">
        <f>37537*2</f>
        <v>75074</v>
      </c>
      <c r="F84" s="17"/>
      <c r="G84" s="842">
        <f t="shared" si="9"/>
        <v>75074</v>
      </c>
      <c r="H84" s="3"/>
      <c r="I84" s="17">
        <v>70824</v>
      </c>
      <c r="J84" s="17"/>
      <c r="K84" s="842">
        <f t="shared" si="10"/>
        <v>70824</v>
      </c>
      <c r="L84" s="3"/>
      <c r="M84" s="17">
        <v>119906</v>
      </c>
      <c r="N84" s="17"/>
      <c r="O84" s="842">
        <f t="shared" si="6"/>
        <v>119906</v>
      </c>
      <c r="P84" s="3"/>
      <c r="Q84" s="17">
        <v>223963</v>
      </c>
      <c r="R84" s="17"/>
      <c r="S84" s="842">
        <f t="shared" si="8"/>
        <v>223963</v>
      </c>
      <c r="T84" s="18" t="s">
        <v>13</v>
      </c>
      <c r="U84" s="29" t="s">
        <v>9</v>
      </c>
    </row>
    <row r="85" spans="1:21" s="20" customFormat="1" ht="27" customHeight="1" x14ac:dyDescent="0.2">
      <c r="A85" s="25">
        <v>580469237</v>
      </c>
      <c r="B85" s="28" t="s">
        <v>2550</v>
      </c>
      <c r="C85" s="18"/>
      <c r="D85" s="3"/>
      <c r="E85" s="17">
        <v>86374</v>
      </c>
      <c r="F85" s="17"/>
      <c r="G85" s="842">
        <f t="shared" si="9"/>
        <v>86374</v>
      </c>
      <c r="H85" s="3"/>
      <c r="I85" s="17">
        <v>388333</v>
      </c>
      <c r="J85" s="17"/>
      <c r="K85" s="842">
        <f t="shared" si="10"/>
        <v>388333</v>
      </c>
      <c r="L85" s="3"/>
      <c r="M85" s="17">
        <v>460433</v>
      </c>
      <c r="N85" s="17"/>
      <c r="O85" s="842">
        <f t="shared" si="6"/>
        <v>460433</v>
      </c>
      <c r="P85" s="3"/>
      <c r="Q85" s="17">
        <v>354568</v>
      </c>
      <c r="R85" s="17"/>
      <c r="S85" s="842">
        <f t="shared" si="8"/>
        <v>354568</v>
      </c>
      <c r="T85" s="18" t="s">
        <v>2546</v>
      </c>
      <c r="U85" s="29" t="s">
        <v>9</v>
      </c>
    </row>
    <row r="86" spans="1:21" s="20" customFormat="1" ht="27" customHeight="1" x14ac:dyDescent="0.2">
      <c r="A86" s="25">
        <v>580551570</v>
      </c>
      <c r="B86" s="28" t="s">
        <v>2551</v>
      </c>
      <c r="C86" s="18"/>
      <c r="D86" s="3"/>
      <c r="E86" s="17">
        <f>24514*3</f>
        <v>73542</v>
      </c>
      <c r="F86" s="17"/>
      <c r="G86" s="842">
        <f t="shared" si="9"/>
        <v>73542</v>
      </c>
      <c r="H86" s="3"/>
      <c r="I86" s="17">
        <f>33380*3</f>
        <v>100140</v>
      </c>
      <c r="J86" s="17"/>
      <c r="K86" s="842">
        <f t="shared" si="10"/>
        <v>100140</v>
      </c>
      <c r="L86" s="3"/>
      <c r="M86" s="17">
        <v>110386</v>
      </c>
      <c r="N86" s="17"/>
      <c r="O86" s="842">
        <f t="shared" si="6"/>
        <v>110386</v>
      </c>
      <c r="P86" s="3"/>
      <c r="Q86" s="17">
        <f>30000*2+110125*2</f>
        <v>280250</v>
      </c>
      <c r="R86" s="17"/>
      <c r="S86" s="842">
        <f t="shared" si="8"/>
        <v>280250</v>
      </c>
      <c r="T86" s="18" t="s">
        <v>13</v>
      </c>
      <c r="U86" s="29" t="s">
        <v>9</v>
      </c>
    </row>
    <row r="87" spans="1:21" s="20" customFormat="1" ht="27" customHeight="1" x14ac:dyDescent="0.2">
      <c r="A87" s="25">
        <v>580566982</v>
      </c>
      <c r="B87" s="28" t="s">
        <v>3002</v>
      </c>
      <c r="C87" s="18"/>
      <c r="D87" s="3"/>
      <c r="E87" s="17"/>
      <c r="F87" s="17"/>
      <c r="G87" s="842"/>
      <c r="H87" s="3"/>
      <c r="I87" s="17">
        <v>108602</v>
      </c>
      <c r="J87" s="17"/>
      <c r="K87" s="842">
        <f t="shared" si="10"/>
        <v>108602</v>
      </c>
      <c r="L87" s="3"/>
      <c r="M87" s="17">
        <v>157167</v>
      </c>
      <c r="N87" s="17"/>
      <c r="O87" s="842">
        <f t="shared" si="6"/>
        <v>157167</v>
      </c>
      <c r="P87" s="3"/>
      <c r="Q87" s="17">
        <v>262298</v>
      </c>
      <c r="R87" s="17"/>
      <c r="S87" s="842">
        <f t="shared" si="8"/>
        <v>262298</v>
      </c>
      <c r="T87" s="18" t="s">
        <v>13</v>
      </c>
      <c r="U87" s="29" t="s">
        <v>9</v>
      </c>
    </row>
    <row r="88" spans="1:21" s="20" customFormat="1" ht="27" customHeight="1" x14ac:dyDescent="0.2">
      <c r="A88" s="25">
        <v>580591261</v>
      </c>
      <c r="B88" s="28" t="s">
        <v>3001</v>
      </c>
      <c r="C88" s="18"/>
      <c r="D88" s="3"/>
      <c r="E88" s="17"/>
      <c r="F88" s="17"/>
      <c r="G88" s="842"/>
      <c r="H88" s="3"/>
      <c r="I88" s="17">
        <v>477197</v>
      </c>
      <c r="J88" s="17"/>
      <c r="K88" s="842">
        <f t="shared" si="10"/>
        <v>477197</v>
      </c>
      <c r="L88" s="3"/>
      <c r="M88" s="17">
        <v>520947</v>
      </c>
      <c r="N88" s="17"/>
      <c r="O88" s="842">
        <f t="shared" si="6"/>
        <v>520947</v>
      </c>
      <c r="P88" s="3"/>
      <c r="Q88" s="17">
        <v>663850</v>
      </c>
      <c r="R88" s="17"/>
      <c r="S88" s="842">
        <f t="shared" si="8"/>
        <v>663850</v>
      </c>
      <c r="T88" s="18" t="s">
        <v>400</v>
      </c>
      <c r="U88" s="29" t="s">
        <v>32</v>
      </c>
    </row>
    <row r="89" spans="1:21" s="20" customFormat="1" ht="27" customHeight="1" x14ac:dyDescent="0.2">
      <c r="A89" s="25">
        <v>580523116</v>
      </c>
      <c r="B89" s="28" t="s">
        <v>3003</v>
      </c>
      <c r="C89" s="18"/>
      <c r="D89" s="3"/>
      <c r="E89" s="17"/>
      <c r="F89" s="17"/>
      <c r="G89" s="842"/>
      <c r="H89" s="3"/>
      <c r="I89" s="17">
        <v>313274</v>
      </c>
      <c r="J89" s="17"/>
      <c r="K89" s="842">
        <f t="shared" si="10"/>
        <v>313274</v>
      </c>
      <c r="L89" s="3"/>
      <c r="M89" s="17">
        <v>414838</v>
      </c>
      <c r="N89" s="17"/>
      <c r="O89" s="842">
        <f t="shared" si="6"/>
        <v>414838</v>
      </c>
      <c r="P89" s="3"/>
      <c r="Q89" s="17">
        <v>562762</v>
      </c>
      <c r="R89" s="17"/>
      <c r="S89" s="842">
        <f t="shared" si="8"/>
        <v>562762</v>
      </c>
      <c r="T89" s="18" t="s">
        <v>43</v>
      </c>
      <c r="U89" s="29" t="s">
        <v>9</v>
      </c>
    </row>
    <row r="90" spans="1:21" s="20" customFormat="1" ht="27" customHeight="1" x14ac:dyDescent="0.2">
      <c r="A90" s="25">
        <v>580575959</v>
      </c>
      <c r="B90" s="28" t="s">
        <v>3004</v>
      </c>
      <c r="C90" s="18"/>
      <c r="D90" s="3"/>
      <c r="E90" s="17"/>
      <c r="F90" s="17"/>
      <c r="G90" s="842"/>
      <c r="H90" s="3"/>
      <c r="I90" s="17">
        <v>48030</v>
      </c>
      <c r="J90" s="17"/>
      <c r="K90" s="842">
        <f t="shared" si="10"/>
        <v>48030</v>
      </c>
      <c r="L90" s="3"/>
      <c r="M90" s="17">
        <v>74778</v>
      </c>
      <c r="N90" s="17"/>
      <c r="O90" s="842">
        <f t="shared" si="6"/>
        <v>74778</v>
      </c>
      <c r="P90" s="3"/>
      <c r="Q90" s="17">
        <f>28623*3</f>
        <v>85869</v>
      </c>
      <c r="R90" s="17"/>
      <c r="S90" s="842">
        <f t="shared" si="8"/>
        <v>85869</v>
      </c>
      <c r="T90" s="18" t="s">
        <v>113</v>
      </c>
      <c r="U90" s="29" t="s">
        <v>9</v>
      </c>
    </row>
    <row r="91" spans="1:21" s="20" customFormat="1" ht="27" customHeight="1" x14ac:dyDescent="0.2">
      <c r="A91" s="25" t="s">
        <v>3191</v>
      </c>
      <c r="B91" s="28" t="s">
        <v>3192</v>
      </c>
      <c r="C91" s="18"/>
      <c r="D91" s="3"/>
      <c r="E91" s="17"/>
      <c r="F91" s="17"/>
      <c r="G91" s="842"/>
      <c r="H91" s="3"/>
      <c r="I91" s="17"/>
      <c r="J91" s="17"/>
      <c r="K91" s="842"/>
      <c r="L91" s="3"/>
      <c r="M91" s="17">
        <v>101712</v>
      </c>
      <c r="N91" s="17"/>
      <c r="O91" s="842">
        <f t="shared" ref="O91:O97" si="11">SUM(M91:N91)</f>
        <v>101712</v>
      </c>
      <c r="P91" s="3"/>
      <c r="Q91" s="17">
        <v>102289</v>
      </c>
      <c r="R91" s="17"/>
      <c r="S91" s="842">
        <f t="shared" si="8"/>
        <v>102289</v>
      </c>
      <c r="T91" s="18" t="s">
        <v>43</v>
      </c>
      <c r="U91" s="29" t="s">
        <v>9</v>
      </c>
    </row>
    <row r="92" spans="1:21" s="20" customFormat="1" ht="27" customHeight="1" x14ac:dyDescent="0.2">
      <c r="A92" s="25" t="s">
        <v>3193</v>
      </c>
      <c r="B92" s="28" t="s">
        <v>3194</v>
      </c>
      <c r="C92" s="18"/>
      <c r="D92" s="3"/>
      <c r="E92" s="17"/>
      <c r="F92" s="17"/>
      <c r="G92" s="842"/>
      <c r="H92" s="3"/>
      <c r="I92" s="17"/>
      <c r="J92" s="17"/>
      <c r="K92" s="842"/>
      <c r="L92" s="3"/>
      <c r="M92" s="17">
        <v>244175</v>
      </c>
      <c r="N92" s="17"/>
      <c r="O92" s="842">
        <f t="shared" si="11"/>
        <v>244175</v>
      </c>
      <c r="P92" s="3"/>
      <c r="Q92" s="17">
        <v>350140</v>
      </c>
      <c r="R92" s="17"/>
      <c r="S92" s="842">
        <f t="shared" si="8"/>
        <v>350140</v>
      </c>
      <c r="T92" s="18" t="s">
        <v>43</v>
      </c>
      <c r="U92" s="29" t="s">
        <v>9</v>
      </c>
    </row>
    <row r="93" spans="1:21" s="20" customFormat="1" ht="27" customHeight="1" x14ac:dyDescent="0.2">
      <c r="A93" s="25" t="s">
        <v>3181</v>
      </c>
      <c r="B93" s="28" t="s">
        <v>3182</v>
      </c>
      <c r="C93" s="18"/>
      <c r="D93" s="3"/>
      <c r="E93" s="17"/>
      <c r="F93" s="17"/>
      <c r="G93" s="842"/>
      <c r="H93" s="3"/>
      <c r="I93" s="17"/>
      <c r="J93" s="17"/>
      <c r="K93" s="842"/>
      <c r="L93" s="3"/>
      <c r="M93" s="17">
        <v>161968</v>
      </c>
      <c r="N93" s="17"/>
      <c r="O93" s="842">
        <f t="shared" si="11"/>
        <v>161968</v>
      </c>
      <c r="P93" s="3"/>
      <c r="Q93" s="17">
        <v>184752</v>
      </c>
      <c r="R93" s="17"/>
      <c r="S93" s="842">
        <f t="shared" si="8"/>
        <v>184752</v>
      </c>
      <c r="T93" s="435" t="s">
        <v>73</v>
      </c>
      <c r="U93" s="435" t="s">
        <v>136</v>
      </c>
    </row>
    <row r="94" spans="1:21" s="20" customFormat="1" ht="27" customHeight="1" x14ac:dyDescent="0.2">
      <c r="A94" s="25" t="s">
        <v>3195</v>
      </c>
      <c r="B94" s="28" t="s">
        <v>3196</v>
      </c>
      <c r="C94" s="18"/>
      <c r="D94" s="3"/>
      <c r="E94" s="17"/>
      <c r="F94" s="17"/>
      <c r="G94" s="842"/>
      <c r="H94" s="3"/>
      <c r="I94" s="17"/>
      <c r="J94" s="17"/>
      <c r="K94" s="842"/>
      <c r="L94" s="3"/>
      <c r="M94" s="17">
        <v>80628</v>
      </c>
      <c r="N94" s="17"/>
      <c r="O94" s="842">
        <f t="shared" si="11"/>
        <v>80628</v>
      </c>
      <c r="P94" s="3"/>
      <c r="Q94" s="17">
        <v>304334</v>
      </c>
      <c r="R94" s="17"/>
      <c r="S94" s="842">
        <f t="shared" si="8"/>
        <v>304334</v>
      </c>
      <c r="T94" s="960" t="s">
        <v>13</v>
      </c>
      <c r="U94" s="435" t="s">
        <v>9</v>
      </c>
    </row>
    <row r="95" spans="1:21" s="20" customFormat="1" ht="27" customHeight="1" x14ac:dyDescent="0.2">
      <c r="A95" s="25" t="s">
        <v>3199</v>
      </c>
      <c r="B95" s="28" t="s">
        <v>3200</v>
      </c>
      <c r="C95" s="18"/>
      <c r="D95" s="3"/>
      <c r="E95" s="17"/>
      <c r="F95" s="17"/>
      <c r="G95" s="842"/>
      <c r="H95" s="3"/>
      <c r="I95" s="17"/>
      <c r="J95" s="17"/>
      <c r="K95" s="842"/>
      <c r="L95" s="3"/>
      <c r="M95" s="17">
        <v>144086</v>
      </c>
      <c r="N95" s="17"/>
      <c r="O95" s="842">
        <f t="shared" si="11"/>
        <v>144086</v>
      </c>
      <c r="P95" s="3"/>
      <c r="Q95" s="17"/>
      <c r="R95" s="17"/>
      <c r="S95" s="842">
        <f t="shared" si="8"/>
        <v>0</v>
      </c>
      <c r="T95" s="960" t="s">
        <v>19</v>
      </c>
      <c r="U95" s="435" t="s">
        <v>9</v>
      </c>
    </row>
    <row r="96" spans="1:21" s="20" customFormat="1" ht="27" customHeight="1" x14ac:dyDescent="0.2">
      <c r="A96" s="25" t="s">
        <v>3197</v>
      </c>
      <c r="B96" s="28" t="s">
        <v>3198</v>
      </c>
      <c r="C96" s="18"/>
      <c r="D96" s="3"/>
      <c r="E96" s="17"/>
      <c r="F96" s="17"/>
      <c r="G96" s="842"/>
      <c r="H96" s="3"/>
      <c r="I96" s="17"/>
      <c r="J96" s="17"/>
      <c r="K96" s="842"/>
      <c r="L96" s="3"/>
      <c r="M96" s="17">
        <v>50388</v>
      </c>
      <c r="N96" s="17"/>
      <c r="O96" s="842">
        <f t="shared" si="11"/>
        <v>50388</v>
      </c>
      <c r="P96" s="3"/>
      <c r="Q96" s="17">
        <v>77879</v>
      </c>
      <c r="R96" s="17"/>
      <c r="S96" s="842">
        <f t="shared" si="8"/>
        <v>77879</v>
      </c>
      <c r="T96" s="960" t="s">
        <v>13</v>
      </c>
      <c r="U96" s="435" t="s">
        <v>9</v>
      </c>
    </row>
    <row r="97" spans="1:21" s="20" customFormat="1" ht="27" customHeight="1" x14ac:dyDescent="0.2">
      <c r="A97" s="25" t="s">
        <v>3201</v>
      </c>
      <c r="B97" s="28" t="s">
        <v>3202</v>
      </c>
      <c r="C97" s="18"/>
      <c r="D97" s="3"/>
      <c r="E97" s="17"/>
      <c r="F97" s="17"/>
      <c r="G97" s="842"/>
      <c r="H97" s="3"/>
      <c r="I97" s="17"/>
      <c r="J97" s="17"/>
      <c r="K97" s="842"/>
      <c r="L97" s="3"/>
      <c r="M97" s="17">
        <v>77450</v>
      </c>
      <c r="N97" s="17"/>
      <c r="O97" s="842">
        <f t="shared" si="11"/>
        <v>77450</v>
      </c>
      <c r="P97" s="3"/>
      <c r="Q97" s="17">
        <f>55271*2</f>
        <v>110542</v>
      </c>
      <c r="R97" s="17"/>
      <c r="S97" s="842">
        <f t="shared" si="8"/>
        <v>110542</v>
      </c>
      <c r="T97" s="960" t="s">
        <v>3203</v>
      </c>
      <c r="U97" s="435" t="s">
        <v>9</v>
      </c>
    </row>
    <row r="98" spans="1:21" s="20" customFormat="1" ht="27" customHeight="1" x14ac:dyDescent="0.2">
      <c r="A98" s="25">
        <v>580581643</v>
      </c>
      <c r="B98" s="28" t="s">
        <v>3286</v>
      </c>
      <c r="C98" s="18"/>
      <c r="D98" s="3"/>
      <c r="E98" s="17"/>
      <c r="F98" s="17"/>
      <c r="G98" s="842"/>
      <c r="H98" s="3"/>
      <c r="I98" s="17"/>
      <c r="J98" s="17"/>
      <c r="K98" s="842"/>
      <c r="L98" s="3"/>
      <c r="M98" s="17"/>
      <c r="N98" s="17"/>
      <c r="O98" s="842"/>
      <c r="P98" s="3"/>
      <c r="Q98" s="17">
        <v>272116</v>
      </c>
      <c r="R98" s="17"/>
      <c r="S98" s="842">
        <f t="shared" si="8"/>
        <v>272116</v>
      </c>
      <c r="T98" s="960" t="s">
        <v>2548</v>
      </c>
      <c r="U98" s="435" t="s">
        <v>9</v>
      </c>
    </row>
    <row r="99" spans="1:21" s="20" customFormat="1" ht="27" customHeight="1" x14ac:dyDescent="0.2">
      <c r="A99" s="25">
        <v>580631638</v>
      </c>
      <c r="B99" s="28" t="s">
        <v>3287</v>
      </c>
      <c r="C99" s="18"/>
      <c r="D99" s="3"/>
      <c r="E99" s="17"/>
      <c r="F99" s="17"/>
      <c r="G99" s="842"/>
      <c r="H99" s="3"/>
      <c r="I99" s="17"/>
      <c r="J99" s="17"/>
      <c r="K99" s="842"/>
      <c r="L99" s="3"/>
      <c r="M99" s="17"/>
      <c r="N99" s="17"/>
      <c r="O99" s="842"/>
      <c r="P99" s="3"/>
      <c r="Q99" s="17">
        <v>314980</v>
      </c>
      <c r="R99" s="17"/>
      <c r="S99" s="842">
        <f t="shared" si="8"/>
        <v>314980</v>
      </c>
      <c r="T99" s="960" t="s">
        <v>13</v>
      </c>
      <c r="U99" s="435" t="s">
        <v>9</v>
      </c>
    </row>
    <row r="100" spans="1:21" s="20" customFormat="1" ht="27" customHeight="1" x14ac:dyDescent="0.2">
      <c r="A100" s="25">
        <v>580327740</v>
      </c>
      <c r="B100" s="28" t="s">
        <v>3288</v>
      </c>
      <c r="C100" s="18"/>
      <c r="D100" s="3"/>
      <c r="E100" s="17"/>
      <c r="F100" s="17"/>
      <c r="G100" s="842"/>
      <c r="H100" s="3"/>
      <c r="I100" s="17"/>
      <c r="J100" s="17"/>
      <c r="K100" s="842"/>
      <c r="L100" s="3"/>
      <c r="M100" s="17"/>
      <c r="N100" s="17"/>
      <c r="O100" s="842"/>
      <c r="P100" s="3"/>
      <c r="Q100" s="17">
        <v>80000</v>
      </c>
      <c r="R100" s="17"/>
      <c r="S100" s="842">
        <f t="shared" si="8"/>
        <v>80000</v>
      </c>
      <c r="T100" s="960" t="s">
        <v>443</v>
      </c>
      <c r="U100" s="435" t="s">
        <v>136</v>
      </c>
    </row>
    <row r="101" spans="1:21" s="20" customFormat="1" ht="27" customHeight="1" x14ac:dyDescent="0.2">
      <c r="A101" s="25">
        <v>580457307</v>
      </c>
      <c r="B101" s="28" t="s">
        <v>3289</v>
      </c>
      <c r="C101" s="18"/>
      <c r="D101" s="3"/>
      <c r="E101" s="17"/>
      <c r="F101" s="17"/>
      <c r="G101" s="842"/>
      <c r="H101" s="3"/>
      <c r="I101" s="17"/>
      <c r="J101" s="17"/>
      <c r="K101" s="842"/>
      <c r="L101" s="3"/>
      <c r="M101" s="17"/>
      <c r="N101" s="17"/>
      <c r="O101" s="842"/>
      <c r="P101" s="3"/>
      <c r="Q101" s="17">
        <v>181905</v>
      </c>
      <c r="R101" s="17"/>
      <c r="S101" s="842">
        <f t="shared" si="8"/>
        <v>181905</v>
      </c>
      <c r="T101" s="960" t="s">
        <v>3290</v>
      </c>
      <c r="U101" s="435" t="s">
        <v>9</v>
      </c>
    </row>
    <row r="102" spans="1:21" s="20" customFormat="1" ht="27" customHeight="1" x14ac:dyDescent="0.2">
      <c r="A102" s="25">
        <v>580350767</v>
      </c>
      <c r="B102" s="28" t="s">
        <v>66</v>
      </c>
      <c r="C102" s="18"/>
      <c r="D102" s="3"/>
      <c r="E102" s="17"/>
      <c r="F102" s="17"/>
      <c r="G102" s="842"/>
      <c r="H102" s="3"/>
      <c r="I102" s="17"/>
      <c r="J102" s="17"/>
      <c r="K102" s="842"/>
      <c r="L102" s="3"/>
      <c r="M102" s="17"/>
      <c r="N102" s="17"/>
      <c r="O102" s="842"/>
      <c r="P102" s="3"/>
      <c r="Q102" s="17">
        <v>196643</v>
      </c>
      <c r="R102" s="17"/>
      <c r="S102" s="842">
        <f t="shared" si="8"/>
        <v>196643</v>
      </c>
      <c r="T102" s="960" t="s">
        <v>17</v>
      </c>
      <c r="U102" s="435" t="s">
        <v>9</v>
      </c>
    </row>
    <row r="103" spans="1:21" s="20" customFormat="1" ht="27" customHeight="1" x14ac:dyDescent="0.2">
      <c r="A103" s="25">
        <v>580625952</v>
      </c>
      <c r="B103" s="28" t="s">
        <v>3291</v>
      </c>
      <c r="C103" s="18"/>
      <c r="D103" s="3"/>
      <c r="E103" s="17"/>
      <c r="F103" s="17"/>
      <c r="G103" s="842"/>
      <c r="H103" s="3"/>
      <c r="I103" s="17"/>
      <c r="J103" s="17"/>
      <c r="K103" s="842"/>
      <c r="L103" s="3"/>
      <c r="M103" s="17"/>
      <c r="N103" s="17"/>
      <c r="O103" s="842"/>
      <c r="P103" s="3"/>
      <c r="Q103" s="17">
        <v>600000</v>
      </c>
      <c r="R103" s="17"/>
      <c r="S103" s="842">
        <f t="shared" si="8"/>
        <v>600000</v>
      </c>
      <c r="T103" s="960" t="s">
        <v>3292</v>
      </c>
      <c r="U103" s="435" t="s">
        <v>9</v>
      </c>
    </row>
    <row r="104" spans="1:21" s="20" customFormat="1" ht="27" customHeight="1" x14ac:dyDescent="0.2">
      <c r="A104" s="25">
        <v>580630481</v>
      </c>
      <c r="B104" s="28" t="s">
        <v>3293</v>
      </c>
      <c r="C104" s="18"/>
      <c r="D104" s="3"/>
      <c r="E104" s="17"/>
      <c r="F104" s="17"/>
      <c r="G104" s="842"/>
      <c r="H104" s="3"/>
      <c r="I104" s="17"/>
      <c r="J104" s="17"/>
      <c r="K104" s="842"/>
      <c r="L104" s="3"/>
      <c r="M104" s="17"/>
      <c r="N104" s="17"/>
      <c r="O104" s="842"/>
      <c r="P104" s="3"/>
      <c r="Q104" s="17">
        <v>292604</v>
      </c>
      <c r="R104" s="17"/>
      <c r="S104" s="842">
        <f t="shared" si="8"/>
        <v>292604</v>
      </c>
      <c r="T104" s="960" t="s">
        <v>39</v>
      </c>
      <c r="U104" s="435" t="s">
        <v>9</v>
      </c>
    </row>
    <row r="105" spans="1:21" s="20" customFormat="1" ht="27" customHeight="1" x14ac:dyDescent="0.2">
      <c r="A105" s="25">
        <v>580619708</v>
      </c>
      <c r="B105" s="28" t="s">
        <v>3294</v>
      </c>
      <c r="C105" s="18"/>
      <c r="D105" s="3"/>
      <c r="E105" s="17"/>
      <c r="F105" s="17"/>
      <c r="G105" s="842"/>
      <c r="H105" s="3"/>
      <c r="I105" s="17"/>
      <c r="J105" s="17"/>
      <c r="K105" s="842"/>
      <c r="L105" s="3"/>
      <c r="M105" s="17"/>
      <c r="N105" s="17"/>
      <c r="O105" s="842"/>
      <c r="P105" s="3"/>
      <c r="Q105" s="17">
        <v>248693</v>
      </c>
      <c r="R105" s="17"/>
      <c r="S105" s="842">
        <f t="shared" si="8"/>
        <v>248693</v>
      </c>
      <c r="T105" s="960" t="s">
        <v>2548</v>
      </c>
      <c r="U105" s="435" t="s">
        <v>9</v>
      </c>
    </row>
    <row r="106" spans="1:21" s="20" customFormat="1" ht="27" customHeight="1" x14ac:dyDescent="0.2">
      <c r="A106" s="25">
        <v>580624385</v>
      </c>
      <c r="B106" s="28" t="s">
        <v>3295</v>
      </c>
      <c r="C106" s="18"/>
      <c r="D106" s="3"/>
      <c r="E106" s="17"/>
      <c r="F106" s="17"/>
      <c r="G106" s="842"/>
      <c r="H106" s="3"/>
      <c r="I106" s="17"/>
      <c r="J106" s="17"/>
      <c r="K106" s="842"/>
      <c r="L106" s="3"/>
      <c r="M106" s="17"/>
      <c r="N106" s="17"/>
      <c r="O106" s="842"/>
      <c r="P106" s="3"/>
      <c r="Q106" s="17">
        <v>433368</v>
      </c>
      <c r="R106" s="17"/>
      <c r="S106" s="842">
        <f t="shared" si="8"/>
        <v>433368</v>
      </c>
      <c r="T106" s="960" t="s">
        <v>129</v>
      </c>
      <c r="U106" s="435" t="s">
        <v>9</v>
      </c>
    </row>
    <row r="107" spans="1:21" s="20" customFormat="1" ht="22.5" customHeight="1" x14ac:dyDescent="0.2">
      <c r="A107" s="25">
        <v>580536431</v>
      </c>
      <c r="B107" s="30" t="s">
        <v>120</v>
      </c>
      <c r="C107" s="18"/>
      <c r="D107" s="3"/>
      <c r="E107" s="17">
        <v>125000</v>
      </c>
      <c r="F107" s="17"/>
      <c r="G107" s="842">
        <f t="shared" ref="G107" si="12">SUM(E107:F107)</f>
        <v>125000</v>
      </c>
      <c r="H107" s="3"/>
      <c r="I107" s="17">
        <v>147203</v>
      </c>
      <c r="J107" s="17"/>
      <c r="K107" s="842">
        <f t="shared" ref="K107" si="13">SUM(I107:J107)</f>
        <v>147203</v>
      </c>
      <c r="L107" s="3"/>
      <c r="M107" s="17">
        <v>239206</v>
      </c>
      <c r="N107" s="17"/>
      <c r="O107" s="842">
        <f t="shared" si="6"/>
        <v>239206</v>
      </c>
      <c r="P107" s="3"/>
      <c r="Q107" s="17">
        <v>236483</v>
      </c>
      <c r="R107" s="17"/>
      <c r="S107" s="842">
        <f t="shared" si="8"/>
        <v>236483</v>
      </c>
      <c r="T107" s="18" t="s">
        <v>13</v>
      </c>
      <c r="U107" s="29" t="s">
        <v>9</v>
      </c>
    </row>
    <row r="108" spans="1:21" s="12" customFormat="1" ht="15.75" customHeight="1" x14ac:dyDescent="0.25">
      <c r="A108" s="31" t="s">
        <v>121</v>
      </c>
      <c r="B108" s="32"/>
      <c r="C108" s="18"/>
      <c r="D108" s="3"/>
      <c r="E108" s="33">
        <f>SUM(E109:E131)</f>
        <v>1674731</v>
      </c>
      <c r="F108" s="33">
        <f>SUM(F109:F122)</f>
        <v>0</v>
      </c>
      <c r="G108" s="843">
        <f>SUM(G109:G131)</f>
        <v>1674731</v>
      </c>
      <c r="H108" s="3"/>
      <c r="I108" s="33">
        <f>SUM(I109:I131)</f>
        <v>2481304</v>
      </c>
      <c r="J108" s="33">
        <f>SUM(J109:J122)</f>
        <v>0</v>
      </c>
      <c r="K108" s="843">
        <f>SUM(K109:K131)</f>
        <v>2481304</v>
      </c>
      <c r="L108" s="3"/>
      <c r="M108" s="33">
        <f>SUM(M109:M131)</f>
        <v>3059546</v>
      </c>
      <c r="N108" s="33">
        <f>SUM(N109:N122)</f>
        <v>0</v>
      </c>
      <c r="O108" s="843">
        <f>SUM(O109:O131)</f>
        <v>3059546</v>
      </c>
      <c r="P108" s="3"/>
      <c r="Q108" s="33">
        <f>SUM(Q109:Q131)</f>
        <v>3385455</v>
      </c>
      <c r="R108" s="33">
        <f>SUM(R109:R122)</f>
        <v>0</v>
      </c>
      <c r="S108" s="843">
        <f>SUM(S109:S131)</f>
        <v>3385455</v>
      </c>
      <c r="T108" s="34"/>
      <c r="U108" s="35"/>
    </row>
    <row r="109" spans="1:21" s="20" customFormat="1" ht="36" customHeight="1" x14ac:dyDescent="0.2">
      <c r="A109" s="25">
        <v>500273008</v>
      </c>
      <c r="B109" s="28" t="s">
        <v>122</v>
      </c>
      <c r="C109" s="18"/>
      <c r="D109" s="3"/>
      <c r="E109" s="17">
        <f>67968*6</f>
        <v>407808</v>
      </c>
      <c r="F109" s="17"/>
      <c r="G109" s="842">
        <f t="shared" ref="G109:G131" si="14">SUM(E109:F109)</f>
        <v>407808</v>
      </c>
      <c r="H109" s="3"/>
      <c r="I109" s="17">
        <f>42673*7+64009*2</f>
        <v>426729</v>
      </c>
      <c r="J109" s="17"/>
      <c r="K109" s="842">
        <f t="shared" ref="K109:K131" si="15">SUM(I109:J109)</f>
        <v>426729</v>
      </c>
      <c r="L109" s="3"/>
      <c r="M109" s="17">
        <v>435718</v>
      </c>
      <c r="N109" s="17"/>
      <c r="O109" s="842">
        <f t="shared" ref="O109:O131" si="16">SUM(M109:N109)</f>
        <v>435718</v>
      </c>
      <c r="P109" s="3"/>
      <c r="Q109" s="17">
        <f>59367*8</f>
        <v>474936</v>
      </c>
      <c r="R109" s="17"/>
      <c r="S109" s="842">
        <f t="shared" ref="S109:S131" si="17">SUM(Q109:R109)</f>
        <v>474936</v>
      </c>
      <c r="T109" s="18" t="s">
        <v>13</v>
      </c>
      <c r="U109" s="19" t="s">
        <v>9</v>
      </c>
    </row>
    <row r="110" spans="1:21" s="20" customFormat="1" ht="25.5" customHeight="1" x14ac:dyDescent="0.2">
      <c r="A110" s="25">
        <v>500205174</v>
      </c>
      <c r="B110" s="28" t="s">
        <v>123</v>
      </c>
      <c r="C110" s="18"/>
      <c r="D110" s="3"/>
      <c r="E110" s="17">
        <f>32328*2</f>
        <v>64656</v>
      </c>
      <c r="F110" s="17"/>
      <c r="G110" s="842">
        <f t="shared" si="14"/>
        <v>64656</v>
      </c>
      <c r="H110" s="3"/>
      <c r="I110" s="17">
        <f>45000*2</f>
        <v>90000</v>
      </c>
      <c r="J110" s="17"/>
      <c r="K110" s="842">
        <f t="shared" si="15"/>
        <v>90000</v>
      </c>
      <c r="L110" s="3"/>
      <c r="M110" s="17">
        <v>90000</v>
      </c>
      <c r="N110" s="17"/>
      <c r="O110" s="842">
        <f t="shared" si="16"/>
        <v>90000</v>
      </c>
      <c r="P110" s="3"/>
      <c r="Q110" s="17"/>
      <c r="R110" s="17"/>
      <c r="S110" s="842">
        <f t="shared" si="17"/>
        <v>0</v>
      </c>
      <c r="T110" s="18" t="str">
        <f t="shared" ref="T110:T114" si="18">B110</f>
        <v xml:space="preserve">מ.מ. מזרעה </v>
      </c>
      <c r="U110" s="19" t="s">
        <v>9</v>
      </c>
    </row>
    <row r="111" spans="1:21" s="20" customFormat="1" ht="24" customHeight="1" x14ac:dyDescent="0.2">
      <c r="A111" s="25">
        <v>500205042</v>
      </c>
      <c r="B111" s="28" t="s">
        <v>124</v>
      </c>
      <c r="C111" s="18"/>
      <c r="D111" s="3"/>
      <c r="E111" s="17">
        <v>53586</v>
      </c>
      <c r="F111" s="17"/>
      <c r="G111" s="842">
        <f t="shared" si="14"/>
        <v>53586</v>
      </c>
      <c r="H111" s="3"/>
      <c r="I111" s="17">
        <f>71091*2</f>
        <v>142182</v>
      </c>
      <c r="J111" s="17"/>
      <c r="K111" s="842">
        <f t="shared" si="15"/>
        <v>142182</v>
      </c>
      <c r="L111" s="3"/>
      <c r="M111" s="17">
        <v>163100</v>
      </c>
      <c r="N111" s="17"/>
      <c r="O111" s="842">
        <f t="shared" si="16"/>
        <v>163100</v>
      </c>
      <c r="P111" s="3"/>
      <c r="Q111" s="17">
        <f>85000+69069*2</f>
        <v>223138</v>
      </c>
      <c r="R111" s="17"/>
      <c r="S111" s="842">
        <f t="shared" si="17"/>
        <v>223138</v>
      </c>
      <c r="T111" s="18" t="str">
        <f t="shared" si="18"/>
        <v>מ.מ. כאבול</v>
      </c>
      <c r="U111" s="19" t="s">
        <v>9</v>
      </c>
    </row>
    <row r="112" spans="1:21" s="20" customFormat="1" ht="18.75" customHeight="1" x14ac:dyDescent="0.2">
      <c r="A112" s="25">
        <v>500275003</v>
      </c>
      <c r="B112" s="28" t="s">
        <v>125</v>
      </c>
      <c r="C112" s="18"/>
      <c r="D112" s="3"/>
      <c r="E112" s="17">
        <f>34008+33258</f>
        <v>67266</v>
      </c>
      <c r="F112" s="17"/>
      <c r="G112" s="842">
        <f t="shared" si="14"/>
        <v>67266</v>
      </c>
      <c r="H112" s="3"/>
      <c r="I112" s="17">
        <f>47259*2</f>
        <v>94518</v>
      </c>
      <c r="J112" s="17"/>
      <c r="K112" s="842">
        <f t="shared" si="15"/>
        <v>94518</v>
      </c>
      <c r="L112" s="3"/>
      <c r="M112" s="17">
        <v>150414</v>
      </c>
      <c r="N112" s="17"/>
      <c r="O112" s="842">
        <f t="shared" si="16"/>
        <v>150414</v>
      </c>
      <c r="P112" s="3"/>
      <c r="Q112" s="17">
        <f>43090*3</f>
        <v>129270</v>
      </c>
      <c r="R112" s="17"/>
      <c r="S112" s="842">
        <f t="shared" si="17"/>
        <v>129270</v>
      </c>
      <c r="T112" s="18" t="str">
        <f t="shared" si="18"/>
        <v>עיריית סחנין</v>
      </c>
      <c r="U112" s="19" t="s">
        <v>9</v>
      </c>
    </row>
    <row r="113" spans="1:21" s="20" customFormat="1" ht="28.5" customHeight="1" x14ac:dyDescent="0.2">
      <c r="A113" s="25">
        <v>500205430</v>
      </c>
      <c r="B113" s="26" t="s">
        <v>126</v>
      </c>
      <c r="C113" s="18"/>
      <c r="D113" s="3"/>
      <c r="E113" s="17">
        <f>26686*2+80057</f>
        <v>133429</v>
      </c>
      <c r="F113" s="17"/>
      <c r="G113" s="842">
        <f t="shared" si="14"/>
        <v>133429</v>
      </c>
      <c r="H113" s="3"/>
      <c r="I113" s="17">
        <f>44162*2+66243*2</f>
        <v>220810</v>
      </c>
      <c r="J113" s="17"/>
      <c r="K113" s="842">
        <f t="shared" si="15"/>
        <v>220810</v>
      </c>
      <c r="L113" s="3"/>
      <c r="M113" s="17">
        <v>149170</v>
      </c>
      <c r="N113" s="17"/>
      <c r="O113" s="842">
        <f t="shared" si="16"/>
        <v>149170</v>
      </c>
      <c r="P113" s="3"/>
      <c r="Q113" s="17">
        <f>81851+81851</f>
        <v>163702</v>
      </c>
      <c r="R113" s="17"/>
      <c r="S113" s="842">
        <f t="shared" si="17"/>
        <v>163702</v>
      </c>
      <c r="T113" s="18" t="str">
        <f t="shared" si="18"/>
        <v>מ.מ. ראמה</v>
      </c>
      <c r="U113" s="19" t="s">
        <v>9</v>
      </c>
    </row>
    <row r="114" spans="1:21" s="20" customFormat="1" ht="18" customHeight="1" x14ac:dyDescent="0.2">
      <c r="A114" s="25">
        <v>500209135</v>
      </c>
      <c r="B114" s="28" t="s">
        <v>127</v>
      </c>
      <c r="C114" s="18"/>
      <c r="D114" s="3"/>
      <c r="E114" s="17">
        <f>39118*2</f>
        <v>78236</v>
      </c>
      <c r="F114" s="17"/>
      <c r="G114" s="842">
        <f t="shared" si="14"/>
        <v>78236</v>
      </c>
      <c r="H114" s="3"/>
      <c r="I114" s="17"/>
      <c r="J114" s="17"/>
      <c r="K114" s="842">
        <f t="shared" si="15"/>
        <v>0</v>
      </c>
      <c r="L114" s="3"/>
      <c r="M114" s="17"/>
      <c r="N114" s="17"/>
      <c r="O114" s="842">
        <f t="shared" si="16"/>
        <v>0</v>
      </c>
      <c r="P114" s="3"/>
      <c r="Q114" s="17"/>
      <c r="R114" s="17"/>
      <c r="S114" s="842">
        <f t="shared" si="17"/>
        <v>0</v>
      </c>
      <c r="T114" s="18" t="str">
        <f t="shared" si="18"/>
        <v>מ.מ. שבלי</v>
      </c>
      <c r="U114" s="19" t="s">
        <v>9</v>
      </c>
    </row>
    <row r="115" spans="1:21" s="20" customFormat="1" ht="24" customHeight="1" x14ac:dyDescent="0.2">
      <c r="A115" s="25">
        <v>500213277</v>
      </c>
      <c r="B115" s="28" t="s">
        <v>2414</v>
      </c>
      <c r="C115" s="18"/>
      <c r="D115" s="3"/>
      <c r="E115" s="17">
        <f>26674*4</f>
        <v>106696</v>
      </c>
      <c r="F115" s="17"/>
      <c r="G115" s="842">
        <f t="shared" si="14"/>
        <v>106696</v>
      </c>
      <c r="H115" s="3"/>
      <c r="I115" s="17">
        <f>55377+39555+23733+39555</f>
        <v>158220</v>
      </c>
      <c r="J115" s="17"/>
      <c r="K115" s="842">
        <f t="shared" si="15"/>
        <v>158220</v>
      </c>
      <c r="L115" s="3"/>
      <c r="M115" s="17">
        <v>182265</v>
      </c>
      <c r="N115" s="17"/>
      <c r="O115" s="842">
        <f t="shared" si="16"/>
        <v>182265</v>
      </c>
      <c r="P115" s="3"/>
      <c r="Q115" s="17">
        <f>89372+76605+51070+38302</f>
        <v>255349</v>
      </c>
      <c r="R115" s="17"/>
      <c r="S115" s="842">
        <f t="shared" si="17"/>
        <v>255349</v>
      </c>
      <c r="T115" s="18" t="s">
        <v>128</v>
      </c>
      <c r="U115" s="19" t="s">
        <v>9</v>
      </c>
    </row>
    <row r="116" spans="1:21" s="20" customFormat="1" ht="26.25" customHeight="1" x14ac:dyDescent="0.2">
      <c r="A116" s="25">
        <v>500289004</v>
      </c>
      <c r="B116" s="28" t="s">
        <v>3296</v>
      </c>
      <c r="C116" s="18"/>
      <c r="D116" s="3"/>
      <c r="E116" s="17"/>
      <c r="F116" s="17"/>
      <c r="G116" s="842">
        <f t="shared" si="14"/>
        <v>0</v>
      </c>
      <c r="H116" s="3"/>
      <c r="I116" s="17"/>
      <c r="J116" s="17"/>
      <c r="K116" s="842">
        <f t="shared" si="15"/>
        <v>0</v>
      </c>
      <c r="L116" s="3"/>
      <c r="M116" s="17"/>
      <c r="N116" s="17"/>
      <c r="O116" s="842">
        <f t="shared" si="16"/>
        <v>0</v>
      </c>
      <c r="P116" s="3"/>
      <c r="Q116" s="17"/>
      <c r="R116" s="17"/>
      <c r="S116" s="842">
        <f t="shared" si="17"/>
        <v>0</v>
      </c>
      <c r="T116" s="18" t="s">
        <v>129</v>
      </c>
      <c r="U116" s="19" t="s">
        <v>9</v>
      </c>
    </row>
    <row r="117" spans="1:21" s="20" customFormat="1" ht="27" customHeight="1" x14ac:dyDescent="0.2">
      <c r="A117" s="25">
        <v>500210638</v>
      </c>
      <c r="B117" s="28" t="s">
        <v>130</v>
      </c>
      <c r="C117" s="18"/>
      <c r="D117" s="3"/>
      <c r="E117" s="17">
        <v>71842</v>
      </c>
      <c r="F117" s="17"/>
      <c r="G117" s="842">
        <f t="shared" si="14"/>
        <v>71842</v>
      </c>
      <c r="H117" s="3"/>
      <c r="I117" s="17">
        <f>57676*2</f>
        <v>115352</v>
      </c>
      <c r="J117" s="17"/>
      <c r="K117" s="842">
        <f t="shared" si="15"/>
        <v>115352</v>
      </c>
      <c r="L117" s="3"/>
      <c r="M117" s="17">
        <v>120372</v>
      </c>
      <c r="N117" s="17"/>
      <c r="O117" s="842">
        <f t="shared" si="16"/>
        <v>120372</v>
      </c>
      <c r="P117" s="3"/>
      <c r="Q117" s="17"/>
      <c r="R117" s="17"/>
      <c r="S117" s="842">
        <f t="shared" si="17"/>
        <v>0</v>
      </c>
      <c r="T117" s="18" t="s">
        <v>131</v>
      </c>
      <c r="U117" s="19" t="s">
        <v>9</v>
      </c>
    </row>
    <row r="118" spans="1:21" s="20" customFormat="1" ht="27" customHeight="1" x14ac:dyDescent="0.2">
      <c r="A118" s="25">
        <v>500205059</v>
      </c>
      <c r="B118" s="28" t="s">
        <v>132</v>
      </c>
      <c r="C118" s="18"/>
      <c r="D118" s="3"/>
      <c r="E118" s="17">
        <v>45000</v>
      </c>
      <c r="F118" s="17"/>
      <c r="G118" s="842">
        <f t="shared" si="14"/>
        <v>45000</v>
      </c>
      <c r="H118" s="3"/>
      <c r="I118" s="17">
        <v>80000</v>
      </c>
      <c r="J118" s="17"/>
      <c r="K118" s="842">
        <f t="shared" si="15"/>
        <v>80000</v>
      </c>
      <c r="L118" s="3"/>
      <c r="M118" s="17">
        <v>95892</v>
      </c>
      <c r="N118" s="17"/>
      <c r="O118" s="842">
        <f t="shared" si="16"/>
        <v>95892</v>
      </c>
      <c r="P118" s="3"/>
      <c r="Q118" s="17">
        <v>100000</v>
      </c>
      <c r="R118" s="17"/>
      <c r="S118" s="842">
        <f t="shared" si="17"/>
        <v>100000</v>
      </c>
      <c r="T118" s="18" t="s">
        <v>133</v>
      </c>
      <c r="U118" s="29" t="s">
        <v>9</v>
      </c>
    </row>
    <row r="119" spans="1:21" s="20" customFormat="1" ht="27" customHeight="1" x14ac:dyDescent="0.2">
      <c r="A119" s="25">
        <v>500227301</v>
      </c>
      <c r="B119" s="28" t="s">
        <v>134</v>
      </c>
      <c r="C119" s="18"/>
      <c r="D119" s="3"/>
      <c r="E119" s="17"/>
      <c r="F119" s="17"/>
      <c r="G119" s="842">
        <f t="shared" si="14"/>
        <v>0</v>
      </c>
      <c r="H119" s="3"/>
      <c r="I119" s="17">
        <f>60542*3</f>
        <v>181626</v>
      </c>
      <c r="J119" s="17"/>
      <c r="K119" s="842">
        <f t="shared" si="15"/>
        <v>181626</v>
      </c>
      <c r="L119" s="3"/>
      <c r="M119" s="840">
        <v>145461</v>
      </c>
      <c r="N119" s="17"/>
      <c r="O119" s="842">
        <f t="shared" si="16"/>
        <v>145461</v>
      </c>
      <c r="P119" s="3"/>
      <c r="Q119" s="17">
        <v>124274</v>
      </c>
      <c r="R119" s="17"/>
      <c r="S119" s="842">
        <f t="shared" si="17"/>
        <v>124274</v>
      </c>
      <c r="T119" s="18" t="s">
        <v>90</v>
      </c>
      <c r="U119" s="29" t="s">
        <v>9</v>
      </c>
    </row>
    <row r="120" spans="1:21" s="20" customFormat="1" ht="27" customHeight="1" x14ac:dyDescent="0.2">
      <c r="A120" s="25">
        <v>500250006</v>
      </c>
      <c r="B120" s="28" t="s">
        <v>135</v>
      </c>
      <c r="C120" s="18"/>
      <c r="D120" s="3"/>
      <c r="E120" s="17"/>
      <c r="F120" s="17"/>
      <c r="G120" s="842">
        <f t="shared" si="14"/>
        <v>0</v>
      </c>
      <c r="H120" s="3"/>
      <c r="I120" s="17"/>
      <c r="J120" s="17"/>
      <c r="K120" s="842">
        <f t="shared" si="15"/>
        <v>0</v>
      </c>
      <c r="L120" s="3"/>
      <c r="M120" s="17"/>
      <c r="N120" s="17"/>
      <c r="O120" s="842">
        <f t="shared" si="16"/>
        <v>0</v>
      </c>
      <c r="P120" s="3"/>
      <c r="Q120" s="17"/>
      <c r="R120" s="17"/>
      <c r="S120" s="842">
        <f t="shared" si="17"/>
        <v>0</v>
      </c>
      <c r="T120" s="36" t="s">
        <v>73</v>
      </c>
      <c r="U120" s="36" t="s">
        <v>136</v>
      </c>
    </row>
    <row r="121" spans="1:21" s="20" customFormat="1" ht="27" customHeight="1" x14ac:dyDescent="0.2">
      <c r="A121" s="25">
        <v>500262688</v>
      </c>
      <c r="B121" s="28" t="s">
        <v>137</v>
      </c>
      <c r="C121" s="18"/>
      <c r="D121" s="3"/>
      <c r="E121" s="17"/>
      <c r="F121" s="17"/>
      <c r="G121" s="842">
        <f t="shared" si="14"/>
        <v>0</v>
      </c>
      <c r="H121" s="3"/>
      <c r="I121" s="17"/>
      <c r="J121" s="17"/>
      <c r="K121" s="842">
        <f t="shared" si="15"/>
        <v>0</v>
      </c>
      <c r="L121" s="3"/>
      <c r="M121" s="17"/>
      <c r="N121" s="17"/>
      <c r="O121" s="842">
        <f t="shared" si="16"/>
        <v>0</v>
      </c>
      <c r="P121" s="3"/>
      <c r="Q121" s="17"/>
      <c r="R121" s="17"/>
      <c r="S121" s="842">
        <f t="shared" si="17"/>
        <v>0</v>
      </c>
      <c r="T121" s="37" t="s">
        <v>2332</v>
      </c>
      <c r="U121" s="36" t="s">
        <v>32</v>
      </c>
    </row>
    <row r="122" spans="1:21" s="20" customFormat="1" ht="27" customHeight="1" x14ac:dyDescent="0.2">
      <c r="A122" s="25">
        <v>500204987</v>
      </c>
      <c r="B122" s="28" t="s">
        <v>138</v>
      </c>
      <c r="C122" s="18"/>
      <c r="D122" s="3"/>
      <c r="E122" s="17"/>
      <c r="F122" s="17"/>
      <c r="G122" s="842">
        <f t="shared" si="14"/>
        <v>0</v>
      </c>
      <c r="H122" s="3"/>
      <c r="I122" s="840">
        <f>60000+70000</f>
        <v>130000</v>
      </c>
      <c r="J122" s="17"/>
      <c r="K122" s="842">
        <f t="shared" si="15"/>
        <v>130000</v>
      </c>
      <c r="L122" s="3"/>
      <c r="M122" s="17">
        <v>169154</v>
      </c>
      <c r="N122" s="17"/>
      <c r="O122" s="842">
        <f t="shared" si="16"/>
        <v>169154</v>
      </c>
      <c r="P122" s="3"/>
      <c r="Q122" s="17">
        <f>101847*2+87297</f>
        <v>290991</v>
      </c>
      <c r="R122" s="17"/>
      <c r="S122" s="842">
        <f t="shared" si="17"/>
        <v>290991</v>
      </c>
      <c r="T122" s="18" t="s">
        <v>139</v>
      </c>
      <c r="U122" s="29" t="s">
        <v>9</v>
      </c>
    </row>
    <row r="123" spans="1:21" s="20" customFormat="1" ht="27" customHeight="1" x14ac:dyDescent="0.2">
      <c r="A123" s="25">
        <v>500204722</v>
      </c>
      <c r="B123" s="28" t="s">
        <v>3190</v>
      </c>
      <c r="C123" s="18"/>
      <c r="D123" s="3"/>
      <c r="E123" s="17"/>
      <c r="F123" s="17"/>
      <c r="G123" s="842">
        <f t="shared" si="14"/>
        <v>0</v>
      </c>
      <c r="H123" s="3"/>
      <c r="I123" s="17"/>
      <c r="J123" s="17"/>
      <c r="K123" s="842">
        <f t="shared" si="15"/>
        <v>0</v>
      </c>
      <c r="L123" s="3"/>
      <c r="M123" s="17">
        <v>184740</v>
      </c>
      <c r="N123" s="17"/>
      <c r="O123" s="842">
        <f t="shared" si="16"/>
        <v>184740</v>
      </c>
      <c r="P123" s="3"/>
      <c r="Q123" s="17">
        <f>99901*2</f>
        <v>199802</v>
      </c>
      <c r="R123" s="17"/>
      <c r="S123" s="842">
        <f t="shared" si="17"/>
        <v>199802</v>
      </c>
      <c r="T123" s="18" t="s">
        <v>53</v>
      </c>
      <c r="U123" s="29" t="s">
        <v>53</v>
      </c>
    </row>
    <row r="124" spans="1:21" s="20" customFormat="1" ht="27" customHeight="1" x14ac:dyDescent="0.2">
      <c r="A124" s="25">
        <v>500209986</v>
      </c>
      <c r="B124" s="28" t="s">
        <v>2409</v>
      </c>
      <c r="C124" s="18"/>
      <c r="D124" s="3"/>
      <c r="E124" s="17">
        <v>64583</v>
      </c>
      <c r="F124" s="17"/>
      <c r="G124" s="842">
        <f t="shared" si="14"/>
        <v>64583</v>
      </c>
      <c r="H124" s="3"/>
      <c r="I124" s="17">
        <v>77363</v>
      </c>
      <c r="J124" s="17"/>
      <c r="K124" s="842">
        <f t="shared" si="15"/>
        <v>77363</v>
      </c>
      <c r="L124" s="3"/>
      <c r="M124" s="17"/>
      <c r="N124" s="17"/>
      <c r="O124" s="842">
        <f t="shared" si="16"/>
        <v>0</v>
      </c>
      <c r="P124" s="3"/>
      <c r="Q124" s="17"/>
      <c r="R124" s="17"/>
      <c r="S124" s="842">
        <f t="shared" si="17"/>
        <v>0</v>
      </c>
      <c r="T124" s="18" t="s">
        <v>2410</v>
      </c>
      <c r="U124" s="29" t="s">
        <v>9</v>
      </c>
    </row>
    <row r="125" spans="1:21" s="20" customFormat="1" ht="27" customHeight="1" x14ac:dyDescent="0.2">
      <c r="A125" s="25" t="s">
        <v>2411</v>
      </c>
      <c r="B125" s="28" t="s">
        <v>2412</v>
      </c>
      <c r="C125" s="18"/>
      <c r="D125" s="3"/>
      <c r="E125" s="17">
        <f>48000+46000</f>
        <v>94000</v>
      </c>
      <c r="F125" s="17"/>
      <c r="G125" s="842">
        <f t="shared" si="14"/>
        <v>94000</v>
      </c>
      <c r="H125" s="3"/>
      <c r="I125" s="17">
        <v>58000</v>
      </c>
      <c r="J125" s="17"/>
      <c r="K125" s="842">
        <f t="shared" si="15"/>
        <v>58000</v>
      </c>
      <c r="L125" s="3"/>
      <c r="M125" s="17">
        <v>64500</v>
      </c>
      <c r="N125" s="17"/>
      <c r="O125" s="842">
        <f t="shared" si="16"/>
        <v>64500</v>
      </c>
      <c r="P125" s="3"/>
      <c r="Q125" s="17">
        <f>43000+84000</f>
        <v>127000</v>
      </c>
      <c r="R125" s="17"/>
      <c r="S125" s="842">
        <f t="shared" si="17"/>
        <v>127000</v>
      </c>
      <c r="T125" s="18" t="s">
        <v>2413</v>
      </c>
      <c r="U125" s="29" t="s">
        <v>32</v>
      </c>
    </row>
    <row r="126" spans="1:21" s="20" customFormat="1" ht="27" customHeight="1" x14ac:dyDescent="0.2">
      <c r="A126" s="25">
        <v>500204904</v>
      </c>
      <c r="B126" s="28" t="s">
        <v>2539</v>
      </c>
      <c r="C126" s="18"/>
      <c r="D126" s="3"/>
      <c r="E126" s="17">
        <v>63963</v>
      </c>
      <c r="F126" s="17"/>
      <c r="G126" s="842">
        <f t="shared" si="14"/>
        <v>63963</v>
      </c>
      <c r="H126" s="3"/>
      <c r="I126" s="17"/>
      <c r="J126" s="17"/>
      <c r="K126" s="842">
        <f t="shared" si="15"/>
        <v>0</v>
      </c>
      <c r="L126" s="3"/>
      <c r="M126" s="17"/>
      <c r="N126" s="17"/>
      <c r="O126" s="842">
        <f t="shared" si="16"/>
        <v>0</v>
      </c>
      <c r="P126" s="3"/>
      <c r="Q126" s="17"/>
      <c r="R126" s="17"/>
      <c r="S126" s="842">
        <f t="shared" si="17"/>
        <v>0</v>
      </c>
      <c r="T126" s="18" t="s">
        <v>2540</v>
      </c>
      <c r="U126" s="29" t="s">
        <v>9</v>
      </c>
    </row>
    <row r="127" spans="1:21" s="20" customFormat="1" ht="27" customHeight="1" x14ac:dyDescent="0.2">
      <c r="A127" s="25">
        <v>500205182</v>
      </c>
      <c r="B127" s="28" t="s">
        <v>2541</v>
      </c>
      <c r="C127" s="18"/>
      <c r="D127" s="3"/>
      <c r="E127" s="17">
        <f>20667*3</f>
        <v>62001</v>
      </c>
      <c r="F127" s="17"/>
      <c r="G127" s="842">
        <f t="shared" si="14"/>
        <v>62001</v>
      </c>
      <c r="H127" s="3"/>
      <c r="I127" s="17"/>
      <c r="J127" s="17"/>
      <c r="K127" s="842">
        <f t="shared" si="15"/>
        <v>0</v>
      </c>
      <c r="L127" s="3"/>
      <c r="M127" s="17"/>
      <c r="N127" s="17"/>
      <c r="O127" s="842">
        <f t="shared" si="16"/>
        <v>0</v>
      </c>
      <c r="P127" s="3"/>
      <c r="Q127" s="17"/>
      <c r="R127" s="17"/>
      <c r="S127" s="842">
        <f t="shared" si="17"/>
        <v>0</v>
      </c>
      <c r="T127" s="18" t="s">
        <v>23</v>
      </c>
      <c r="U127" s="29" t="s">
        <v>9</v>
      </c>
    </row>
    <row r="128" spans="1:21" s="20" customFormat="1" ht="27" customHeight="1" x14ac:dyDescent="0.2">
      <c r="A128" s="25">
        <v>500206347</v>
      </c>
      <c r="B128" s="28" t="s">
        <v>2542</v>
      </c>
      <c r="C128" s="18"/>
      <c r="D128" s="3"/>
      <c r="E128" s="17">
        <f>44925+31575</f>
        <v>76500</v>
      </c>
      <c r="F128" s="17"/>
      <c r="G128" s="842">
        <f t="shared" si="14"/>
        <v>76500</v>
      </c>
      <c r="H128" s="3"/>
      <c r="I128" s="17">
        <f>65000+45000</f>
        <v>110000</v>
      </c>
      <c r="J128" s="17"/>
      <c r="K128" s="842">
        <f t="shared" si="15"/>
        <v>110000</v>
      </c>
      <c r="L128" s="3"/>
      <c r="M128" s="840">
        <v>206635</v>
      </c>
      <c r="N128" s="17"/>
      <c r="O128" s="842">
        <f t="shared" si="16"/>
        <v>206635</v>
      </c>
      <c r="P128" s="3"/>
      <c r="Q128" s="1017">
        <f>54586*4+49500</f>
        <v>267844</v>
      </c>
      <c r="R128" s="17"/>
      <c r="S128" s="842">
        <f t="shared" si="17"/>
        <v>267844</v>
      </c>
      <c r="T128" s="18" t="s">
        <v>2543</v>
      </c>
      <c r="U128" s="29" t="s">
        <v>9</v>
      </c>
    </row>
    <row r="129" spans="1:21" s="20" customFormat="1" ht="27" customHeight="1" x14ac:dyDescent="0.2">
      <c r="A129" s="25">
        <v>500211610</v>
      </c>
      <c r="B129" s="28" t="s">
        <v>2544</v>
      </c>
      <c r="C129" s="18"/>
      <c r="D129" s="3"/>
      <c r="E129" s="17">
        <f>58500+68625+67500</f>
        <v>194625</v>
      </c>
      <c r="F129" s="17"/>
      <c r="G129" s="842">
        <f t="shared" si="14"/>
        <v>194625</v>
      </c>
      <c r="H129" s="3"/>
      <c r="I129" s="17">
        <f>160000+120000+80000</f>
        <v>360000</v>
      </c>
      <c r="J129" s="17"/>
      <c r="K129" s="842">
        <f t="shared" si="15"/>
        <v>360000</v>
      </c>
      <c r="L129" s="3"/>
      <c r="M129" s="17">
        <v>454463</v>
      </c>
      <c r="N129" s="17"/>
      <c r="O129" s="842">
        <f t="shared" si="16"/>
        <v>454463</v>
      </c>
      <c r="P129" s="3"/>
      <c r="Q129" s="17">
        <f>93900+187799*2</f>
        <v>469498</v>
      </c>
      <c r="R129" s="17"/>
      <c r="S129" s="842">
        <f t="shared" si="17"/>
        <v>469498</v>
      </c>
      <c r="T129" s="18" t="s">
        <v>114</v>
      </c>
      <c r="U129" s="29" t="s">
        <v>32</v>
      </c>
    </row>
    <row r="130" spans="1:21" s="20" customFormat="1" ht="27" customHeight="1" x14ac:dyDescent="0.2">
      <c r="A130" s="25">
        <v>500270004</v>
      </c>
      <c r="B130" s="28" t="s">
        <v>2995</v>
      </c>
      <c r="C130" s="18"/>
      <c r="D130" s="3"/>
      <c r="E130" s="17"/>
      <c r="F130" s="17"/>
      <c r="G130" s="842"/>
      <c r="H130" s="3"/>
      <c r="I130" s="17">
        <v>140642</v>
      </c>
      <c r="J130" s="17"/>
      <c r="K130" s="842">
        <f t="shared" si="15"/>
        <v>140642</v>
      </c>
      <c r="L130" s="3"/>
      <c r="M130" s="17">
        <v>358083</v>
      </c>
      <c r="N130" s="17"/>
      <c r="O130" s="842">
        <f t="shared" si="16"/>
        <v>358083</v>
      </c>
      <c r="P130" s="3"/>
      <c r="Q130" s="17">
        <f>113209*4</f>
        <v>452836</v>
      </c>
      <c r="R130" s="17"/>
      <c r="S130" s="842">
        <f t="shared" si="17"/>
        <v>452836</v>
      </c>
      <c r="T130" s="18" t="s">
        <v>1593</v>
      </c>
      <c r="U130" s="29" t="s">
        <v>12</v>
      </c>
    </row>
    <row r="131" spans="1:21" s="20" customFormat="1" ht="27" customHeight="1" x14ac:dyDescent="0.2">
      <c r="A131" s="25" t="s">
        <v>2270</v>
      </c>
      <c r="B131" s="28" t="s">
        <v>2415</v>
      </c>
      <c r="C131" s="18"/>
      <c r="D131" s="3"/>
      <c r="E131" s="17">
        <v>90540</v>
      </c>
      <c r="F131" s="17"/>
      <c r="G131" s="842">
        <f t="shared" si="14"/>
        <v>90540</v>
      </c>
      <c r="H131" s="3"/>
      <c r="I131" s="17">
        <v>95862</v>
      </c>
      <c r="J131" s="17"/>
      <c r="K131" s="842">
        <f t="shared" si="15"/>
        <v>95862</v>
      </c>
      <c r="L131" s="3"/>
      <c r="M131" s="17">
        <v>89579</v>
      </c>
      <c r="N131" s="17"/>
      <c r="O131" s="842">
        <f t="shared" si="16"/>
        <v>89579</v>
      </c>
      <c r="P131" s="3"/>
      <c r="Q131" s="17">
        <v>106815</v>
      </c>
      <c r="R131" s="17"/>
      <c r="S131" s="842">
        <f t="shared" si="17"/>
        <v>106815</v>
      </c>
      <c r="T131" s="18" t="s">
        <v>33</v>
      </c>
      <c r="U131" s="29" t="s">
        <v>9</v>
      </c>
    </row>
  </sheetData>
  <mergeCells count="4">
    <mergeCell ref="E1:G1"/>
    <mergeCell ref="I1:K1"/>
    <mergeCell ref="M1:O1"/>
    <mergeCell ref="Q1:S1"/>
  </mergeCells>
  <pageMargins left="0" right="0.15748031496062992" top="1.4173228346456694" bottom="0.39370078740157483" header="0.98425196850393704" footer="0.11811023622047245"/>
  <pageSetup paperSize="9" scale="71" fitToHeight="6" orientation="landscape" r:id="rId1"/>
  <headerFooter alignWithMargins="0">
    <oddHeader>&amp;L&amp;D&amp;Cמינהל תרבות
&amp;"Arial,מודגש"&amp;11תקציב על שינויו 2016-2019 בש"ח בהתאם להחלטת ועדת התמיכות&amp;R&amp;"Arial,מודגש"&amp;16תקנה 42-02-33- תרבות ערבית</oddHeader>
    <oddFooter>&amp;L&amp;F&amp;C&amp;P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A1:CN128"/>
  <sheetViews>
    <sheetView rightToLeft="1" zoomScale="80" zoomScaleNormal="80" zoomScaleSheetLayoutView="100" workbookViewId="0">
      <pane ySplit="1" topLeftCell="A110" activePane="bottomLeft" state="frozen"/>
      <selection pane="bottomLeft" activeCell="B108" sqref="B108"/>
    </sheetView>
  </sheetViews>
  <sheetFormatPr defaultColWidth="0.7109375" defaultRowHeight="12.75" x14ac:dyDescent="0.2"/>
  <cols>
    <col min="1" max="1" width="28.140625" style="41" customWidth="1"/>
    <col min="2" max="2" width="10.85546875" style="41" bestFit="1" customWidth="1"/>
    <col min="3" max="3" width="13.5703125" style="41" customWidth="1"/>
    <col min="4" max="4" width="10.5703125" style="41" customWidth="1"/>
    <col min="5" max="5" width="15.85546875" style="43" customWidth="1"/>
    <col min="6" max="7" width="13.28515625" style="43" customWidth="1"/>
    <col min="8" max="8" width="33.140625" style="43" customWidth="1"/>
    <col min="9" max="67" width="0.7109375" style="42"/>
    <col min="68" max="16384" width="0.7109375" style="41"/>
  </cols>
  <sheetData>
    <row r="1" spans="1:92" s="99" customFormat="1" ht="51.75" customHeight="1" x14ac:dyDescent="0.2">
      <c r="A1" s="105" t="s">
        <v>273</v>
      </c>
      <c r="B1" s="105" t="s">
        <v>272</v>
      </c>
      <c r="C1" s="106" t="s">
        <v>271</v>
      </c>
      <c r="D1" s="106" t="s">
        <v>270</v>
      </c>
      <c r="E1" s="104" t="s">
        <v>269</v>
      </c>
      <c r="F1" s="103" t="s">
        <v>268</v>
      </c>
      <c r="G1" s="102" t="s">
        <v>267</v>
      </c>
      <c r="H1" s="101" t="s">
        <v>4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</row>
    <row r="2" spans="1:92" s="94" customFormat="1" ht="30" customHeight="1" x14ac:dyDescent="0.2">
      <c r="A2" s="51" t="s">
        <v>266</v>
      </c>
      <c r="B2" s="56">
        <v>500204987</v>
      </c>
      <c r="C2" s="49">
        <v>1000544579</v>
      </c>
      <c r="D2" s="48">
        <v>20000045</v>
      </c>
      <c r="E2" s="46">
        <v>20000</v>
      </c>
      <c r="F2" s="47">
        <v>20000</v>
      </c>
      <c r="G2" s="46">
        <f t="shared" ref="G2:G33" si="0">E2-F2</f>
        <v>0</v>
      </c>
      <c r="H2" s="45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</row>
    <row r="3" spans="1:92" s="44" customFormat="1" ht="42.75" customHeight="1" x14ac:dyDescent="0.2">
      <c r="A3" s="51" t="s">
        <v>265</v>
      </c>
      <c r="B3" s="56">
        <v>500204987</v>
      </c>
      <c r="C3" s="49">
        <v>1000544631</v>
      </c>
      <c r="D3" s="48">
        <v>20000045</v>
      </c>
      <c r="E3" s="46">
        <v>20000</v>
      </c>
      <c r="F3" s="47">
        <v>20000</v>
      </c>
      <c r="G3" s="46">
        <f t="shared" si="0"/>
        <v>0</v>
      </c>
      <c r="H3" s="45"/>
    </row>
    <row r="4" spans="1:92" s="44" customFormat="1" ht="31.5" customHeight="1" x14ac:dyDescent="0.2">
      <c r="A4" s="51" t="s">
        <v>264</v>
      </c>
      <c r="B4" s="56">
        <v>500204987</v>
      </c>
      <c r="C4" s="49">
        <v>1000545321</v>
      </c>
      <c r="D4" s="48">
        <v>20000045</v>
      </c>
      <c r="E4" s="46">
        <v>27004</v>
      </c>
      <c r="F4" s="47">
        <v>27004</v>
      </c>
      <c r="G4" s="46">
        <f t="shared" si="0"/>
        <v>0</v>
      </c>
      <c r="H4" s="45"/>
    </row>
    <row r="5" spans="1:92" s="44" customFormat="1" ht="39.950000000000003" customHeight="1" x14ac:dyDescent="0.2">
      <c r="A5" s="51" t="s">
        <v>263</v>
      </c>
      <c r="B5" s="56">
        <v>500205042</v>
      </c>
      <c r="C5" s="49">
        <v>1000538035</v>
      </c>
      <c r="D5" s="48">
        <v>20000048</v>
      </c>
      <c r="E5" s="46">
        <v>32347</v>
      </c>
      <c r="F5" s="47">
        <v>32347</v>
      </c>
      <c r="G5" s="46">
        <f t="shared" si="0"/>
        <v>0</v>
      </c>
      <c r="H5" s="45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</row>
    <row r="6" spans="1:92" s="44" customFormat="1" ht="39.950000000000003" customHeight="1" x14ac:dyDescent="0.2">
      <c r="A6" s="85" t="s">
        <v>262</v>
      </c>
      <c r="B6" s="66">
        <v>500205059</v>
      </c>
      <c r="C6" s="49">
        <v>1000537316</v>
      </c>
      <c r="D6" s="48">
        <v>20000049</v>
      </c>
      <c r="E6" s="46">
        <v>32347</v>
      </c>
      <c r="F6" s="47">
        <v>32347</v>
      </c>
      <c r="G6" s="59">
        <f t="shared" si="0"/>
        <v>0</v>
      </c>
      <c r="H6" s="45"/>
    </row>
    <row r="7" spans="1:92" s="44" customFormat="1" ht="37.5" customHeight="1" x14ac:dyDescent="0.2">
      <c r="A7" s="86" t="s">
        <v>261</v>
      </c>
      <c r="B7" s="66">
        <v>500205307</v>
      </c>
      <c r="C7" s="49">
        <v>1000544721</v>
      </c>
      <c r="D7" s="48">
        <v>20000062</v>
      </c>
      <c r="E7" s="46">
        <v>26956</v>
      </c>
      <c r="F7" s="96">
        <v>26956</v>
      </c>
      <c r="G7" s="53">
        <f t="shared" si="0"/>
        <v>0</v>
      </c>
      <c r="H7" s="45"/>
    </row>
    <row r="8" spans="1:92" s="44" customFormat="1" ht="36.75" customHeight="1" x14ac:dyDescent="0.2">
      <c r="A8" s="85" t="s">
        <v>260</v>
      </c>
      <c r="B8" s="66">
        <v>500209135</v>
      </c>
      <c r="C8" s="49">
        <v>1000544854</v>
      </c>
      <c r="D8" s="48">
        <v>20000087</v>
      </c>
      <c r="E8" s="46">
        <v>37738</v>
      </c>
      <c r="F8" s="47">
        <v>37738</v>
      </c>
      <c r="G8" s="46">
        <f t="shared" si="0"/>
        <v>0</v>
      </c>
      <c r="H8" s="45"/>
    </row>
    <row r="9" spans="1:92" s="44" customFormat="1" ht="33" customHeight="1" x14ac:dyDescent="0.2">
      <c r="A9" s="51" t="s">
        <v>259</v>
      </c>
      <c r="B9" s="50">
        <v>500210638</v>
      </c>
      <c r="C9" s="49">
        <v>1000536778</v>
      </c>
      <c r="D9" s="48">
        <v>200000102</v>
      </c>
      <c r="E9" s="46">
        <v>20000</v>
      </c>
      <c r="F9" s="47">
        <v>20000</v>
      </c>
      <c r="G9" s="46">
        <f t="shared" si="0"/>
        <v>0</v>
      </c>
      <c r="H9" s="45"/>
    </row>
    <row r="10" spans="1:92" s="62" customFormat="1" ht="48" customHeight="1" x14ac:dyDescent="0.2">
      <c r="A10" s="51" t="s">
        <v>258</v>
      </c>
      <c r="B10" s="50">
        <v>500210638</v>
      </c>
      <c r="C10" s="49">
        <v>1000536822</v>
      </c>
      <c r="D10" s="48">
        <v>200000102</v>
      </c>
      <c r="E10" s="46">
        <v>19278</v>
      </c>
      <c r="F10" s="84">
        <v>19278</v>
      </c>
      <c r="G10" s="46">
        <f t="shared" si="0"/>
        <v>0</v>
      </c>
      <c r="H10" s="45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</row>
    <row r="11" spans="1:92" s="44" customFormat="1" ht="46.5" customHeight="1" x14ac:dyDescent="0.2">
      <c r="A11" s="51" t="s">
        <v>257</v>
      </c>
      <c r="B11" s="50">
        <v>500225651</v>
      </c>
      <c r="C11" s="49">
        <v>1000553714</v>
      </c>
      <c r="D11" s="48">
        <v>20000145</v>
      </c>
      <c r="E11" s="46">
        <v>26956</v>
      </c>
      <c r="F11" s="47">
        <v>26956</v>
      </c>
      <c r="G11" s="46">
        <f t="shared" si="0"/>
        <v>0</v>
      </c>
      <c r="H11" s="45"/>
    </row>
    <row r="12" spans="1:92" s="44" customFormat="1" ht="36" customHeight="1" x14ac:dyDescent="0.2">
      <c r="A12" s="86" t="s">
        <v>256</v>
      </c>
      <c r="B12" s="66">
        <v>500273008</v>
      </c>
      <c r="C12" s="49">
        <v>1000552135</v>
      </c>
      <c r="D12" s="48">
        <v>20000231</v>
      </c>
      <c r="E12" s="46">
        <v>25000</v>
      </c>
      <c r="F12" s="84">
        <v>25000</v>
      </c>
      <c r="G12" s="46">
        <f t="shared" si="0"/>
        <v>0</v>
      </c>
      <c r="H12" s="45"/>
    </row>
    <row r="13" spans="1:92" s="44" customFormat="1" ht="39.950000000000003" customHeight="1" x14ac:dyDescent="0.2">
      <c r="A13" s="86" t="s">
        <v>255</v>
      </c>
      <c r="B13" s="66">
        <v>500273008</v>
      </c>
      <c r="C13" s="49">
        <v>1000552148</v>
      </c>
      <c r="D13" s="48">
        <v>20000231</v>
      </c>
      <c r="E13" s="46">
        <v>30000</v>
      </c>
      <c r="F13" s="84">
        <v>30000</v>
      </c>
      <c r="G13" s="46">
        <f t="shared" si="0"/>
        <v>0</v>
      </c>
      <c r="H13" s="45"/>
    </row>
    <row r="14" spans="1:92" s="44" customFormat="1" ht="39.950000000000003" customHeight="1" x14ac:dyDescent="0.2">
      <c r="A14" s="85" t="s">
        <v>254</v>
      </c>
      <c r="B14" s="66">
        <v>500273008</v>
      </c>
      <c r="C14" s="49">
        <v>1000552161</v>
      </c>
      <c r="D14" s="48">
        <v>20000231</v>
      </c>
      <c r="E14" s="46">
        <v>30000</v>
      </c>
      <c r="F14" s="84">
        <v>30000</v>
      </c>
      <c r="G14" s="46">
        <f t="shared" si="0"/>
        <v>0</v>
      </c>
      <c r="H14" s="45"/>
    </row>
    <row r="15" spans="1:92" s="44" customFormat="1" ht="36" customHeight="1" x14ac:dyDescent="0.2">
      <c r="A15" s="85" t="s">
        <v>253</v>
      </c>
      <c r="B15" s="66">
        <v>500273008</v>
      </c>
      <c r="C15" s="49">
        <v>1000552163</v>
      </c>
      <c r="D15" s="48">
        <v>20000231</v>
      </c>
      <c r="E15" s="46">
        <v>38641</v>
      </c>
      <c r="F15" s="84">
        <v>38641</v>
      </c>
      <c r="G15" s="46">
        <f t="shared" si="0"/>
        <v>0</v>
      </c>
      <c r="H15" s="45"/>
    </row>
    <row r="16" spans="1:92" s="44" customFormat="1" ht="39.950000000000003" customHeight="1" x14ac:dyDescent="0.2">
      <c r="A16" s="85" t="s">
        <v>252</v>
      </c>
      <c r="B16" s="66">
        <v>500273008</v>
      </c>
      <c r="C16" s="49">
        <v>1000552153</v>
      </c>
      <c r="D16" s="48">
        <v>20000231</v>
      </c>
      <c r="E16" s="46">
        <v>25000</v>
      </c>
      <c r="F16" s="84">
        <v>25000</v>
      </c>
      <c r="G16" s="46">
        <f t="shared" si="0"/>
        <v>0</v>
      </c>
      <c r="H16" s="45"/>
    </row>
    <row r="17" spans="1:8" s="44" customFormat="1" ht="50.25" customHeight="1" x14ac:dyDescent="0.2">
      <c r="A17" s="51" t="s">
        <v>251</v>
      </c>
      <c r="B17" s="50">
        <v>500275003</v>
      </c>
      <c r="C17" s="49">
        <v>1000547007</v>
      </c>
      <c r="D17" s="48">
        <v>20000235</v>
      </c>
      <c r="E17" s="46">
        <v>50000</v>
      </c>
      <c r="F17" s="47">
        <v>50000</v>
      </c>
      <c r="G17" s="46">
        <f t="shared" si="0"/>
        <v>0</v>
      </c>
      <c r="H17" s="45"/>
    </row>
    <row r="18" spans="1:8" s="44" customFormat="1" ht="34.5" customHeight="1" x14ac:dyDescent="0.2">
      <c r="A18" s="51" t="s">
        <v>250</v>
      </c>
      <c r="B18" s="50">
        <v>500275003</v>
      </c>
      <c r="C18" s="49">
        <v>1000547022</v>
      </c>
      <c r="D18" s="48">
        <v>20000235</v>
      </c>
      <c r="E18" s="46">
        <v>26246</v>
      </c>
      <c r="F18" s="47">
        <v>26246</v>
      </c>
      <c r="G18" s="46">
        <f t="shared" si="0"/>
        <v>0</v>
      </c>
      <c r="H18" s="45"/>
    </row>
    <row r="19" spans="1:8" s="44" customFormat="1" ht="42" customHeight="1" x14ac:dyDescent="0.2">
      <c r="A19" s="51" t="s">
        <v>249</v>
      </c>
      <c r="B19" s="50">
        <v>500289004</v>
      </c>
      <c r="C19" s="49">
        <v>1000554466</v>
      </c>
      <c r="D19" s="48">
        <v>20000253</v>
      </c>
      <c r="E19" s="46">
        <v>20000</v>
      </c>
      <c r="F19" s="47">
        <v>20000</v>
      </c>
      <c r="G19" s="46">
        <f t="shared" si="0"/>
        <v>0</v>
      </c>
      <c r="H19" s="45"/>
    </row>
    <row r="20" spans="1:8" s="44" customFormat="1" ht="36" customHeight="1" x14ac:dyDescent="0.2">
      <c r="A20" s="51" t="s">
        <v>248</v>
      </c>
      <c r="B20" s="50">
        <v>500289004</v>
      </c>
      <c r="C20" s="49">
        <v>1000554514</v>
      </c>
      <c r="D20" s="48">
        <v>20000253</v>
      </c>
      <c r="E20" s="46">
        <v>24669</v>
      </c>
      <c r="F20" s="47">
        <v>24669</v>
      </c>
      <c r="G20" s="46">
        <f t="shared" si="0"/>
        <v>0</v>
      </c>
      <c r="H20" s="76"/>
    </row>
    <row r="21" spans="1:8" s="44" customFormat="1" ht="39.950000000000003" customHeight="1" x14ac:dyDescent="0.2">
      <c r="A21" s="51" t="s">
        <v>247</v>
      </c>
      <c r="B21" s="50">
        <v>510703499</v>
      </c>
      <c r="C21" s="54">
        <v>1000543694</v>
      </c>
      <c r="D21" s="48">
        <v>40000276</v>
      </c>
      <c r="E21" s="46">
        <v>30000</v>
      </c>
      <c r="F21" s="47">
        <v>30000</v>
      </c>
      <c r="G21" s="46">
        <f t="shared" si="0"/>
        <v>0</v>
      </c>
      <c r="H21" s="76"/>
    </row>
    <row r="22" spans="1:8" s="44" customFormat="1" ht="38.25" customHeight="1" x14ac:dyDescent="0.2">
      <c r="A22" s="51" t="s">
        <v>246</v>
      </c>
      <c r="B22" s="50">
        <v>510703499</v>
      </c>
      <c r="C22" s="54">
        <v>1000552952</v>
      </c>
      <c r="D22" s="48">
        <v>40000276</v>
      </c>
      <c r="E22" s="46">
        <v>24681</v>
      </c>
      <c r="F22" s="47">
        <v>24681</v>
      </c>
      <c r="G22" s="46">
        <f t="shared" si="0"/>
        <v>0</v>
      </c>
      <c r="H22" s="76"/>
    </row>
    <row r="23" spans="1:8" s="44" customFormat="1" ht="39.950000000000003" customHeight="1" x14ac:dyDescent="0.2">
      <c r="A23" s="81" t="s">
        <v>245</v>
      </c>
      <c r="B23" s="66">
        <v>580010494</v>
      </c>
      <c r="C23" s="49">
        <v>1000542936</v>
      </c>
      <c r="D23" s="48">
        <v>40000059</v>
      </c>
      <c r="E23" s="46">
        <v>30000</v>
      </c>
      <c r="F23" s="47">
        <v>30000</v>
      </c>
      <c r="G23" s="46">
        <f t="shared" si="0"/>
        <v>0</v>
      </c>
      <c r="H23" s="76"/>
    </row>
    <row r="24" spans="1:8" s="44" customFormat="1" ht="41.25" customHeight="1" x14ac:dyDescent="0.2">
      <c r="A24" s="81" t="s">
        <v>244</v>
      </c>
      <c r="B24" s="66">
        <v>580010494</v>
      </c>
      <c r="C24" s="49">
        <v>1000543254</v>
      </c>
      <c r="D24" s="48">
        <v>40000059</v>
      </c>
      <c r="E24" s="46">
        <v>20000</v>
      </c>
      <c r="F24" s="47">
        <v>20000</v>
      </c>
      <c r="G24" s="46">
        <f t="shared" si="0"/>
        <v>0</v>
      </c>
      <c r="H24" s="76"/>
    </row>
    <row r="25" spans="1:8" s="44" customFormat="1" ht="35.25" customHeight="1" x14ac:dyDescent="0.2">
      <c r="A25" s="81" t="s">
        <v>243</v>
      </c>
      <c r="B25" s="66">
        <v>580010494</v>
      </c>
      <c r="C25" s="49">
        <v>1000543258</v>
      </c>
      <c r="D25" s="48">
        <v>40000059</v>
      </c>
      <c r="E25" s="46">
        <v>20000</v>
      </c>
      <c r="F25" s="47">
        <v>20000</v>
      </c>
      <c r="G25" s="46">
        <f t="shared" si="0"/>
        <v>0</v>
      </c>
      <c r="H25" s="45"/>
    </row>
    <row r="26" spans="1:8" s="44" customFormat="1" ht="35.25" customHeight="1" x14ac:dyDescent="0.2">
      <c r="A26" s="85" t="s">
        <v>242</v>
      </c>
      <c r="B26" s="66">
        <v>580010494</v>
      </c>
      <c r="C26" s="49">
        <v>1000543349</v>
      </c>
      <c r="D26" s="48">
        <v>40000059</v>
      </c>
      <c r="E26" s="46">
        <v>24754</v>
      </c>
      <c r="F26" s="47">
        <v>24754</v>
      </c>
      <c r="G26" s="46">
        <f t="shared" si="0"/>
        <v>0</v>
      </c>
      <c r="H26" s="76"/>
    </row>
    <row r="27" spans="1:8" s="44" customFormat="1" ht="45.75" customHeight="1" x14ac:dyDescent="0.2">
      <c r="A27" s="51" t="s">
        <v>241</v>
      </c>
      <c r="B27" s="50">
        <v>580010494</v>
      </c>
      <c r="C27" s="49">
        <v>1000645786</v>
      </c>
      <c r="D27" s="48">
        <v>40000059</v>
      </c>
      <c r="E27" s="46">
        <v>20000</v>
      </c>
      <c r="F27" s="47">
        <v>20000</v>
      </c>
      <c r="G27" s="46">
        <f t="shared" si="0"/>
        <v>0</v>
      </c>
      <c r="H27" s="95"/>
    </row>
    <row r="28" spans="1:8" s="44" customFormat="1" ht="60.75" customHeight="1" x14ac:dyDescent="0.2">
      <c r="A28" s="51" t="s">
        <v>240</v>
      </c>
      <c r="B28" s="50">
        <v>580030401</v>
      </c>
      <c r="C28" s="49">
        <v>1000537795</v>
      </c>
      <c r="D28" s="48">
        <v>40000084</v>
      </c>
      <c r="E28" s="46">
        <v>32916</v>
      </c>
      <c r="F28" s="84">
        <v>32916</v>
      </c>
      <c r="G28" s="46">
        <f t="shared" si="0"/>
        <v>0</v>
      </c>
      <c r="H28" s="52"/>
    </row>
    <row r="29" spans="1:8" s="44" customFormat="1" ht="45.75" customHeight="1" x14ac:dyDescent="0.2">
      <c r="A29" s="51" t="s">
        <v>239</v>
      </c>
      <c r="B29" s="50">
        <v>580030401</v>
      </c>
      <c r="C29" s="49">
        <v>1000537805</v>
      </c>
      <c r="D29" s="48">
        <v>40000084</v>
      </c>
      <c r="E29" s="46">
        <v>30000</v>
      </c>
      <c r="F29" s="84">
        <v>30000</v>
      </c>
      <c r="G29" s="46">
        <f t="shared" si="0"/>
        <v>0</v>
      </c>
      <c r="H29" s="52"/>
    </row>
    <row r="30" spans="1:8" s="44" customFormat="1" ht="35.25" customHeight="1" x14ac:dyDescent="0.2">
      <c r="A30" s="51" t="s">
        <v>238</v>
      </c>
      <c r="B30" s="50">
        <v>580037745</v>
      </c>
      <c r="C30" s="54">
        <v>1000537686</v>
      </c>
      <c r="D30" s="48">
        <v>40000095</v>
      </c>
      <c r="E30" s="59">
        <v>93266</v>
      </c>
      <c r="F30" s="46">
        <v>93266</v>
      </c>
      <c r="G30" s="46">
        <f t="shared" si="0"/>
        <v>0</v>
      </c>
      <c r="H30" s="92"/>
    </row>
    <row r="31" spans="1:8" s="44" customFormat="1" ht="45.75" customHeight="1" x14ac:dyDescent="0.2">
      <c r="A31" s="70" t="s">
        <v>237</v>
      </c>
      <c r="B31" s="53">
        <v>580051068</v>
      </c>
      <c r="C31" s="49">
        <v>1000543849</v>
      </c>
      <c r="D31" s="48">
        <v>40000400</v>
      </c>
      <c r="E31" s="46">
        <v>29976</v>
      </c>
      <c r="F31" s="47">
        <v>29976</v>
      </c>
      <c r="G31" s="46">
        <f t="shared" si="0"/>
        <v>0</v>
      </c>
      <c r="H31" s="57"/>
    </row>
    <row r="32" spans="1:8" s="44" customFormat="1" ht="43.5" customHeight="1" x14ac:dyDescent="0.2">
      <c r="A32" s="70" t="s">
        <v>236</v>
      </c>
      <c r="B32" s="53">
        <v>580051068</v>
      </c>
      <c r="C32" s="49">
        <v>1000543890</v>
      </c>
      <c r="D32" s="48">
        <v>40000400</v>
      </c>
      <c r="E32" s="46">
        <v>20000</v>
      </c>
      <c r="F32" s="47">
        <v>20000</v>
      </c>
      <c r="G32" s="46">
        <f t="shared" si="0"/>
        <v>0</v>
      </c>
      <c r="H32" s="57"/>
    </row>
    <row r="33" spans="1:21" s="62" customFormat="1" ht="39.75" customHeight="1" x14ac:dyDescent="0.2">
      <c r="A33" s="70" t="s">
        <v>235</v>
      </c>
      <c r="B33" s="53">
        <v>580072080</v>
      </c>
      <c r="C33" s="49">
        <v>1000546404</v>
      </c>
      <c r="D33" s="48">
        <v>40000427</v>
      </c>
      <c r="E33" s="46">
        <v>51086</v>
      </c>
      <c r="F33" s="47">
        <v>51086</v>
      </c>
      <c r="G33" s="46">
        <f t="shared" si="0"/>
        <v>0</v>
      </c>
      <c r="H33" s="76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</row>
    <row r="34" spans="1:21" s="44" customFormat="1" ht="45.75" customHeight="1" x14ac:dyDescent="0.2">
      <c r="A34" s="51" t="s">
        <v>234</v>
      </c>
      <c r="B34" s="50">
        <v>580147296</v>
      </c>
      <c r="C34" s="54">
        <v>1000545481</v>
      </c>
      <c r="D34" s="48">
        <v>40000153</v>
      </c>
      <c r="E34" s="59">
        <v>272320</v>
      </c>
      <c r="F34" s="46">
        <v>272320</v>
      </c>
      <c r="G34" s="46">
        <f t="shared" ref="G34:G65" si="1">E34-F34</f>
        <v>0</v>
      </c>
      <c r="H34" s="67"/>
    </row>
    <row r="35" spans="1:21" s="44" customFormat="1" ht="31.5" customHeight="1" x14ac:dyDescent="0.2">
      <c r="A35" s="51" t="s">
        <v>233</v>
      </c>
      <c r="B35" s="50">
        <v>580157550</v>
      </c>
      <c r="C35" s="54">
        <v>1000552787</v>
      </c>
      <c r="D35" s="48">
        <v>40000513</v>
      </c>
      <c r="E35" s="59">
        <v>209333</v>
      </c>
      <c r="F35" s="46">
        <v>209333</v>
      </c>
      <c r="G35" s="46">
        <f t="shared" si="1"/>
        <v>0</v>
      </c>
      <c r="H35" s="69"/>
    </row>
    <row r="36" spans="1:21" s="94" customFormat="1" ht="37.5" customHeight="1" x14ac:dyDescent="0.2">
      <c r="A36" s="51" t="s">
        <v>232</v>
      </c>
      <c r="B36" s="50">
        <v>580160257</v>
      </c>
      <c r="C36" s="54">
        <v>1000553873</v>
      </c>
      <c r="D36" s="48">
        <v>40000158</v>
      </c>
      <c r="E36" s="59">
        <v>368822</v>
      </c>
      <c r="F36" s="46">
        <v>368822</v>
      </c>
      <c r="G36" s="46">
        <f t="shared" si="1"/>
        <v>0</v>
      </c>
      <c r="H36" s="69"/>
    </row>
    <row r="37" spans="1:21" s="44" customFormat="1" ht="33" customHeight="1" x14ac:dyDescent="0.2">
      <c r="A37" s="51" t="s">
        <v>231</v>
      </c>
      <c r="B37" s="50">
        <v>580183523</v>
      </c>
      <c r="C37" s="54">
        <v>1000551750</v>
      </c>
      <c r="D37" s="48">
        <v>40000166</v>
      </c>
      <c r="E37" s="59">
        <v>300358</v>
      </c>
      <c r="F37" s="46">
        <v>300358</v>
      </c>
      <c r="G37" s="46">
        <f t="shared" si="1"/>
        <v>0</v>
      </c>
      <c r="H37" s="69"/>
    </row>
    <row r="38" spans="1:21" s="44" customFormat="1" ht="43.5" customHeight="1" x14ac:dyDescent="0.2">
      <c r="A38" s="51" t="s">
        <v>230</v>
      </c>
      <c r="B38" s="50">
        <v>580188241</v>
      </c>
      <c r="C38" s="54">
        <v>1000550454</v>
      </c>
      <c r="D38" s="48">
        <v>40000169</v>
      </c>
      <c r="E38" s="46">
        <v>69237</v>
      </c>
      <c r="F38" s="46">
        <v>41082</v>
      </c>
      <c r="G38" s="74">
        <f t="shared" si="1"/>
        <v>28155</v>
      </c>
      <c r="H38" s="78" t="s">
        <v>229</v>
      </c>
    </row>
    <row r="39" spans="1:21" s="44" customFormat="1" ht="39.75" customHeight="1" x14ac:dyDescent="0.2">
      <c r="A39" s="51" t="s">
        <v>228</v>
      </c>
      <c r="B39" s="50">
        <v>580194561</v>
      </c>
      <c r="C39" s="49">
        <v>1000546396</v>
      </c>
      <c r="D39" s="48">
        <v>40277042</v>
      </c>
      <c r="E39" s="46">
        <v>30000</v>
      </c>
      <c r="F39" s="47">
        <v>30000</v>
      </c>
      <c r="G39" s="46">
        <f t="shared" si="1"/>
        <v>0</v>
      </c>
      <c r="H39" s="52"/>
    </row>
    <row r="40" spans="1:21" s="44" customFormat="1" ht="37.5" customHeight="1" x14ac:dyDescent="0.2">
      <c r="A40" s="51" t="s">
        <v>227</v>
      </c>
      <c r="B40" s="50">
        <v>580194561</v>
      </c>
      <c r="C40" s="49">
        <v>1000552775</v>
      </c>
      <c r="D40" s="48">
        <v>40277042</v>
      </c>
      <c r="E40" s="46">
        <v>26607</v>
      </c>
      <c r="F40" s="47">
        <v>26607</v>
      </c>
      <c r="G40" s="46">
        <f t="shared" si="1"/>
        <v>0</v>
      </c>
      <c r="H40" s="52"/>
    </row>
    <row r="41" spans="1:21" s="44" customFormat="1" ht="39.950000000000003" customHeight="1" x14ac:dyDescent="0.2">
      <c r="A41" s="51" t="s">
        <v>226</v>
      </c>
      <c r="B41" s="50">
        <v>580215390</v>
      </c>
      <c r="C41" s="54">
        <v>1000551689</v>
      </c>
      <c r="D41" s="48">
        <v>40000565</v>
      </c>
      <c r="E41" s="46">
        <v>71625</v>
      </c>
      <c r="F41" s="48">
        <v>71625</v>
      </c>
      <c r="G41" s="46">
        <f t="shared" si="1"/>
        <v>0</v>
      </c>
      <c r="H41" s="82"/>
    </row>
    <row r="42" spans="1:21" s="44" customFormat="1" ht="43.5" customHeight="1" x14ac:dyDescent="0.2">
      <c r="A42" s="72" t="s">
        <v>225</v>
      </c>
      <c r="B42" s="53">
        <v>580228120</v>
      </c>
      <c r="C42" s="49">
        <v>1000543559</v>
      </c>
      <c r="D42" s="48">
        <v>40000582</v>
      </c>
      <c r="E42" s="46">
        <v>29974</v>
      </c>
      <c r="F42" s="47">
        <v>29974</v>
      </c>
      <c r="G42" s="46">
        <f t="shared" si="1"/>
        <v>0</v>
      </c>
      <c r="H42" s="79"/>
    </row>
    <row r="43" spans="1:21" s="44" customFormat="1" ht="40.5" customHeight="1" x14ac:dyDescent="0.2">
      <c r="A43" s="86" t="s">
        <v>224</v>
      </c>
      <c r="B43" s="66">
        <v>580230514</v>
      </c>
      <c r="C43" s="49">
        <v>1000538058</v>
      </c>
      <c r="D43" s="48">
        <v>40000586</v>
      </c>
      <c r="E43" s="46">
        <v>35000</v>
      </c>
      <c r="F43" s="47">
        <v>35000</v>
      </c>
      <c r="G43" s="46">
        <f t="shared" si="1"/>
        <v>0</v>
      </c>
      <c r="H43" s="45"/>
    </row>
    <row r="44" spans="1:21" s="44" customFormat="1" ht="36.75" customHeight="1" x14ac:dyDescent="0.2">
      <c r="A44" s="81" t="s">
        <v>223</v>
      </c>
      <c r="B44" s="66">
        <v>580230514</v>
      </c>
      <c r="C44" s="49">
        <v>1000538071</v>
      </c>
      <c r="D44" s="48">
        <v>40000586</v>
      </c>
      <c r="E44" s="46">
        <v>40536</v>
      </c>
      <c r="F44" s="47">
        <v>40536</v>
      </c>
      <c r="G44" s="46">
        <f t="shared" si="1"/>
        <v>0</v>
      </c>
      <c r="H44" s="76"/>
    </row>
    <row r="45" spans="1:21" s="44" customFormat="1" ht="43.5" customHeight="1" x14ac:dyDescent="0.2">
      <c r="A45" s="81" t="s">
        <v>222</v>
      </c>
      <c r="B45" s="66">
        <v>580230514</v>
      </c>
      <c r="C45" s="49">
        <v>1000538072</v>
      </c>
      <c r="D45" s="48">
        <v>40000586</v>
      </c>
      <c r="E45" s="46">
        <v>25000</v>
      </c>
      <c r="F45" s="47">
        <v>25000</v>
      </c>
      <c r="G45" s="46">
        <f t="shared" si="1"/>
        <v>0</v>
      </c>
      <c r="H45" s="45"/>
    </row>
    <row r="46" spans="1:21" s="44" customFormat="1" ht="37.5" customHeight="1" x14ac:dyDescent="0.2">
      <c r="A46" s="81" t="s">
        <v>221</v>
      </c>
      <c r="B46" s="66">
        <v>580230514</v>
      </c>
      <c r="C46" s="49">
        <v>1000538092</v>
      </c>
      <c r="D46" s="48">
        <v>40000586</v>
      </c>
      <c r="E46" s="46">
        <v>25000</v>
      </c>
      <c r="F46" s="47">
        <v>25000</v>
      </c>
      <c r="G46" s="46">
        <f t="shared" si="1"/>
        <v>0</v>
      </c>
      <c r="H46" s="93"/>
    </row>
    <row r="47" spans="1:21" s="44" customFormat="1" ht="42" customHeight="1" x14ac:dyDescent="0.2">
      <c r="A47" s="51" t="s">
        <v>220</v>
      </c>
      <c r="B47" s="50">
        <v>580232239</v>
      </c>
      <c r="C47" s="49">
        <v>1000576602</v>
      </c>
      <c r="D47" s="48">
        <v>40000590</v>
      </c>
      <c r="E47" s="59">
        <v>438660</v>
      </c>
      <c r="F47" s="46">
        <v>438660</v>
      </c>
      <c r="G47" s="46">
        <f t="shared" si="1"/>
        <v>0</v>
      </c>
      <c r="H47" s="79"/>
    </row>
    <row r="48" spans="1:21" s="44" customFormat="1" ht="42" customHeight="1" x14ac:dyDescent="0.2">
      <c r="A48" s="51" t="s">
        <v>219</v>
      </c>
      <c r="B48" s="50">
        <v>580233815</v>
      </c>
      <c r="C48" s="54">
        <v>1000538940</v>
      </c>
      <c r="D48" s="48">
        <v>40000189</v>
      </c>
      <c r="E48" s="59">
        <v>397187</v>
      </c>
      <c r="F48" s="46">
        <v>397187</v>
      </c>
      <c r="G48" s="46">
        <f t="shared" si="1"/>
        <v>0</v>
      </c>
      <c r="H48" s="69"/>
    </row>
    <row r="49" spans="1:8" s="62" customFormat="1" ht="27" customHeight="1" x14ac:dyDescent="0.2">
      <c r="A49" s="86" t="s">
        <v>218</v>
      </c>
      <c r="B49" s="66">
        <v>580243392</v>
      </c>
      <c r="C49" s="49">
        <v>1000553108</v>
      </c>
      <c r="D49" s="48">
        <v>40000598</v>
      </c>
      <c r="E49" s="46">
        <v>20000</v>
      </c>
      <c r="F49" s="84">
        <v>20000</v>
      </c>
      <c r="G49" s="46">
        <f t="shared" si="1"/>
        <v>0</v>
      </c>
      <c r="H49" s="45"/>
    </row>
    <row r="50" spans="1:8" s="62" customFormat="1" ht="27" customHeight="1" x14ac:dyDescent="0.2">
      <c r="A50" s="86" t="s">
        <v>217</v>
      </c>
      <c r="B50" s="66">
        <v>580243392</v>
      </c>
      <c r="C50" s="49">
        <v>1000553107</v>
      </c>
      <c r="D50" s="48">
        <v>40000598</v>
      </c>
      <c r="E50" s="46">
        <v>20000</v>
      </c>
      <c r="F50" s="84">
        <v>20000</v>
      </c>
      <c r="G50" s="46">
        <f t="shared" si="1"/>
        <v>0</v>
      </c>
      <c r="H50" s="45"/>
    </row>
    <row r="51" spans="1:8" s="44" customFormat="1" ht="43.5" customHeight="1" x14ac:dyDescent="0.2">
      <c r="A51" s="86" t="s">
        <v>216</v>
      </c>
      <c r="B51" s="66">
        <v>580243392</v>
      </c>
      <c r="C51" s="49">
        <v>1000553086</v>
      </c>
      <c r="D51" s="48">
        <v>40000598</v>
      </c>
      <c r="E51" s="46">
        <v>20000</v>
      </c>
      <c r="F51" s="84">
        <v>20000</v>
      </c>
      <c r="G51" s="46">
        <f t="shared" si="1"/>
        <v>0</v>
      </c>
      <c r="H51" s="45"/>
    </row>
    <row r="52" spans="1:8" s="62" customFormat="1" ht="27.75" customHeight="1" x14ac:dyDescent="0.2">
      <c r="A52" s="86" t="s">
        <v>215</v>
      </c>
      <c r="B52" s="66">
        <v>580243392</v>
      </c>
      <c r="C52" s="49">
        <v>1000553026</v>
      </c>
      <c r="D52" s="48">
        <v>40000598</v>
      </c>
      <c r="E52" s="46">
        <v>20000</v>
      </c>
      <c r="F52" s="84">
        <v>20000</v>
      </c>
      <c r="G52" s="46">
        <f t="shared" si="1"/>
        <v>0</v>
      </c>
      <c r="H52" s="45"/>
    </row>
    <row r="53" spans="1:8" s="44" customFormat="1" ht="31.5" customHeight="1" x14ac:dyDescent="0.2">
      <c r="A53" s="86" t="s">
        <v>214</v>
      </c>
      <c r="B53" s="66">
        <v>580243392</v>
      </c>
      <c r="C53" s="49">
        <v>1000553109</v>
      </c>
      <c r="D53" s="48">
        <v>40000598</v>
      </c>
      <c r="E53" s="46">
        <v>20000</v>
      </c>
      <c r="F53" s="84">
        <v>20000</v>
      </c>
      <c r="G53" s="46">
        <f t="shared" si="1"/>
        <v>0</v>
      </c>
      <c r="H53" s="45"/>
    </row>
    <row r="54" spans="1:8" s="44" customFormat="1" ht="33.75" customHeight="1" x14ac:dyDescent="0.2">
      <c r="A54" s="86" t="s">
        <v>213</v>
      </c>
      <c r="B54" s="66">
        <v>580243392</v>
      </c>
      <c r="C54" s="49">
        <v>1000553115</v>
      </c>
      <c r="D54" s="48">
        <v>40000598</v>
      </c>
      <c r="E54" s="46">
        <v>27575</v>
      </c>
      <c r="F54" s="84">
        <v>27575</v>
      </c>
      <c r="G54" s="46">
        <f t="shared" si="1"/>
        <v>0</v>
      </c>
      <c r="H54" s="45"/>
    </row>
    <row r="55" spans="1:8" s="44" customFormat="1" ht="33.75" customHeight="1" x14ac:dyDescent="0.2">
      <c r="A55" s="72" t="s">
        <v>212</v>
      </c>
      <c r="B55" s="53">
        <v>580246353</v>
      </c>
      <c r="C55" s="49">
        <v>1000553200</v>
      </c>
      <c r="D55" s="48">
        <v>40000620</v>
      </c>
      <c r="E55" s="46">
        <v>41702</v>
      </c>
      <c r="F55" s="47">
        <v>41702</v>
      </c>
      <c r="G55" s="46">
        <f t="shared" si="1"/>
        <v>0</v>
      </c>
      <c r="H55" s="71"/>
    </row>
    <row r="56" spans="1:8" s="44" customFormat="1" ht="51.75" customHeight="1" x14ac:dyDescent="0.2">
      <c r="A56" s="72" t="s">
        <v>211</v>
      </c>
      <c r="B56" s="53">
        <v>580246353</v>
      </c>
      <c r="C56" s="49">
        <v>1000553183</v>
      </c>
      <c r="D56" s="48">
        <v>40000620</v>
      </c>
      <c r="E56" s="46">
        <v>30000</v>
      </c>
      <c r="F56" s="47">
        <v>30000</v>
      </c>
      <c r="G56" s="46">
        <f t="shared" si="1"/>
        <v>0</v>
      </c>
      <c r="H56" s="71"/>
    </row>
    <row r="57" spans="1:8" s="44" customFormat="1" ht="33" customHeight="1" x14ac:dyDescent="0.2">
      <c r="A57" s="86" t="s">
        <v>210</v>
      </c>
      <c r="B57" s="66">
        <v>580253540</v>
      </c>
      <c r="C57" s="54">
        <v>1000541279</v>
      </c>
      <c r="D57" s="48">
        <v>40000199</v>
      </c>
      <c r="E57" s="59">
        <v>156392</v>
      </c>
      <c r="F57" s="46">
        <v>156392</v>
      </c>
      <c r="G57" s="46">
        <f t="shared" si="1"/>
        <v>0</v>
      </c>
      <c r="H57" s="79"/>
    </row>
    <row r="58" spans="1:8" s="44" customFormat="1" ht="33.75" customHeight="1" x14ac:dyDescent="0.2">
      <c r="A58" s="51" t="s">
        <v>209</v>
      </c>
      <c r="B58" s="50">
        <v>580257327</v>
      </c>
      <c r="C58" s="54">
        <v>1000545691</v>
      </c>
      <c r="D58" s="48">
        <v>40000625</v>
      </c>
      <c r="E58" s="59">
        <v>211009</v>
      </c>
      <c r="F58" s="46">
        <v>211009</v>
      </c>
      <c r="G58" s="46">
        <f t="shared" si="1"/>
        <v>0</v>
      </c>
      <c r="H58" s="92"/>
    </row>
    <row r="59" spans="1:8" s="44" customFormat="1" ht="33.75" customHeight="1" x14ac:dyDescent="0.2">
      <c r="A59" s="85" t="s">
        <v>208</v>
      </c>
      <c r="B59" s="83">
        <v>580258044</v>
      </c>
      <c r="C59" s="54">
        <v>1000543669</v>
      </c>
      <c r="D59" s="48">
        <v>40000626</v>
      </c>
      <c r="E59" s="59">
        <v>311352</v>
      </c>
      <c r="F59" s="46">
        <v>311352</v>
      </c>
      <c r="G59" s="46">
        <f t="shared" si="1"/>
        <v>0</v>
      </c>
      <c r="H59" s="80"/>
    </row>
    <row r="60" spans="1:8" s="44" customFormat="1" ht="42" customHeight="1" x14ac:dyDescent="0.2">
      <c r="A60" s="55" t="s">
        <v>207</v>
      </c>
      <c r="B60" s="48">
        <v>580276822</v>
      </c>
      <c r="C60" s="49">
        <v>1000545485</v>
      </c>
      <c r="D60" s="48">
        <v>40000645</v>
      </c>
      <c r="E60" s="46">
        <v>37115</v>
      </c>
      <c r="F60" s="47">
        <v>37115</v>
      </c>
      <c r="G60" s="46">
        <f t="shared" si="1"/>
        <v>0</v>
      </c>
      <c r="H60" s="57"/>
    </row>
    <row r="61" spans="1:8" s="44" customFormat="1" ht="30.75" customHeight="1" x14ac:dyDescent="0.2">
      <c r="A61" s="55" t="s">
        <v>206</v>
      </c>
      <c r="B61" s="48">
        <v>580277168</v>
      </c>
      <c r="C61" s="54">
        <v>1000545448</v>
      </c>
      <c r="D61" s="48">
        <v>40223831</v>
      </c>
      <c r="E61" s="46">
        <v>90641</v>
      </c>
      <c r="F61" s="47">
        <v>90641</v>
      </c>
      <c r="G61" s="46">
        <f t="shared" si="1"/>
        <v>0</v>
      </c>
      <c r="H61" s="52"/>
    </row>
    <row r="62" spans="1:8" s="44" customFormat="1" ht="33.75" customHeight="1" x14ac:dyDescent="0.2">
      <c r="A62" s="55" t="s">
        <v>205</v>
      </c>
      <c r="B62" s="50">
        <v>580280550</v>
      </c>
      <c r="C62" s="49">
        <v>1000539257</v>
      </c>
      <c r="D62" s="48">
        <v>40000211</v>
      </c>
      <c r="E62" s="46">
        <v>20000</v>
      </c>
      <c r="F62" s="46">
        <v>10000</v>
      </c>
      <c r="G62" s="74">
        <f t="shared" si="1"/>
        <v>10000</v>
      </c>
      <c r="H62" s="91" t="s">
        <v>203</v>
      </c>
    </row>
    <row r="63" spans="1:8" s="44" customFormat="1" ht="33.75" customHeight="1" x14ac:dyDescent="0.2">
      <c r="A63" s="55" t="s">
        <v>204</v>
      </c>
      <c r="B63" s="50">
        <v>580280550</v>
      </c>
      <c r="C63" s="49">
        <v>1000539258</v>
      </c>
      <c r="D63" s="48">
        <v>40000211</v>
      </c>
      <c r="E63" s="46">
        <v>24423</v>
      </c>
      <c r="F63" s="46">
        <v>14423</v>
      </c>
      <c r="G63" s="74">
        <f t="shared" si="1"/>
        <v>10000</v>
      </c>
      <c r="H63" s="91" t="s">
        <v>203</v>
      </c>
    </row>
    <row r="64" spans="1:8" s="44" customFormat="1" ht="31.5" customHeight="1" x14ac:dyDescent="0.2">
      <c r="A64" s="51" t="s">
        <v>34</v>
      </c>
      <c r="B64" s="50">
        <v>580282218</v>
      </c>
      <c r="C64" s="49">
        <v>1000543374</v>
      </c>
      <c r="D64" s="48">
        <v>40000213</v>
      </c>
      <c r="E64" s="59">
        <v>232588</v>
      </c>
      <c r="F64" s="46">
        <v>232588</v>
      </c>
      <c r="G64" s="46">
        <f t="shared" si="1"/>
        <v>0</v>
      </c>
      <c r="H64" s="76"/>
    </row>
    <row r="65" spans="1:8" s="44" customFormat="1" ht="33.75" customHeight="1" x14ac:dyDescent="0.2">
      <c r="A65" s="70" t="s">
        <v>202</v>
      </c>
      <c r="B65" s="53">
        <v>580286607</v>
      </c>
      <c r="C65" s="49">
        <v>1000545818</v>
      </c>
      <c r="D65" s="48">
        <v>40000653</v>
      </c>
      <c r="E65" s="46">
        <v>30000</v>
      </c>
      <c r="F65" s="47">
        <v>30000</v>
      </c>
      <c r="G65" s="46">
        <f t="shared" si="1"/>
        <v>0</v>
      </c>
      <c r="H65" s="45"/>
    </row>
    <row r="66" spans="1:8" s="44" customFormat="1" ht="27" customHeight="1" x14ac:dyDescent="0.2">
      <c r="A66" s="70" t="s">
        <v>201</v>
      </c>
      <c r="B66" s="53">
        <v>580286607</v>
      </c>
      <c r="C66" s="49">
        <v>1000545821</v>
      </c>
      <c r="D66" s="48">
        <v>40000653</v>
      </c>
      <c r="E66" s="46">
        <v>40927</v>
      </c>
      <c r="F66" s="47">
        <v>40927</v>
      </c>
      <c r="G66" s="46">
        <f t="shared" ref="G66:G97" si="2">E66-F66</f>
        <v>0</v>
      </c>
      <c r="H66" s="45"/>
    </row>
    <row r="67" spans="1:8" s="44" customFormat="1" ht="27" customHeight="1" x14ac:dyDescent="0.2">
      <c r="A67" s="70" t="s">
        <v>200</v>
      </c>
      <c r="B67" s="53">
        <v>580286607</v>
      </c>
      <c r="C67" s="49">
        <v>1000545798</v>
      </c>
      <c r="D67" s="48">
        <v>40000653</v>
      </c>
      <c r="E67" s="46">
        <v>30000</v>
      </c>
      <c r="F67" s="47">
        <v>30000</v>
      </c>
      <c r="G67" s="46">
        <f t="shared" si="2"/>
        <v>0</v>
      </c>
      <c r="H67" s="45"/>
    </row>
    <row r="68" spans="1:8" s="44" customFormat="1" ht="27" customHeight="1" x14ac:dyDescent="0.2">
      <c r="A68" s="70" t="s">
        <v>199</v>
      </c>
      <c r="B68" s="53">
        <v>580286607</v>
      </c>
      <c r="C68" s="49">
        <v>1000545783</v>
      </c>
      <c r="D68" s="48">
        <v>40000653</v>
      </c>
      <c r="E68" s="46">
        <v>30000</v>
      </c>
      <c r="F68" s="47">
        <v>30000</v>
      </c>
      <c r="G68" s="46">
        <f t="shared" si="2"/>
        <v>0</v>
      </c>
      <c r="H68" s="45"/>
    </row>
    <row r="69" spans="1:8" s="44" customFormat="1" ht="36" customHeight="1" x14ac:dyDescent="0.2">
      <c r="A69" s="72" t="s">
        <v>198</v>
      </c>
      <c r="B69" s="83">
        <v>580296952</v>
      </c>
      <c r="C69" s="54">
        <v>1000537264</v>
      </c>
      <c r="D69" s="48">
        <v>40000218</v>
      </c>
      <c r="E69" s="59">
        <v>177729</v>
      </c>
      <c r="F69" s="46">
        <v>177729</v>
      </c>
      <c r="G69" s="46">
        <f t="shared" si="2"/>
        <v>0</v>
      </c>
      <c r="H69" s="82"/>
    </row>
    <row r="70" spans="1:8" s="44" customFormat="1" ht="36" customHeight="1" x14ac:dyDescent="0.2">
      <c r="A70" s="51" t="s">
        <v>197</v>
      </c>
      <c r="B70" s="83">
        <v>580308963</v>
      </c>
      <c r="C70" s="54">
        <v>1000546241</v>
      </c>
      <c r="D70" s="90">
        <v>40000665</v>
      </c>
      <c r="E70" s="46">
        <v>399577</v>
      </c>
      <c r="F70" s="46">
        <v>348037</v>
      </c>
      <c r="G70" s="74">
        <f t="shared" si="2"/>
        <v>51540</v>
      </c>
      <c r="H70" s="89" t="s">
        <v>196</v>
      </c>
    </row>
    <row r="71" spans="1:8" s="44" customFormat="1" ht="33.75" customHeight="1" x14ac:dyDescent="0.2">
      <c r="A71" s="51" t="s">
        <v>195</v>
      </c>
      <c r="B71" s="50">
        <v>580309532</v>
      </c>
      <c r="C71" s="54">
        <v>1000544445</v>
      </c>
      <c r="D71" s="48">
        <v>40000667</v>
      </c>
      <c r="E71" s="59">
        <v>310043</v>
      </c>
      <c r="F71" s="46">
        <v>310043</v>
      </c>
      <c r="G71" s="46">
        <f t="shared" si="2"/>
        <v>0</v>
      </c>
      <c r="H71" s="69"/>
    </row>
    <row r="72" spans="1:8" s="44" customFormat="1" ht="33.75" customHeight="1" x14ac:dyDescent="0.2">
      <c r="A72" s="51" t="s">
        <v>194</v>
      </c>
      <c r="B72" s="50">
        <v>580313229</v>
      </c>
      <c r="C72" s="49">
        <v>1000552766</v>
      </c>
      <c r="D72" s="48">
        <v>40000673</v>
      </c>
      <c r="E72" s="46">
        <v>25000</v>
      </c>
      <c r="F72" s="47">
        <v>25000</v>
      </c>
      <c r="G72" s="46">
        <f t="shared" si="2"/>
        <v>0</v>
      </c>
      <c r="H72" s="77"/>
    </row>
    <row r="73" spans="1:8" s="44" customFormat="1" ht="33" customHeight="1" x14ac:dyDescent="0.2">
      <c r="A73" s="51" t="s">
        <v>193</v>
      </c>
      <c r="B73" s="50">
        <v>580313229</v>
      </c>
      <c r="C73" s="49">
        <v>1000552800</v>
      </c>
      <c r="D73" s="48">
        <v>40000673</v>
      </c>
      <c r="E73" s="46">
        <v>22004</v>
      </c>
      <c r="F73" s="47">
        <v>22004</v>
      </c>
      <c r="G73" s="46">
        <f t="shared" si="2"/>
        <v>0</v>
      </c>
      <c r="H73" s="77"/>
    </row>
    <row r="74" spans="1:8" s="44" customFormat="1" ht="27" customHeight="1" x14ac:dyDescent="0.2">
      <c r="A74" s="51" t="s">
        <v>80</v>
      </c>
      <c r="B74" s="50">
        <v>580313229</v>
      </c>
      <c r="C74" s="49">
        <v>1000552765</v>
      </c>
      <c r="D74" s="48">
        <v>40000673</v>
      </c>
      <c r="E74" s="46">
        <v>25000</v>
      </c>
      <c r="F74" s="47">
        <v>25000</v>
      </c>
      <c r="G74" s="46">
        <f t="shared" si="2"/>
        <v>0</v>
      </c>
      <c r="H74" s="77"/>
    </row>
    <row r="75" spans="1:8" s="44" customFormat="1" ht="30" customHeight="1" x14ac:dyDescent="0.2">
      <c r="A75" s="51" t="s">
        <v>192</v>
      </c>
      <c r="B75" s="50">
        <v>580327674</v>
      </c>
      <c r="C75" s="54">
        <v>1000544743</v>
      </c>
      <c r="D75" s="48">
        <v>40000682</v>
      </c>
      <c r="E75" s="59">
        <v>449178</v>
      </c>
      <c r="F75" s="46">
        <v>449178</v>
      </c>
      <c r="G75" s="46">
        <f t="shared" si="2"/>
        <v>0</v>
      </c>
      <c r="H75" s="79"/>
    </row>
    <row r="76" spans="1:8" s="44" customFormat="1" ht="33" customHeight="1" x14ac:dyDescent="0.2">
      <c r="A76" s="81" t="s">
        <v>191</v>
      </c>
      <c r="B76" s="53">
        <v>580329209</v>
      </c>
      <c r="C76" s="49">
        <v>1000540715</v>
      </c>
      <c r="D76" s="48">
        <v>40165502</v>
      </c>
      <c r="E76" s="46">
        <v>105000</v>
      </c>
      <c r="F76" s="47">
        <v>105000</v>
      </c>
      <c r="G76" s="46">
        <f t="shared" si="2"/>
        <v>0</v>
      </c>
      <c r="H76" s="45"/>
    </row>
    <row r="77" spans="1:8" s="44" customFormat="1" ht="27" customHeight="1" x14ac:dyDescent="0.2">
      <c r="A77" s="70" t="s">
        <v>190</v>
      </c>
      <c r="B77" s="50">
        <v>580332047</v>
      </c>
      <c r="C77" s="54">
        <v>1000551755</v>
      </c>
      <c r="D77" s="48">
        <v>40000685</v>
      </c>
      <c r="E77" s="59">
        <v>93362</v>
      </c>
      <c r="F77" s="46">
        <v>93362</v>
      </c>
      <c r="G77" s="46">
        <f t="shared" si="2"/>
        <v>0</v>
      </c>
      <c r="H77" s="88"/>
    </row>
    <row r="78" spans="1:8" s="44" customFormat="1" ht="56.25" customHeight="1" x14ac:dyDescent="0.2">
      <c r="A78" s="51" t="s">
        <v>189</v>
      </c>
      <c r="B78" s="50">
        <v>580337137</v>
      </c>
      <c r="C78" s="54">
        <v>1000552750</v>
      </c>
      <c r="D78" s="48">
        <v>40000688</v>
      </c>
      <c r="E78" s="59">
        <v>274134</v>
      </c>
      <c r="F78" s="46">
        <v>274134</v>
      </c>
      <c r="G78" s="46">
        <f t="shared" si="2"/>
        <v>0</v>
      </c>
      <c r="H78" s="69"/>
    </row>
    <row r="79" spans="1:8" s="44" customFormat="1" ht="39.75" customHeight="1" x14ac:dyDescent="0.2">
      <c r="A79" s="85" t="s">
        <v>188</v>
      </c>
      <c r="B79" s="66">
        <v>580344570</v>
      </c>
      <c r="C79" s="54">
        <v>1000537248</v>
      </c>
      <c r="D79" s="48">
        <v>40000240</v>
      </c>
      <c r="E79" s="59">
        <v>119375</v>
      </c>
      <c r="F79" s="46">
        <v>119375</v>
      </c>
      <c r="G79" s="46">
        <f t="shared" si="2"/>
        <v>0</v>
      </c>
      <c r="H79" s="45"/>
    </row>
    <row r="80" spans="1:8" s="44" customFormat="1" ht="36" customHeight="1" x14ac:dyDescent="0.2">
      <c r="A80" s="51" t="s">
        <v>187</v>
      </c>
      <c r="B80" s="50">
        <v>580345114</v>
      </c>
      <c r="C80" s="49">
        <v>1000553190</v>
      </c>
      <c r="D80" s="48">
        <v>40158343</v>
      </c>
      <c r="E80" s="46">
        <v>45285</v>
      </c>
      <c r="F80" s="46">
        <v>0</v>
      </c>
      <c r="G80" s="74">
        <f t="shared" si="2"/>
        <v>45285</v>
      </c>
      <c r="H80" s="87" t="s">
        <v>186</v>
      </c>
    </row>
    <row r="81" spans="1:8" s="44" customFormat="1" ht="36" customHeight="1" x14ac:dyDescent="0.2">
      <c r="A81" s="86" t="s">
        <v>185</v>
      </c>
      <c r="B81" s="66">
        <v>580346708</v>
      </c>
      <c r="C81" s="54">
        <v>1000551138</v>
      </c>
      <c r="D81" s="48">
        <v>40000699</v>
      </c>
      <c r="E81" s="59">
        <v>150720</v>
      </c>
      <c r="F81" s="46">
        <v>150720</v>
      </c>
      <c r="G81" s="46">
        <f t="shared" si="2"/>
        <v>0</v>
      </c>
      <c r="H81" s="77"/>
    </row>
    <row r="82" spans="1:8" s="44" customFormat="1" ht="27" customHeight="1" x14ac:dyDescent="0.2">
      <c r="A82" s="51" t="s">
        <v>66</v>
      </c>
      <c r="B82" s="50">
        <v>580350767</v>
      </c>
      <c r="C82" s="54">
        <v>1000553138</v>
      </c>
      <c r="D82" s="48">
        <v>40000703</v>
      </c>
      <c r="E82" s="46">
        <v>49150</v>
      </c>
      <c r="F82" s="48">
        <v>49150</v>
      </c>
      <c r="G82" s="46">
        <f t="shared" si="2"/>
        <v>0</v>
      </c>
      <c r="H82" s="76"/>
    </row>
    <row r="83" spans="1:8" s="44" customFormat="1" ht="27" customHeight="1" x14ac:dyDescent="0.2">
      <c r="A83" s="70" t="s">
        <v>184</v>
      </c>
      <c r="B83" s="53">
        <v>580354850</v>
      </c>
      <c r="C83" s="49">
        <v>1000546540</v>
      </c>
      <c r="D83" s="48">
        <v>40318159</v>
      </c>
      <c r="E83" s="46">
        <v>66234</v>
      </c>
      <c r="F83" s="84">
        <v>66234</v>
      </c>
      <c r="G83" s="46">
        <f t="shared" si="2"/>
        <v>0</v>
      </c>
      <c r="H83" s="57"/>
    </row>
    <row r="84" spans="1:8" s="44" customFormat="1" ht="32.25" customHeight="1" x14ac:dyDescent="0.2">
      <c r="A84" s="85" t="s">
        <v>183</v>
      </c>
      <c r="B84" s="50">
        <v>580368256</v>
      </c>
      <c r="C84" s="49">
        <v>1000541371</v>
      </c>
      <c r="D84" s="48">
        <v>40221491</v>
      </c>
      <c r="E84" s="46">
        <v>110469</v>
      </c>
      <c r="F84" s="47">
        <v>110469</v>
      </c>
      <c r="G84" s="46">
        <f t="shared" si="2"/>
        <v>0</v>
      </c>
      <c r="H84" s="45"/>
    </row>
    <row r="85" spans="1:8" s="44" customFormat="1" ht="47.25" customHeight="1" x14ac:dyDescent="0.2">
      <c r="A85" s="85" t="s">
        <v>182</v>
      </c>
      <c r="B85" s="66">
        <v>580370294</v>
      </c>
      <c r="C85" s="54">
        <v>1000543889</v>
      </c>
      <c r="D85" s="48">
        <v>40216081</v>
      </c>
      <c r="E85" s="59">
        <v>330549</v>
      </c>
      <c r="F85" s="46">
        <v>330549</v>
      </c>
      <c r="G85" s="46">
        <f t="shared" si="2"/>
        <v>0</v>
      </c>
      <c r="H85" s="79"/>
    </row>
    <row r="86" spans="1:8" s="44" customFormat="1" ht="31.5" customHeight="1" x14ac:dyDescent="0.2">
      <c r="A86" s="51" t="s">
        <v>181</v>
      </c>
      <c r="B86" s="50">
        <v>580372167</v>
      </c>
      <c r="C86" s="49">
        <v>1000538187</v>
      </c>
      <c r="D86" s="48">
        <v>40216010</v>
      </c>
      <c r="E86" s="46">
        <v>20000</v>
      </c>
      <c r="F86" s="47">
        <v>20000</v>
      </c>
      <c r="G86" s="46">
        <f t="shared" si="2"/>
        <v>0</v>
      </c>
      <c r="H86" s="45"/>
    </row>
    <row r="87" spans="1:8" s="44" customFormat="1" ht="31.5" customHeight="1" x14ac:dyDescent="0.2">
      <c r="A87" s="81" t="s">
        <v>180</v>
      </c>
      <c r="B87" s="50">
        <v>580372167</v>
      </c>
      <c r="C87" s="49">
        <v>1000538252</v>
      </c>
      <c r="D87" s="48">
        <v>40216010</v>
      </c>
      <c r="E87" s="46">
        <v>20000</v>
      </c>
      <c r="F87" s="47">
        <v>20000</v>
      </c>
      <c r="G87" s="46">
        <f t="shared" si="2"/>
        <v>0</v>
      </c>
      <c r="H87" s="45"/>
    </row>
    <row r="88" spans="1:8" s="44" customFormat="1" ht="31.5" customHeight="1" x14ac:dyDescent="0.2">
      <c r="A88" s="81" t="s">
        <v>179</v>
      </c>
      <c r="B88" s="50">
        <v>580372167</v>
      </c>
      <c r="C88" s="49">
        <v>1000538279</v>
      </c>
      <c r="D88" s="48">
        <v>40216010</v>
      </c>
      <c r="E88" s="46">
        <v>20000</v>
      </c>
      <c r="F88" s="47">
        <v>20000</v>
      </c>
      <c r="G88" s="46">
        <f t="shared" si="2"/>
        <v>0</v>
      </c>
      <c r="H88" s="45"/>
    </row>
    <row r="89" spans="1:8" s="44" customFormat="1" ht="31.5" customHeight="1" x14ac:dyDescent="0.2">
      <c r="A89" s="51" t="s">
        <v>178</v>
      </c>
      <c r="B89" s="50">
        <v>580372167</v>
      </c>
      <c r="C89" s="49">
        <v>1000538285</v>
      </c>
      <c r="D89" s="48">
        <v>40216010</v>
      </c>
      <c r="E89" s="46">
        <v>35192</v>
      </c>
      <c r="F89" s="47">
        <v>35192</v>
      </c>
      <c r="G89" s="46">
        <f t="shared" si="2"/>
        <v>0</v>
      </c>
      <c r="H89" s="45"/>
    </row>
    <row r="90" spans="1:8" s="44" customFormat="1" x14ac:dyDescent="0.2">
      <c r="A90" s="51" t="s">
        <v>177</v>
      </c>
      <c r="B90" s="50">
        <v>580375715</v>
      </c>
      <c r="C90" s="49">
        <v>1000545259</v>
      </c>
      <c r="D90" s="48">
        <v>40216085</v>
      </c>
      <c r="E90" s="46">
        <v>27091</v>
      </c>
      <c r="F90" s="84">
        <v>27091</v>
      </c>
      <c r="G90" s="46">
        <f t="shared" si="2"/>
        <v>0</v>
      </c>
      <c r="H90" s="79"/>
    </row>
    <row r="91" spans="1:8" s="44" customFormat="1" x14ac:dyDescent="0.2">
      <c r="A91" s="51" t="s">
        <v>176</v>
      </c>
      <c r="B91" s="50">
        <v>580375715</v>
      </c>
      <c r="C91" s="49">
        <v>1000545282</v>
      </c>
      <c r="D91" s="48">
        <v>40216085</v>
      </c>
      <c r="E91" s="46">
        <v>20000</v>
      </c>
      <c r="F91" s="84">
        <v>20000</v>
      </c>
      <c r="G91" s="46">
        <f t="shared" si="2"/>
        <v>0</v>
      </c>
      <c r="H91" s="79"/>
    </row>
    <row r="92" spans="1:8" s="44" customFormat="1" ht="27" customHeight="1" x14ac:dyDescent="0.2">
      <c r="A92" s="51" t="s">
        <v>175</v>
      </c>
      <c r="B92" s="50">
        <v>580375715</v>
      </c>
      <c r="C92" s="49">
        <v>1000545294</v>
      </c>
      <c r="D92" s="48">
        <v>40216085</v>
      </c>
      <c r="E92" s="46">
        <v>20000</v>
      </c>
      <c r="F92" s="84">
        <v>20000</v>
      </c>
      <c r="G92" s="46">
        <f t="shared" si="2"/>
        <v>0</v>
      </c>
      <c r="H92" s="79"/>
    </row>
    <row r="93" spans="1:8" s="44" customFormat="1" ht="27" customHeight="1" x14ac:dyDescent="0.2">
      <c r="A93" s="51" t="s">
        <v>174</v>
      </c>
      <c r="B93" s="50">
        <v>580375715</v>
      </c>
      <c r="C93" s="49">
        <v>1000545276</v>
      </c>
      <c r="D93" s="48">
        <v>40216085</v>
      </c>
      <c r="E93" s="46">
        <v>20000</v>
      </c>
      <c r="F93" s="84">
        <v>20000</v>
      </c>
      <c r="G93" s="46">
        <f t="shared" si="2"/>
        <v>0</v>
      </c>
      <c r="H93" s="79"/>
    </row>
    <row r="94" spans="1:8" s="44" customFormat="1" ht="27" customHeight="1" x14ac:dyDescent="0.2">
      <c r="A94" s="51" t="s">
        <v>173</v>
      </c>
      <c r="B94" s="50">
        <v>580375715</v>
      </c>
      <c r="C94" s="49">
        <v>1000545285</v>
      </c>
      <c r="D94" s="48">
        <v>40216085</v>
      </c>
      <c r="E94" s="46">
        <v>20000</v>
      </c>
      <c r="F94" s="84">
        <v>20000</v>
      </c>
      <c r="G94" s="46">
        <f t="shared" si="2"/>
        <v>0</v>
      </c>
      <c r="H94" s="79"/>
    </row>
    <row r="95" spans="1:8" s="44" customFormat="1" ht="27" customHeight="1" x14ac:dyDescent="0.2">
      <c r="A95" s="72" t="s">
        <v>172</v>
      </c>
      <c r="B95" s="83">
        <v>580379758</v>
      </c>
      <c r="C95" s="54">
        <v>1000552856</v>
      </c>
      <c r="D95" s="48">
        <v>40216094</v>
      </c>
      <c r="E95" s="59">
        <v>529413</v>
      </c>
      <c r="F95" s="46">
        <v>529413</v>
      </c>
      <c r="G95" s="46">
        <f t="shared" si="2"/>
        <v>0</v>
      </c>
      <c r="H95" s="79"/>
    </row>
    <row r="96" spans="1:8" s="44" customFormat="1" ht="31.5" customHeight="1" x14ac:dyDescent="0.2">
      <c r="A96" s="51" t="s">
        <v>171</v>
      </c>
      <c r="B96" s="56">
        <v>580382844</v>
      </c>
      <c r="C96" s="54">
        <v>1000546639</v>
      </c>
      <c r="D96" s="48">
        <v>40275119</v>
      </c>
      <c r="E96" s="59">
        <v>162619</v>
      </c>
      <c r="F96" s="46">
        <v>162619</v>
      </c>
      <c r="G96" s="46">
        <f t="shared" si="2"/>
        <v>0</v>
      </c>
      <c r="H96" s="76"/>
    </row>
    <row r="97" spans="1:8" s="44" customFormat="1" ht="36" customHeight="1" x14ac:dyDescent="0.2">
      <c r="A97" s="51" t="s">
        <v>170</v>
      </c>
      <c r="B97" s="50">
        <v>580388304</v>
      </c>
      <c r="C97" s="54">
        <v>1000541964</v>
      </c>
      <c r="D97" s="48">
        <v>40296189</v>
      </c>
      <c r="E97" s="46">
        <v>123316</v>
      </c>
      <c r="F97" s="47">
        <v>123316</v>
      </c>
      <c r="G97" s="46">
        <f t="shared" si="2"/>
        <v>0</v>
      </c>
      <c r="H97" s="76"/>
    </row>
    <row r="98" spans="1:8" s="44" customFormat="1" ht="45.75" customHeight="1" x14ac:dyDescent="0.2">
      <c r="A98" s="72" t="s">
        <v>169</v>
      </c>
      <c r="B98" s="53">
        <v>580394880</v>
      </c>
      <c r="C98" s="54">
        <v>1000549648</v>
      </c>
      <c r="D98" s="48">
        <v>40269498</v>
      </c>
      <c r="E98" s="59">
        <v>157883</v>
      </c>
      <c r="F98" s="46">
        <v>157883</v>
      </c>
      <c r="G98" s="46">
        <f t="shared" ref="G98:G115" si="3">E98-F98</f>
        <v>0</v>
      </c>
      <c r="H98" s="82"/>
    </row>
    <row r="99" spans="1:8" s="44" customFormat="1" ht="38.25" customHeight="1" x14ac:dyDescent="0.2">
      <c r="A99" s="81" t="s">
        <v>168</v>
      </c>
      <c r="B99" s="66">
        <v>580407559</v>
      </c>
      <c r="C99" s="54">
        <v>1000546246</v>
      </c>
      <c r="D99" s="48">
        <v>40221570</v>
      </c>
      <c r="E99" s="46">
        <v>61769</v>
      </c>
      <c r="F99" s="47">
        <v>61769</v>
      </c>
      <c r="G99" s="46">
        <f t="shared" si="3"/>
        <v>0</v>
      </c>
      <c r="H99" s="76"/>
    </row>
    <row r="100" spans="1:8" s="44" customFormat="1" ht="38.25" customHeight="1" x14ac:dyDescent="0.2">
      <c r="A100" s="51" t="s">
        <v>83</v>
      </c>
      <c r="B100" s="50">
        <v>580409589</v>
      </c>
      <c r="C100" s="49">
        <v>1000543657</v>
      </c>
      <c r="D100" s="48">
        <v>40228906</v>
      </c>
      <c r="E100" s="46">
        <v>23877</v>
      </c>
      <c r="F100" s="47">
        <v>23877</v>
      </c>
      <c r="G100" s="46">
        <f t="shared" si="3"/>
        <v>0</v>
      </c>
      <c r="H100" s="80"/>
    </row>
    <row r="101" spans="1:8" s="44" customFormat="1" ht="36" customHeight="1" x14ac:dyDescent="0.2">
      <c r="A101" s="51" t="s">
        <v>167</v>
      </c>
      <c r="B101" s="50">
        <v>580416584</v>
      </c>
      <c r="C101" s="54">
        <v>1000542647</v>
      </c>
      <c r="D101" s="48">
        <v>40221576</v>
      </c>
      <c r="E101" s="59">
        <v>311797</v>
      </c>
      <c r="F101" s="46">
        <v>311797</v>
      </c>
      <c r="G101" s="46">
        <f t="shared" si="3"/>
        <v>0</v>
      </c>
      <c r="H101" s="79"/>
    </row>
    <row r="102" spans="1:8" s="44" customFormat="1" ht="36" customHeight="1" x14ac:dyDescent="0.2">
      <c r="A102" s="51" t="s">
        <v>85</v>
      </c>
      <c r="B102" s="50">
        <v>580425767</v>
      </c>
      <c r="C102" s="54">
        <v>1000539738</v>
      </c>
      <c r="D102" s="48">
        <v>40221584</v>
      </c>
      <c r="E102" s="46">
        <v>47671</v>
      </c>
      <c r="F102" s="46">
        <v>0</v>
      </c>
      <c r="G102" s="74">
        <f t="shared" si="3"/>
        <v>47671</v>
      </c>
      <c r="H102" s="78" t="s">
        <v>166</v>
      </c>
    </row>
    <row r="103" spans="1:8" s="44" customFormat="1" ht="24.95" customHeight="1" x14ac:dyDescent="0.2">
      <c r="A103" s="51" t="s">
        <v>165</v>
      </c>
      <c r="B103" s="50">
        <v>580426492</v>
      </c>
      <c r="C103" s="49">
        <v>1000542594</v>
      </c>
      <c r="D103" s="48">
        <v>40265987</v>
      </c>
      <c r="E103" s="46">
        <v>30944</v>
      </c>
      <c r="F103" s="47">
        <v>30944</v>
      </c>
      <c r="G103" s="46">
        <f t="shared" si="3"/>
        <v>0</v>
      </c>
      <c r="H103" s="77"/>
    </row>
    <row r="104" spans="1:8" s="44" customFormat="1" ht="33.75" customHeight="1" x14ac:dyDescent="0.2">
      <c r="A104" s="51" t="s">
        <v>164</v>
      </c>
      <c r="B104" s="66">
        <v>580442697</v>
      </c>
      <c r="C104" s="49">
        <v>1000546247</v>
      </c>
      <c r="D104" s="48">
        <v>40296190</v>
      </c>
      <c r="E104" s="46">
        <v>30000</v>
      </c>
      <c r="F104" s="47">
        <v>30000</v>
      </c>
      <c r="G104" s="46">
        <f t="shared" si="3"/>
        <v>0</v>
      </c>
      <c r="H104" s="76"/>
    </row>
    <row r="105" spans="1:8" s="44" customFormat="1" ht="33.75" customHeight="1" x14ac:dyDescent="0.2">
      <c r="A105" s="51" t="s">
        <v>163</v>
      </c>
      <c r="B105" s="66">
        <v>580442697</v>
      </c>
      <c r="C105" s="49">
        <v>1000546266</v>
      </c>
      <c r="D105" s="48">
        <v>40296190</v>
      </c>
      <c r="E105" s="46">
        <v>24954</v>
      </c>
      <c r="F105" s="47">
        <v>24954</v>
      </c>
      <c r="G105" s="46">
        <f t="shared" si="3"/>
        <v>0</v>
      </c>
      <c r="H105" s="76"/>
    </row>
    <row r="106" spans="1:8" s="44" customFormat="1" ht="34.5" customHeight="1" x14ac:dyDescent="0.2">
      <c r="A106" s="72" t="s">
        <v>162</v>
      </c>
      <c r="B106" s="53">
        <v>580450849</v>
      </c>
      <c r="C106" s="54">
        <v>1000538269</v>
      </c>
      <c r="D106" s="48">
        <v>40258828</v>
      </c>
      <c r="E106" s="59">
        <v>100883</v>
      </c>
      <c r="F106" s="46">
        <v>100883</v>
      </c>
      <c r="G106" s="46">
        <f t="shared" si="3"/>
        <v>0</v>
      </c>
      <c r="H106" s="75"/>
    </row>
    <row r="107" spans="1:8" s="44" customFormat="1" ht="33" customHeight="1" x14ac:dyDescent="0.2">
      <c r="A107" s="70" t="s">
        <v>161</v>
      </c>
      <c r="B107" s="53">
        <v>580451136</v>
      </c>
      <c r="C107" s="49">
        <v>1000547060</v>
      </c>
      <c r="D107" s="48">
        <v>40480679</v>
      </c>
      <c r="E107" s="46">
        <v>89893</v>
      </c>
      <c r="F107" s="48">
        <v>89893</v>
      </c>
      <c r="G107" s="46">
        <f t="shared" si="3"/>
        <v>0</v>
      </c>
      <c r="H107" s="52"/>
    </row>
    <row r="108" spans="1:8" s="44" customFormat="1" ht="45.75" customHeight="1" x14ac:dyDescent="0.2">
      <c r="A108" s="55" t="s">
        <v>160</v>
      </c>
      <c r="B108" s="48">
        <v>580463339</v>
      </c>
      <c r="C108" s="54">
        <v>1000552786</v>
      </c>
      <c r="D108" s="48">
        <v>40258570</v>
      </c>
      <c r="E108" s="46">
        <v>566745</v>
      </c>
      <c r="F108" s="46">
        <v>378945</v>
      </c>
      <c r="G108" s="74">
        <f t="shared" si="3"/>
        <v>187800</v>
      </c>
      <c r="H108" s="73" t="s">
        <v>159</v>
      </c>
    </row>
    <row r="109" spans="1:8" s="44" customFormat="1" ht="33" customHeight="1" x14ac:dyDescent="0.2">
      <c r="A109" s="72" t="s">
        <v>158</v>
      </c>
      <c r="B109" s="53">
        <v>580463420</v>
      </c>
      <c r="C109" s="49">
        <v>1000547452</v>
      </c>
      <c r="D109" s="48">
        <v>40383495</v>
      </c>
      <c r="E109" s="46">
        <v>92415</v>
      </c>
      <c r="F109" s="47">
        <v>92415</v>
      </c>
      <c r="G109" s="46">
        <f t="shared" si="3"/>
        <v>0</v>
      </c>
      <c r="H109" s="71"/>
    </row>
    <row r="110" spans="1:8" s="44" customFormat="1" ht="33" customHeight="1" x14ac:dyDescent="0.2">
      <c r="A110" s="72" t="s">
        <v>157</v>
      </c>
      <c r="B110" s="53">
        <v>580470383</v>
      </c>
      <c r="C110" s="54">
        <v>1000549679</v>
      </c>
      <c r="D110" s="48">
        <v>40384065</v>
      </c>
      <c r="E110" s="59">
        <v>142187</v>
      </c>
      <c r="F110" s="46">
        <v>142187</v>
      </c>
      <c r="G110" s="46">
        <f t="shared" si="3"/>
        <v>0</v>
      </c>
      <c r="H110" s="71"/>
    </row>
    <row r="111" spans="1:8" s="44" customFormat="1" ht="33" customHeight="1" x14ac:dyDescent="0.2">
      <c r="A111" s="70" t="s">
        <v>156</v>
      </c>
      <c r="B111" s="53">
        <v>580472892</v>
      </c>
      <c r="C111" s="54">
        <v>1000544921</v>
      </c>
      <c r="D111" s="48">
        <v>40371504</v>
      </c>
      <c r="E111" s="59">
        <v>295588</v>
      </c>
      <c r="F111" s="46">
        <v>295588</v>
      </c>
      <c r="G111" s="46">
        <f t="shared" si="3"/>
        <v>0</v>
      </c>
      <c r="H111" s="69"/>
    </row>
    <row r="112" spans="1:8" s="44" customFormat="1" ht="33" customHeight="1" x14ac:dyDescent="0.2">
      <c r="A112" s="51" t="s">
        <v>155</v>
      </c>
      <c r="B112" s="50">
        <v>580481620</v>
      </c>
      <c r="C112" s="54">
        <v>1000539998</v>
      </c>
      <c r="D112" s="48">
        <v>40361861</v>
      </c>
      <c r="E112" s="59">
        <v>139203</v>
      </c>
      <c r="F112" s="46">
        <v>139203</v>
      </c>
      <c r="G112" s="46">
        <f t="shared" si="3"/>
        <v>0</v>
      </c>
      <c r="H112" s="68"/>
    </row>
    <row r="113" spans="1:8" s="44" customFormat="1" ht="33" customHeight="1" x14ac:dyDescent="0.2">
      <c r="A113" s="51" t="s">
        <v>154</v>
      </c>
      <c r="B113" s="50">
        <v>580486173</v>
      </c>
      <c r="C113" s="54">
        <v>1000553182</v>
      </c>
      <c r="D113" s="48">
        <v>40343383</v>
      </c>
      <c r="E113" s="59">
        <v>417523</v>
      </c>
      <c r="F113" s="46">
        <v>417523</v>
      </c>
      <c r="G113" s="46">
        <f t="shared" si="3"/>
        <v>0</v>
      </c>
      <c r="H113" s="67"/>
    </row>
    <row r="114" spans="1:8" s="44" customFormat="1" ht="27" customHeight="1" x14ac:dyDescent="0.2">
      <c r="A114" s="61" t="s">
        <v>153</v>
      </c>
      <c r="B114" s="53">
        <v>580494177</v>
      </c>
      <c r="C114" s="49">
        <v>1000533060</v>
      </c>
      <c r="D114" s="48">
        <v>40507679</v>
      </c>
      <c r="E114" s="59">
        <v>141456</v>
      </c>
      <c r="F114" s="46">
        <v>141456</v>
      </c>
      <c r="G114" s="46">
        <f t="shared" si="3"/>
        <v>0</v>
      </c>
      <c r="H114" s="45"/>
    </row>
    <row r="115" spans="1:8" s="62" customFormat="1" ht="36" customHeight="1" x14ac:dyDescent="0.2">
      <c r="A115" s="45" t="s">
        <v>152</v>
      </c>
      <c r="B115" s="66">
        <v>580501823</v>
      </c>
      <c r="C115" s="49">
        <v>1000538870</v>
      </c>
      <c r="D115" s="48">
        <v>40463826</v>
      </c>
      <c r="E115" s="46">
        <v>27209</v>
      </c>
      <c r="F115" s="47">
        <v>27209</v>
      </c>
      <c r="G115" s="46">
        <f t="shared" si="3"/>
        <v>0</v>
      </c>
      <c r="H115" s="45"/>
    </row>
    <row r="116" spans="1:8" s="62" customFormat="1" ht="36" customHeight="1" x14ac:dyDescent="0.2">
      <c r="A116" s="65" t="s">
        <v>151</v>
      </c>
      <c r="B116" s="64"/>
      <c r="C116" s="64"/>
      <c r="D116" s="64"/>
      <c r="E116" s="64"/>
      <c r="F116" s="64"/>
      <c r="G116" s="64"/>
      <c r="H116" s="63"/>
    </row>
    <row r="117" spans="1:8" s="44" customFormat="1" ht="33.75" customHeight="1" x14ac:dyDescent="0.2">
      <c r="A117" s="61" t="s">
        <v>150</v>
      </c>
      <c r="B117" s="66">
        <v>580527307</v>
      </c>
      <c r="C117" s="49">
        <v>1000551455</v>
      </c>
      <c r="D117" s="48">
        <v>40821739</v>
      </c>
      <c r="E117" s="46">
        <v>64282</v>
      </c>
      <c r="F117" s="48">
        <v>64282</v>
      </c>
      <c r="G117" s="46">
        <f t="shared" ref="G117:G127" si="4">E117-F117</f>
        <v>0</v>
      </c>
      <c r="H117" s="58"/>
    </row>
    <row r="118" spans="1:8" s="44" customFormat="1" ht="33.75" customHeight="1" x14ac:dyDescent="0.2">
      <c r="A118" s="61" t="s">
        <v>149</v>
      </c>
      <c r="B118" s="66">
        <v>580505352</v>
      </c>
      <c r="C118" s="49">
        <v>1000552770</v>
      </c>
      <c r="D118" s="48">
        <v>40541812</v>
      </c>
      <c r="E118" s="59">
        <v>123391</v>
      </c>
      <c r="F118" s="46">
        <v>123391</v>
      </c>
      <c r="G118" s="46">
        <f t="shared" si="4"/>
        <v>0</v>
      </c>
      <c r="H118" s="58"/>
    </row>
    <row r="119" spans="1:8" s="44" customFormat="1" ht="27" customHeight="1" x14ac:dyDescent="0.2">
      <c r="A119" s="61" t="s">
        <v>148</v>
      </c>
      <c r="B119" s="66">
        <v>580536431</v>
      </c>
      <c r="C119" s="60">
        <v>1000552981</v>
      </c>
      <c r="D119" s="48">
        <v>40946840</v>
      </c>
      <c r="E119" s="59">
        <v>74147</v>
      </c>
      <c r="F119" s="46">
        <v>74147</v>
      </c>
      <c r="G119" s="46">
        <f t="shared" si="4"/>
        <v>0</v>
      </c>
      <c r="H119" s="58"/>
    </row>
    <row r="120" spans="1:8" s="44" customFormat="1" ht="27" customHeight="1" x14ac:dyDescent="0.2">
      <c r="A120" s="61" t="s">
        <v>147</v>
      </c>
      <c r="B120" s="66">
        <v>580515195</v>
      </c>
      <c r="C120" s="60">
        <v>1000549441</v>
      </c>
      <c r="D120" s="48">
        <v>40985537</v>
      </c>
      <c r="E120" s="59">
        <v>87018</v>
      </c>
      <c r="F120" s="46">
        <v>87018</v>
      </c>
      <c r="G120" s="46">
        <f t="shared" si="4"/>
        <v>0</v>
      </c>
      <c r="H120" s="58"/>
    </row>
    <row r="121" spans="1:8" s="44" customFormat="1" ht="27" customHeight="1" x14ac:dyDescent="0.2">
      <c r="A121" s="51" t="s">
        <v>146</v>
      </c>
      <c r="B121" s="66">
        <v>580089100</v>
      </c>
      <c r="C121" s="49">
        <v>1000552995</v>
      </c>
      <c r="D121" s="48">
        <v>40221469</v>
      </c>
      <c r="E121" s="46">
        <v>33964</v>
      </c>
      <c r="F121" s="47">
        <v>33964</v>
      </c>
      <c r="G121" s="46">
        <f t="shared" si="4"/>
        <v>0</v>
      </c>
      <c r="H121" s="45"/>
    </row>
    <row r="122" spans="1:8" s="44" customFormat="1" ht="41.25" customHeight="1" x14ac:dyDescent="0.2">
      <c r="A122" s="51" t="s">
        <v>145</v>
      </c>
      <c r="B122" s="66">
        <v>500262688</v>
      </c>
      <c r="C122" s="49">
        <v>1000538188</v>
      </c>
      <c r="D122" s="48">
        <v>20000861</v>
      </c>
      <c r="E122" s="46">
        <v>75476</v>
      </c>
      <c r="F122" s="47">
        <v>75476</v>
      </c>
      <c r="G122" s="46">
        <f t="shared" si="4"/>
        <v>0</v>
      </c>
      <c r="H122" s="45"/>
    </row>
    <row r="123" spans="1:8" s="44" customFormat="1" ht="33" customHeight="1" x14ac:dyDescent="0.2">
      <c r="A123" s="55" t="s">
        <v>144</v>
      </c>
      <c r="B123" s="66">
        <v>580276822</v>
      </c>
      <c r="C123" s="49">
        <v>1000545486</v>
      </c>
      <c r="D123" s="48">
        <v>40000645</v>
      </c>
      <c r="E123" s="46">
        <v>20000</v>
      </c>
      <c r="F123" s="47">
        <v>20000</v>
      </c>
      <c r="G123" s="46">
        <f t="shared" si="4"/>
        <v>0</v>
      </c>
      <c r="H123" s="57"/>
    </row>
    <row r="124" spans="1:8" s="44" customFormat="1" ht="37.5" customHeight="1" x14ac:dyDescent="0.2">
      <c r="A124" s="51" t="s">
        <v>143</v>
      </c>
      <c r="B124" s="66">
        <v>500205174</v>
      </c>
      <c r="C124" s="49">
        <v>1000543881</v>
      </c>
      <c r="D124" s="48">
        <v>20000056</v>
      </c>
      <c r="E124" s="46">
        <v>26956</v>
      </c>
      <c r="F124" s="47">
        <v>26956</v>
      </c>
      <c r="G124" s="46">
        <f t="shared" si="4"/>
        <v>0</v>
      </c>
      <c r="H124" s="45"/>
    </row>
    <row r="125" spans="1:8" s="44" customFormat="1" x14ac:dyDescent="0.2">
      <c r="A125" s="55" t="s">
        <v>142</v>
      </c>
      <c r="B125" s="66">
        <v>500204722</v>
      </c>
      <c r="C125" s="54">
        <v>1000589810</v>
      </c>
      <c r="D125" s="48">
        <v>20000031</v>
      </c>
      <c r="E125" s="46">
        <v>23021</v>
      </c>
      <c r="F125" s="47">
        <v>23021</v>
      </c>
      <c r="G125" s="53">
        <f t="shared" si="4"/>
        <v>0</v>
      </c>
      <c r="H125" s="52"/>
    </row>
    <row r="126" spans="1:8" s="44" customFormat="1" x14ac:dyDescent="0.2">
      <c r="A126" s="55" t="s">
        <v>141</v>
      </c>
      <c r="B126" s="66">
        <v>580515195</v>
      </c>
      <c r="C126" s="54">
        <v>1000589812</v>
      </c>
      <c r="D126" s="48">
        <v>20000031</v>
      </c>
      <c r="E126" s="46">
        <v>20000</v>
      </c>
      <c r="F126" s="47">
        <v>20000</v>
      </c>
      <c r="G126" s="53">
        <f t="shared" si="4"/>
        <v>0</v>
      </c>
      <c r="H126" s="52"/>
    </row>
    <row r="127" spans="1:8" s="44" customFormat="1" ht="36.75" customHeight="1" x14ac:dyDescent="0.2">
      <c r="A127" s="51" t="s">
        <v>140</v>
      </c>
      <c r="B127" s="66">
        <v>500250006</v>
      </c>
      <c r="C127" s="49">
        <v>1000546557</v>
      </c>
      <c r="D127" s="48">
        <v>20000201</v>
      </c>
      <c r="E127" s="46">
        <v>36875</v>
      </c>
      <c r="F127" s="47">
        <v>36875</v>
      </c>
      <c r="G127" s="46">
        <f t="shared" si="4"/>
        <v>0</v>
      </c>
      <c r="H127" s="45"/>
    </row>
    <row r="128" spans="1:8" x14ac:dyDescent="0.2">
      <c r="E128" s="770">
        <f>SUM(E2:E127)</f>
        <v>11769811</v>
      </c>
    </row>
  </sheetData>
  <pageMargins left="0.11811023622047245" right="0.15748031496062992" top="0.47244094488188981" bottom="0.47244094488188981" header="0.15748031496062992" footer="0.19685039370078741"/>
  <pageSetup paperSize="9" scale="80" orientation="landscape" r:id="rId1"/>
  <headerFooter alignWithMargins="0">
    <oddHeader>&amp;C&amp;"Guttman Yad-Brush,רגיל"&amp;14תקנת תרבות ערבית - 42-02-33</oddHeader>
    <oddFooter>&amp;L&amp;D&amp;C&amp;P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A1:CQ45"/>
  <sheetViews>
    <sheetView rightToLeft="1" zoomScale="80" zoomScaleNormal="80" zoomScaleSheetLayoutView="100" workbookViewId="0">
      <pane ySplit="1" topLeftCell="A2" activePane="bottomLeft" state="frozen"/>
      <selection activeCell="F1" sqref="F1"/>
      <selection pane="bottomLeft" activeCell="B4" sqref="B4"/>
    </sheetView>
  </sheetViews>
  <sheetFormatPr defaultColWidth="0.7109375" defaultRowHeight="12.75" x14ac:dyDescent="0.2"/>
  <cols>
    <col min="1" max="1" width="26.85546875" style="41" customWidth="1"/>
    <col min="2" max="2" width="10.85546875" style="41" bestFit="1" customWidth="1"/>
    <col min="3" max="3" width="13.5703125" style="41" customWidth="1"/>
    <col min="4" max="4" width="12.28515625" style="41" customWidth="1"/>
    <col min="5" max="5" width="11.85546875" style="41" hidden="1" customWidth="1"/>
    <col min="6" max="6" width="13.140625" style="41" hidden="1" customWidth="1"/>
    <col min="7" max="9" width="13" style="117" hidden="1" customWidth="1"/>
    <col min="10" max="12" width="13" style="117" customWidth="1"/>
    <col min="13" max="13" width="32" style="115" customWidth="1"/>
    <col min="14" max="14" width="38" style="116" customWidth="1"/>
    <col min="15" max="17" width="12" style="115" customWidth="1"/>
    <col min="18" max="18" width="13" style="43" customWidth="1"/>
    <col min="19" max="19" width="28.85546875" style="43" customWidth="1"/>
    <col min="20" max="20" width="13" style="114" customWidth="1"/>
    <col min="21" max="80" width="0.7109375" style="42"/>
    <col min="81" max="16384" width="0.7109375" style="41"/>
  </cols>
  <sheetData>
    <row r="1" spans="1:95" s="99" customFormat="1" ht="41.2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</row>
    <row r="2" spans="1:95" s="94" customFormat="1" ht="30" customHeight="1" x14ac:dyDescent="0.2">
      <c r="A2" s="145" t="s">
        <v>376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3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</row>
    <row r="3" spans="1:95" s="62" customFormat="1" ht="41.25" customHeight="1" x14ac:dyDescent="0.2">
      <c r="A3" s="55" t="s">
        <v>375</v>
      </c>
      <c r="B3" s="50">
        <v>580039253</v>
      </c>
      <c r="C3" s="123">
        <v>1000593965</v>
      </c>
      <c r="D3" s="48">
        <v>40000386</v>
      </c>
      <c r="E3" s="46">
        <v>60000</v>
      </c>
      <c r="F3" s="46">
        <v>60000</v>
      </c>
      <c r="G3" s="46">
        <v>55000</v>
      </c>
      <c r="H3" s="46">
        <v>53630</v>
      </c>
      <c r="I3" s="46">
        <v>60534</v>
      </c>
      <c r="J3" s="46">
        <v>54723</v>
      </c>
      <c r="K3" s="46">
        <v>0</v>
      </c>
      <c r="L3" s="74">
        <f t="shared" ref="L3:L44" si="0">J3-K3</f>
        <v>54723</v>
      </c>
      <c r="M3" s="78" t="s">
        <v>374</v>
      </c>
    </row>
    <row r="4" spans="1:95" s="62" customFormat="1" ht="82.5" customHeight="1" x14ac:dyDescent="0.2">
      <c r="A4" s="51" t="s">
        <v>373</v>
      </c>
      <c r="B4" s="50">
        <v>580013860</v>
      </c>
      <c r="C4" s="123">
        <v>1000545439</v>
      </c>
      <c r="D4" s="96">
        <v>40000335</v>
      </c>
      <c r="E4" s="46">
        <v>428580</v>
      </c>
      <c r="F4" s="119">
        <v>650000</v>
      </c>
      <c r="G4" s="46">
        <v>650000</v>
      </c>
      <c r="H4" s="46">
        <v>650000</v>
      </c>
      <c r="I4" s="46">
        <v>615424</v>
      </c>
      <c r="J4" s="46">
        <v>524973</v>
      </c>
      <c r="K4" s="46">
        <v>413750</v>
      </c>
      <c r="L4" s="74">
        <f t="shared" si="0"/>
        <v>111223</v>
      </c>
      <c r="M4" s="142" t="s">
        <v>372</v>
      </c>
    </row>
    <row r="5" spans="1:95" s="62" customFormat="1" ht="35.25" customHeight="1" x14ac:dyDescent="0.2">
      <c r="A5" s="55" t="s">
        <v>371</v>
      </c>
      <c r="B5" s="50">
        <v>580067122</v>
      </c>
      <c r="C5" s="130">
        <v>1000593362</v>
      </c>
      <c r="D5" s="48">
        <v>40000122</v>
      </c>
      <c r="E5" s="46">
        <v>1846000</v>
      </c>
      <c r="F5" s="119">
        <v>1888565</v>
      </c>
      <c r="G5" s="46">
        <v>1836844</v>
      </c>
      <c r="H5" s="46">
        <v>1956555</v>
      </c>
      <c r="I5" s="46">
        <v>1437671</v>
      </c>
      <c r="J5" s="46">
        <v>1541374</v>
      </c>
      <c r="K5" s="46">
        <v>1541374</v>
      </c>
      <c r="L5" s="46">
        <f t="shared" si="0"/>
        <v>0</v>
      </c>
      <c r="M5" s="122"/>
    </row>
    <row r="6" spans="1:95" s="62" customFormat="1" ht="51.75" customHeight="1" x14ac:dyDescent="0.2">
      <c r="A6" s="55" t="s">
        <v>323</v>
      </c>
      <c r="B6" s="50">
        <v>580310878</v>
      </c>
      <c r="C6" s="123">
        <v>1000599201</v>
      </c>
      <c r="D6" s="48">
        <v>40000230</v>
      </c>
      <c r="E6" s="46">
        <v>860000</v>
      </c>
      <c r="F6" s="46">
        <v>900000</v>
      </c>
      <c r="G6" s="46">
        <v>875000</v>
      </c>
      <c r="H6" s="46">
        <v>900000</v>
      </c>
      <c r="I6" s="46">
        <v>916304</v>
      </c>
      <c r="J6" s="46">
        <v>900000</v>
      </c>
      <c r="K6" s="46">
        <v>900000</v>
      </c>
      <c r="L6" s="46">
        <f t="shared" si="0"/>
        <v>0</v>
      </c>
      <c r="M6" s="118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</row>
    <row r="7" spans="1:95" s="62" customFormat="1" ht="36" customHeight="1" x14ac:dyDescent="0.2">
      <c r="A7" s="136" t="s">
        <v>370</v>
      </c>
      <c r="B7" s="126">
        <v>580096865</v>
      </c>
      <c r="C7" s="141">
        <v>1000531204</v>
      </c>
      <c r="D7" s="126">
        <v>40215999</v>
      </c>
      <c r="E7" s="119">
        <v>178823</v>
      </c>
      <c r="F7" s="119">
        <v>145991</v>
      </c>
      <c r="G7" s="119">
        <v>185447</v>
      </c>
      <c r="H7" s="46">
        <v>190000</v>
      </c>
      <c r="I7" s="46">
        <v>218349</v>
      </c>
      <c r="J7" s="46">
        <v>280000</v>
      </c>
      <c r="K7" s="46">
        <v>280000</v>
      </c>
      <c r="L7" s="46">
        <f t="shared" si="0"/>
        <v>0</v>
      </c>
      <c r="M7" s="140"/>
    </row>
    <row r="8" spans="1:95" s="44" customFormat="1" ht="35.25" customHeight="1" x14ac:dyDescent="0.2">
      <c r="A8" s="55" t="s">
        <v>328</v>
      </c>
      <c r="B8" s="50">
        <v>510143423</v>
      </c>
      <c r="C8" s="123">
        <v>1000540931</v>
      </c>
      <c r="D8" s="48">
        <v>40000005</v>
      </c>
      <c r="E8" s="46">
        <v>500000</v>
      </c>
      <c r="F8" s="46">
        <v>500000</v>
      </c>
      <c r="G8" s="46">
        <v>500000</v>
      </c>
      <c r="H8" s="46">
        <v>550000</v>
      </c>
      <c r="I8" s="46">
        <v>554890</v>
      </c>
      <c r="J8" s="46">
        <v>489365</v>
      </c>
      <c r="K8" s="46">
        <v>489365</v>
      </c>
      <c r="L8" s="46">
        <f t="shared" si="0"/>
        <v>0</v>
      </c>
      <c r="M8" s="118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</row>
    <row r="9" spans="1:95" s="62" customFormat="1" ht="78" customHeight="1" x14ac:dyDescent="0.2">
      <c r="A9" s="55" t="s">
        <v>334</v>
      </c>
      <c r="B9" s="50">
        <v>511034688</v>
      </c>
      <c r="C9" s="130">
        <v>1000536159</v>
      </c>
      <c r="D9" s="48">
        <v>40000284</v>
      </c>
      <c r="E9" s="46">
        <v>1646578</v>
      </c>
      <c r="F9" s="119">
        <v>1702875</v>
      </c>
      <c r="G9" s="46">
        <v>1634418</v>
      </c>
      <c r="H9" s="46">
        <v>1807253</v>
      </c>
      <c r="I9" s="46">
        <v>1723210</v>
      </c>
      <c r="J9" s="46">
        <v>1528512</v>
      </c>
      <c r="K9" s="46">
        <v>1528512</v>
      </c>
      <c r="L9" s="46">
        <f t="shared" si="0"/>
        <v>0</v>
      </c>
      <c r="M9" s="92"/>
    </row>
    <row r="10" spans="1:95" s="62" customFormat="1" ht="36.75" customHeight="1" x14ac:dyDescent="0.2">
      <c r="A10" s="55" t="s">
        <v>369</v>
      </c>
      <c r="B10" s="50">
        <v>580004729</v>
      </c>
      <c r="C10" s="130">
        <v>1000534038</v>
      </c>
      <c r="D10" s="48">
        <v>40000319</v>
      </c>
      <c r="E10" s="46">
        <v>240078</v>
      </c>
      <c r="F10" s="119">
        <v>298675</v>
      </c>
      <c r="G10" s="46">
        <v>332952</v>
      </c>
      <c r="H10" s="46">
        <v>336274</v>
      </c>
      <c r="I10" s="46">
        <v>374000</v>
      </c>
      <c r="J10" s="46">
        <v>389757</v>
      </c>
      <c r="K10" s="46">
        <v>389757</v>
      </c>
      <c r="L10" s="46">
        <f t="shared" si="0"/>
        <v>0</v>
      </c>
      <c r="M10" s="118"/>
    </row>
    <row r="11" spans="1:95" s="62" customFormat="1" ht="60" customHeight="1" x14ac:dyDescent="0.2">
      <c r="A11" s="55" t="s">
        <v>339</v>
      </c>
      <c r="B11" s="50">
        <v>510525934</v>
      </c>
      <c r="C11" s="123">
        <v>1000594921</v>
      </c>
      <c r="D11" s="48">
        <v>40000013</v>
      </c>
      <c r="E11" s="46">
        <v>1412788</v>
      </c>
      <c r="F11" s="46">
        <v>1498000</v>
      </c>
      <c r="G11" s="46">
        <v>1500000</v>
      </c>
      <c r="H11" s="46">
        <v>1420000</v>
      </c>
      <c r="I11" s="46">
        <v>1432626</v>
      </c>
      <c r="J11" s="46">
        <v>1517375</v>
      </c>
      <c r="K11" s="46">
        <v>1517375</v>
      </c>
      <c r="L11" s="46">
        <f t="shared" si="0"/>
        <v>0</v>
      </c>
      <c r="M11" s="137"/>
    </row>
    <row r="12" spans="1:95" s="44" customFormat="1" ht="39.950000000000003" customHeight="1" x14ac:dyDescent="0.2">
      <c r="A12" s="139" t="s">
        <v>368</v>
      </c>
      <c r="B12" s="50">
        <v>580005569</v>
      </c>
      <c r="C12" s="123">
        <v>1000596456</v>
      </c>
      <c r="D12" s="48">
        <v>40000320</v>
      </c>
      <c r="E12" s="46">
        <v>220000</v>
      </c>
      <c r="F12" s="46">
        <v>426000</v>
      </c>
      <c r="G12" s="46">
        <v>307820</v>
      </c>
      <c r="H12" s="46">
        <v>280000</v>
      </c>
      <c r="I12" s="46">
        <v>257267</v>
      </c>
      <c r="J12" s="46">
        <v>207780</v>
      </c>
      <c r="K12" s="46">
        <v>207780</v>
      </c>
      <c r="L12" s="46">
        <f t="shared" si="0"/>
        <v>0</v>
      </c>
      <c r="M12" s="79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7"/>
      <c r="CC12" s="97"/>
      <c r="CD12" s="97"/>
      <c r="CE12" s="97"/>
      <c r="CF12" s="97"/>
      <c r="CG12" s="97"/>
      <c r="CH12" s="97"/>
      <c r="CI12" s="97"/>
      <c r="CJ12" s="97"/>
      <c r="CK12" s="97"/>
      <c r="CL12" s="97"/>
      <c r="CM12" s="97"/>
      <c r="CN12" s="97"/>
    </row>
    <row r="13" spans="1:95" s="62" customFormat="1" ht="43.5" customHeight="1" x14ac:dyDescent="0.2">
      <c r="A13" s="55" t="s">
        <v>331</v>
      </c>
      <c r="B13" s="50">
        <v>580028736</v>
      </c>
      <c r="C13" s="123">
        <v>1000593350</v>
      </c>
      <c r="D13" s="48">
        <v>40000082</v>
      </c>
      <c r="E13" s="46">
        <v>1380000</v>
      </c>
      <c r="F13" s="119">
        <v>1400000</v>
      </c>
      <c r="G13" s="119">
        <v>1400000</v>
      </c>
      <c r="H13" s="46">
        <v>1400000</v>
      </c>
      <c r="I13" s="46">
        <v>1412448</v>
      </c>
      <c r="J13" s="46">
        <v>1593893</v>
      </c>
      <c r="K13" s="46">
        <v>1593893</v>
      </c>
      <c r="L13" s="46">
        <f t="shared" si="0"/>
        <v>0</v>
      </c>
      <c r="M13" s="138"/>
    </row>
    <row r="14" spans="1:95" s="62" customFormat="1" ht="58.5" customHeight="1" x14ac:dyDescent="0.2">
      <c r="A14" s="55" t="s">
        <v>367</v>
      </c>
      <c r="B14" s="50">
        <v>580009306</v>
      </c>
      <c r="C14" s="123">
        <v>1000536681</v>
      </c>
      <c r="D14" s="48">
        <v>40000057</v>
      </c>
      <c r="E14" s="46">
        <v>150000</v>
      </c>
      <c r="F14" s="119">
        <v>150000</v>
      </c>
      <c r="G14" s="46">
        <v>150000</v>
      </c>
      <c r="H14" s="46">
        <v>150000</v>
      </c>
      <c r="I14" s="46">
        <v>151334</v>
      </c>
      <c r="J14" s="46">
        <v>138297</v>
      </c>
      <c r="K14" s="46">
        <v>138297</v>
      </c>
      <c r="L14" s="46">
        <f t="shared" si="0"/>
        <v>0</v>
      </c>
      <c r="M14" s="137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</row>
    <row r="15" spans="1:95" s="62" customFormat="1" ht="33.75" customHeight="1" x14ac:dyDescent="0.2">
      <c r="A15" s="51" t="s">
        <v>366</v>
      </c>
      <c r="B15" s="50">
        <v>580188746</v>
      </c>
      <c r="C15" s="123">
        <v>1000546442</v>
      </c>
      <c r="D15" s="48">
        <v>40000543</v>
      </c>
      <c r="E15" s="119">
        <v>140000</v>
      </c>
      <c r="F15" s="119">
        <v>160000</v>
      </c>
      <c r="G15" s="46">
        <v>210000</v>
      </c>
      <c r="H15" s="46">
        <v>270000</v>
      </c>
      <c r="I15" s="46">
        <v>234167</v>
      </c>
      <c r="J15" s="46">
        <v>230000</v>
      </c>
      <c r="K15" s="46">
        <v>230000</v>
      </c>
      <c r="L15" s="46">
        <f t="shared" si="0"/>
        <v>0</v>
      </c>
      <c r="M15" s="118"/>
    </row>
    <row r="16" spans="1:95" s="44" customFormat="1" ht="41.25" customHeight="1" x14ac:dyDescent="0.2">
      <c r="A16" s="55" t="s">
        <v>285</v>
      </c>
      <c r="B16" s="50">
        <v>511021156</v>
      </c>
      <c r="C16" s="49">
        <v>1000545288</v>
      </c>
      <c r="D16" s="48">
        <v>40016649</v>
      </c>
      <c r="E16" s="46"/>
      <c r="F16" s="46"/>
      <c r="G16" s="46"/>
      <c r="H16" s="46"/>
      <c r="I16" s="46">
        <v>0</v>
      </c>
      <c r="J16" s="46">
        <v>66958</v>
      </c>
      <c r="K16" s="47">
        <v>66958</v>
      </c>
      <c r="L16" s="46">
        <f t="shared" si="0"/>
        <v>0</v>
      </c>
      <c r="M16" s="122"/>
    </row>
    <row r="17" spans="1:94" s="44" customFormat="1" ht="41.25" customHeight="1" x14ac:dyDescent="0.2">
      <c r="A17" s="55" t="s">
        <v>284</v>
      </c>
      <c r="B17" s="50">
        <v>580125367</v>
      </c>
      <c r="C17" s="49">
        <v>1000539259</v>
      </c>
      <c r="D17" s="48">
        <v>40000487</v>
      </c>
      <c r="E17" s="46"/>
      <c r="F17" s="46"/>
      <c r="G17" s="46"/>
      <c r="H17" s="46"/>
      <c r="I17" s="46">
        <v>0</v>
      </c>
      <c r="J17" s="46">
        <v>34432</v>
      </c>
      <c r="K17" s="47">
        <v>34432</v>
      </c>
      <c r="L17" s="46">
        <f t="shared" si="0"/>
        <v>0</v>
      </c>
      <c r="M17" s="122"/>
    </row>
    <row r="18" spans="1:94" s="62" customFormat="1" ht="48.75" customHeight="1" x14ac:dyDescent="0.2">
      <c r="A18" s="136" t="s">
        <v>365</v>
      </c>
      <c r="B18" s="126">
        <v>580035236</v>
      </c>
      <c r="C18" s="130">
        <v>1000544448</v>
      </c>
      <c r="D18" s="132">
        <v>40015651</v>
      </c>
      <c r="E18" s="119">
        <v>119416</v>
      </c>
      <c r="F18" s="119">
        <v>103604</v>
      </c>
      <c r="G18" s="119">
        <v>92811</v>
      </c>
      <c r="H18" s="119">
        <v>103321</v>
      </c>
      <c r="I18" s="46">
        <v>93903</v>
      </c>
      <c r="J18" s="46">
        <v>77483</v>
      </c>
      <c r="K18" s="46">
        <v>77483</v>
      </c>
      <c r="L18" s="46">
        <f t="shared" si="0"/>
        <v>0</v>
      </c>
      <c r="M18" s="135"/>
    </row>
    <row r="19" spans="1:94" s="62" customFormat="1" ht="38.25" customHeight="1" x14ac:dyDescent="0.2">
      <c r="A19" s="51" t="s">
        <v>364</v>
      </c>
      <c r="B19" s="50">
        <v>580416485</v>
      </c>
      <c r="C19" s="123">
        <v>1000599714</v>
      </c>
      <c r="D19" s="48">
        <v>40216112</v>
      </c>
      <c r="E19" s="46">
        <v>120000</v>
      </c>
      <c r="F19" s="119">
        <v>117000</v>
      </c>
      <c r="G19" s="46">
        <v>119000</v>
      </c>
      <c r="H19" s="46">
        <v>115077</v>
      </c>
      <c r="I19" s="46">
        <v>120000</v>
      </c>
      <c r="J19" s="46">
        <v>120000</v>
      </c>
      <c r="K19" s="46">
        <v>120000</v>
      </c>
      <c r="L19" s="46">
        <f t="shared" si="0"/>
        <v>0</v>
      </c>
      <c r="M19" s="118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</row>
    <row r="20" spans="1:94" s="62" customFormat="1" ht="36" customHeight="1" x14ac:dyDescent="0.2">
      <c r="A20" s="134" t="s">
        <v>363</v>
      </c>
      <c r="B20" s="126">
        <v>580356210</v>
      </c>
      <c r="C20" s="133">
        <v>1000598514</v>
      </c>
      <c r="D20" s="132">
        <v>40216073</v>
      </c>
      <c r="E20" s="119">
        <v>130000</v>
      </c>
      <c r="F20" s="119">
        <v>160000</v>
      </c>
      <c r="G20" s="119">
        <v>160000</v>
      </c>
      <c r="H20" s="46">
        <v>160000</v>
      </c>
      <c r="I20" s="46">
        <v>160000</v>
      </c>
      <c r="J20" s="46">
        <v>168000</v>
      </c>
      <c r="K20" s="46">
        <v>168000</v>
      </c>
      <c r="L20" s="46">
        <f t="shared" si="0"/>
        <v>0</v>
      </c>
      <c r="M20" s="131"/>
    </row>
    <row r="21" spans="1:94" s="44" customFormat="1" ht="45" customHeight="1" x14ac:dyDescent="0.2">
      <c r="A21" s="55" t="s">
        <v>362</v>
      </c>
      <c r="B21" s="50">
        <v>580046860</v>
      </c>
      <c r="C21" s="130">
        <v>1000541087</v>
      </c>
      <c r="D21" s="48">
        <v>40000397</v>
      </c>
      <c r="E21" s="46">
        <v>109730</v>
      </c>
      <c r="F21" s="46">
        <v>100000</v>
      </c>
      <c r="G21" s="46">
        <v>100000</v>
      </c>
      <c r="H21" s="46">
        <v>130000</v>
      </c>
      <c r="I21" s="46">
        <v>128214</v>
      </c>
      <c r="J21" s="46">
        <v>130000</v>
      </c>
      <c r="K21" s="46">
        <v>130000</v>
      </c>
      <c r="L21" s="46">
        <f t="shared" si="0"/>
        <v>0</v>
      </c>
      <c r="M21" s="122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7"/>
      <c r="CC21" s="97"/>
      <c r="CD21" s="97"/>
      <c r="CE21" s="97"/>
      <c r="CF21" s="97"/>
      <c r="CG21" s="97"/>
      <c r="CH21" s="97"/>
      <c r="CI21" s="97"/>
      <c r="CJ21" s="97"/>
      <c r="CK21" s="97"/>
      <c r="CL21" s="97"/>
      <c r="CM21" s="97"/>
      <c r="CN21" s="97"/>
      <c r="CO21" s="97"/>
      <c r="CP21" s="97"/>
    </row>
    <row r="22" spans="1:94" s="62" customFormat="1" ht="39" customHeight="1" x14ac:dyDescent="0.2">
      <c r="A22" s="55" t="s">
        <v>361</v>
      </c>
      <c r="B22" s="50">
        <v>580210839</v>
      </c>
      <c r="C22" s="130">
        <v>1000544340</v>
      </c>
      <c r="D22" s="48">
        <v>40000181</v>
      </c>
      <c r="E22" s="46">
        <v>283267</v>
      </c>
      <c r="F22" s="119">
        <v>271545</v>
      </c>
      <c r="G22" s="46">
        <v>318417</v>
      </c>
      <c r="H22" s="46">
        <v>240000</v>
      </c>
      <c r="I22" s="46">
        <v>240000</v>
      </c>
      <c r="J22" s="46">
        <v>214605</v>
      </c>
      <c r="K22" s="46">
        <v>214605</v>
      </c>
      <c r="L22" s="46">
        <f t="shared" si="0"/>
        <v>0</v>
      </c>
      <c r="M22" s="118"/>
    </row>
    <row r="23" spans="1:94" s="44" customFormat="1" ht="66" customHeight="1" x14ac:dyDescent="0.2">
      <c r="A23" s="55" t="s">
        <v>360</v>
      </c>
      <c r="B23" s="50">
        <v>580108660</v>
      </c>
      <c r="C23" s="49">
        <v>1000551973</v>
      </c>
      <c r="D23" s="48">
        <v>40009103</v>
      </c>
      <c r="E23" s="46">
        <v>0</v>
      </c>
      <c r="F23" s="46">
        <v>0</v>
      </c>
      <c r="G23" s="46">
        <v>0</v>
      </c>
      <c r="H23" s="46">
        <v>0</v>
      </c>
      <c r="I23" s="46">
        <v>72324</v>
      </c>
      <c r="J23" s="46">
        <v>128259</v>
      </c>
      <c r="K23" s="47">
        <v>128259</v>
      </c>
      <c r="L23" s="46">
        <f t="shared" si="0"/>
        <v>0</v>
      </c>
      <c r="M23" s="129"/>
    </row>
    <row r="24" spans="1:94" s="62" customFormat="1" ht="39" customHeight="1" x14ac:dyDescent="0.2">
      <c r="A24" s="51" t="s">
        <v>295</v>
      </c>
      <c r="B24" s="105">
        <v>580067338</v>
      </c>
      <c r="C24" s="49">
        <v>1000595421</v>
      </c>
      <c r="D24" s="48">
        <v>40002836</v>
      </c>
      <c r="E24" s="119">
        <v>10000</v>
      </c>
      <c r="F24" s="119">
        <v>20000</v>
      </c>
      <c r="G24" s="46">
        <v>20000</v>
      </c>
      <c r="H24" s="46">
        <v>20000</v>
      </c>
      <c r="I24" s="46">
        <v>20178</v>
      </c>
      <c r="J24" s="46">
        <v>18316</v>
      </c>
      <c r="K24" s="50">
        <v>18316</v>
      </c>
      <c r="L24" s="46">
        <f t="shared" si="0"/>
        <v>0</v>
      </c>
      <c r="M24" s="128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</row>
    <row r="25" spans="1:94" s="44" customFormat="1" ht="44.25" customHeight="1" x14ac:dyDescent="0.2">
      <c r="A25" s="55" t="s">
        <v>359</v>
      </c>
      <c r="B25" s="50">
        <v>510490451</v>
      </c>
      <c r="C25" s="123">
        <v>10000596834</v>
      </c>
      <c r="D25" s="48">
        <v>40000009</v>
      </c>
      <c r="E25" s="46">
        <v>150000</v>
      </c>
      <c r="F25" s="46">
        <v>150000</v>
      </c>
      <c r="G25" s="46">
        <v>200000</v>
      </c>
      <c r="H25" s="46">
        <v>200000</v>
      </c>
      <c r="I25" s="46">
        <v>201778</v>
      </c>
      <c r="J25" s="46">
        <v>391785</v>
      </c>
      <c r="K25" s="47">
        <v>391785</v>
      </c>
      <c r="L25" s="46">
        <f t="shared" si="0"/>
        <v>0</v>
      </c>
      <c r="M25" s="12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97"/>
      <c r="CE25" s="97"/>
      <c r="CF25" s="97"/>
      <c r="CG25" s="97"/>
      <c r="CH25" s="97"/>
      <c r="CI25" s="97"/>
      <c r="CJ25" s="97"/>
      <c r="CK25" s="97"/>
      <c r="CL25" s="97"/>
      <c r="CM25" s="97"/>
      <c r="CN25" s="97"/>
      <c r="CO25" s="97"/>
      <c r="CP25" s="97"/>
    </row>
    <row r="26" spans="1:94" s="44" customFormat="1" ht="36" customHeight="1" x14ac:dyDescent="0.2">
      <c r="A26" s="55" t="s">
        <v>358</v>
      </c>
      <c r="B26" s="126">
        <v>580346898</v>
      </c>
      <c r="C26" s="123">
        <v>1000602537</v>
      </c>
      <c r="D26" s="48">
        <v>40001702</v>
      </c>
      <c r="E26" s="46">
        <v>36430</v>
      </c>
      <c r="F26" s="119">
        <v>134000</v>
      </c>
      <c r="G26" s="119">
        <v>142000</v>
      </c>
      <c r="H26" s="46">
        <v>140000</v>
      </c>
      <c r="I26" s="46">
        <v>140000</v>
      </c>
      <c r="J26" s="46">
        <v>215250</v>
      </c>
      <c r="K26" s="46">
        <v>215250</v>
      </c>
      <c r="L26" s="46">
        <f t="shared" si="0"/>
        <v>0</v>
      </c>
      <c r="M26" s="125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97"/>
      <c r="CJ26" s="97"/>
      <c r="CK26" s="97"/>
      <c r="CL26" s="97"/>
      <c r="CM26" s="97"/>
      <c r="CN26" s="97"/>
      <c r="CO26" s="97"/>
      <c r="CP26" s="97"/>
    </row>
    <row r="27" spans="1:94" s="44" customFormat="1" ht="27.75" customHeight="1" x14ac:dyDescent="0.2">
      <c r="A27" s="55" t="s">
        <v>357</v>
      </c>
      <c r="B27" s="50">
        <v>580063568</v>
      </c>
      <c r="C27" s="49">
        <v>1000602838</v>
      </c>
      <c r="D27" s="48">
        <v>40818068</v>
      </c>
      <c r="E27" s="46"/>
      <c r="F27" s="46"/>
      <c r="G27" s="46"/>
      <c r="H27" s="46">
        <v>0</v>
      </c>
      <c r="I27" s="46">
        <v>22700</v>
      </c>
      <c r="J27" s="46">
        <v>26250</v>
      </c>
      <c r="K27" s="50">
        <v>26250</v>
      </c>
      <c r="L27" s="46">
        <f t="shared" si="0"/>
        <v>0</v>
      </c>
      <c r="M27" s="118"/>
    </row>
    <row r="28" spans="1:94" s="44" customFormat="1" ht="33.75" customHeight="1" x14ac:dyDescent="0.2">
      <c r="A28" s="55" t="s">
        <v>356</v>
      </c>
      <c r="B28" s="50">
        <v>580133015</v>
      </c>
      <c r="C28" s="49">
        <v>1000600328</v>
      </c>
      <c r="D28" s="48">
        <v>40000493</v>
      </c>
      <c r="E28" s="46">
        <v>50000</v>
      </c>
      <c r="F28" s="119">
        <v>50000</v>
      </c>
      <c r="G28" s="119">
        <v>50000</v>
      </c>
      <c r="H28" s="46">
        <v>50000</v>
      </c>
      <c r="I28" s="46">
        <v>50906</v>
      </c>
      <c r="J28" s="46">
        <v>50000</v>
      </c>
      <c r="K28" s="47">
        <v>50000</v>
      </c>
      <c r="L28" s="46">
        <f t="shared" si="0"/>
        <v>0</v>
      </c>
      <c r="M28" s="75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97"/>
      <c r="CE28" s="97"/>
      <c r="CF28" s="97"/>
      <c r="CG28" s="97"/>
      <c r="CH28" s="97"/>
      <c r="CI28" s="97"/>
      <c r="CJ28" s="97"/>
      <c r="CK28" s="97"/>
      <c r="CL28" s="97"/>
      <c r="CM28" s="97"/>
      <c r="CN28" s="97"/>
      <c r="CO28" s="97"/>
      <c r="CP28" s="97"/>
    </row>
    <row r="29" spans="1:94" s="62" customFormat="1" ht="39.950000000000003" customHeight="1" x14ac:dyDescent="0.2">
      <c r="A29" s="55" t="s">
        <v>355</v>
      </c>
      <c r="B29" s="50">
        <v>510673577</v>
      </c>
      <c r="C29" s="123">
        <v>1000601532</v>
      </c>
      <c r="D29" s="48">
        <v>40000272</v>
      </c>
      <c r="E29" s="119">
        <v>65000</v>
      </c>
      <c r="F29" s="119">
        <v>80000</v>
      </c>
      <c r="G29" s="46">
        <v>80000</v>
      </c>
      <c r="H29" s="46">
        <v>80000</v>
      </c>
      <c r="I29" s="46">
        <v>81449</v>
      </c>
      <c r="J29" s="46">
        <v>80000</v>
      </c>
      <c r="K29" s="46">
        <v>80000</v>
      </c>
      <c r="L29" s="46">
        <f t="shared" si="0"/>
        <v>0</v>
      </c>
      <c r="M29" s="88"/>
    </row>
    <row r="30" spans="1:94" s="62" customFormat="1" ht="25.5" x14ac:dyDescent="0.2">
      <c r="A30" s="55" t="s">
        <v>281</v>
      </c>
      <c r="B30" s="50">
        <v>513898247</v>
      </c>
      <c r="C30" s="49">
        <v>1000596930</v>
      </c>
      <c r="D30" s="48">
        <v>40384720</v>
      </c>
      <c r="E30" s="46">
        <v>0</v>
      </c>
      <c r="F30" s="119">
        <v>30000</v>
      </c>
      <c r="G30" s="46">
        <v>30000</v>
      </c>
      <c r="H30" s="46">
        <v>30000</v>
      </c>
      <c r="I30" s="46">
        <v>30267</v>
      </c>
      <c r="J30" s="124">
        <v>24297</v>
      </c>
      <c r="K30" s="124">
        <v>24297</v>
      </c>
      <c r="L30" s="46">
        <f t="shared" si="0"/>
        <v>0</v>
      </c>
      <c r="M30" s="118"/>
    </row>
    <row r="31" spans="1:94" s="62" customFormat="1" ht="39.950000000000003" customHeight="1" x14ac:dyDescent="0.2">
      <c r="A31" s="55" t="s">
        <v>354</v>
      </c>
      <c r="B31" s="50">
        <v>580379428</v>
      </c>
      <c r="C31" s="123">
        <v>1000600776</v>
      </c>
      <c r="D31" s="48">
        <v>40216093</v>
      </c>
      <c r="E31" s="46">
        <v>10000</v>
      </c>
      <c r="F31" s="119">
        <v>0</v>
      </c>
      <c r="G31" s="119">
        <v>30000</v>
      </c>
      <c r="H31" s="46">
        <v>120000</v>
      </c>
      <c r="I31" s="46">
        <v>120000</v>
      </c>
      <c r="J31" s="46">
        <v>168000</v>
      </c>
      <c r="K31" s="46">
        <v>168000</v>
      </c>
      <c r="L31" s="46">
        <f t="shared" si="0"/>
        <v>0</v>
      </c>
      <c r="M31" s="55"/>
    </row>
    <row r="32" spans="1:94" s="62" customFormat="1" ht="35.25" customHeight="1" x14ac:dyDescent="0.2">
      <c r="A32" s="55" t="s">
        <v>353</v>
      </c>
      <c r="B32" s="50">
        <v>580038784</v>
      </c>
      <c r="C32" s="123">
        <v>1000595995</v>
      </c>
      <c r="D32" s="48">
        <v>40000098</v>
      </c>
      <c r="E32" s="119">
        <v>1875000</v>
      </c>
      <c r="F32" s="119">
        <v>2015000</v>
      </c>
      <c r="G32" s="119">
        <v>1823935</v>
      </c>
      <c r="H32" s="46">
        <v>1923495</v>
      </c>
      <c r="I32" s="46">
        <v>1452804</v>
      </c>
      <c r="J32" s="46">
        <v>1391197</v>
      </c>
      <c r="K32" s="46">
        <v>1391197</v>
      </c>
      <c r="L32" s="46">
        <f t="shared" si="0"/>
        <v>0</v>
      </c>
      <c r="M32" s="118"/>
    </row>
    <row r="33" spans="1:93" s="62" customFormat="1" ht="37.5" customHeight="1" x14ac:dyDescent="0.2">
      <c r="A33" s="55" t="s">
        <v>352</v>
      </c>
      <c r="B33" s="50">
        <v>580118420</v>
      </c>
      <c r="C33" s="123">
        <v>1000602506</v>
      </c>
      <c r="D33" s="48">
        <v>40000481</v>
      </c>
      <c r="E33" s="46">
        <v>299999</v>
      </c>
      <c r="F33" s="119">
        <v>330000</v>
      </c>
      <c r="G33" s="46">
        <v>360000</v>
      </c>
      <c r="H33" s="46">
        <v>391520</v>
      </c>
      <c r="I33" s="46">
        <v>400000</v>
      </c>
      <c r="J33" s="46">
        <v>420000</v>
      </c>
      <c r="K33" s="46">
        <v>420000</v>
      </c>
      <c r="L33" s="46">
        <f t="shared" si="0"/>
        <v>0</v>
      </c>
      <c r="M33" s="118"/>
    </row>
    <row r="34" spans="1:93" s="62" customFormat="1" ht="42.75" customHeight="1" x14ac:dyDescent="0.2">
      <c r="A34" s="51" t="s">
        <v>351</v>
      </c>
      <c r="B34" s="105">
        <v>580002780</v>
      </c>
      <c r="C34" s="49">
        <v>1000595566</v>
      </c>
      <c r="D34" s="48">
        <v>40000049</v>
      </c>
      <c r="E34" s="46">
        <v>40000</v>
      </c>
      <c r="F34" s="46">
        <v>50000</v>
      </c>
      <c r="G34" s="46">
        <v>50000</v>
      </c>
      <c r="H34" s="46">
        <v>50000</v>
      </c>
      <c r="I34" s="46">
        <v>50445</v>
      </c>
      <c r="J34" s="46">
        <v>26250</v>
      </c>
      <c r="K34" s="47">
        <v>26250</v>
      </c>
      <c r="L34" s="46">
        <f t="shared" si="0"/>
        <v>0</v>
      </c>
      <c r="M34" s="88"/>
    </row>
    <row r="35" spans="1:93" s="44" customFormat="1" ht="51.75" customHeight="1" x14ac:dyDescent="0.2">
      <c r="A35" s="55" t="s">
        <v>350</v>
      </c>
      <c r="B35" s="50">
        <v>580046134</v>
      </c>
      <c r="C35" s="49">
        <v>1000594327</v>
      </c>
      <c r="D35" s="48">
        <v>40000107</v>
      </c>
      <c r="E35" s="46">
        <v>70000</v>
      </c>
      <c r="F35" s="46">
        <v>100000</v>
      </c>
      <c r="G35" s="46">
        <v>100000</v>
      </c>
      <c r="H35" s="46">
        <v>100000</v>
      </c>
      <c r="I35" s="46">
        <v>100889</v>
      </c>
      <c r="J35" s="46">
        <v>91576</v>
      </c>
      <c r="K35" s="47">
        <v>91576</v>
      </c>
      <c r="L35" s="46">
        <f t="shared" si="0"/>
        <v>0</v>
      </c>
      <c r="M35" s="75"/>
    </row>
    <row r="36" spans="1:93" s="44" customFormat="1" ht="40.5" customHeight="1" x14ac:dyDescent="0.2">
      <c r="A36" s="72" t="s">
        <v>349</v>
      </c>
      <c r="B36" s="53">
        <v>510673577</v>
      </c>
      <c r="C36" s="49">
        <v>1000602508</v>
      </c>
      <c r="D36" s="48">
        <v>40000272</v>
      </c>
      <c r="E36" s="46">
        <v>50000</v>
      </c>
      <c r="F36" s="46">
        <v>60000</v>
      </c>
      <c r="G36" s="46">
        <v>60000</v>
      </c>
      <c r="H36" s="46">
        <v>60000</v>
      </c>
      <c r="I36" s="46">
        <v>61087</v>
      </c>
      <c r="J36" s="46">
        <v>60000</v>
      </c>
      <c r="K36" s="47">
        <v>60000</v>
      </c>
      <c r="L36" s="46">
        <f t="shared" si="0"/>
        <v>0</v>
      </c>
      <c r="M36" s="88"/>
    </row>
    <row r="37" spans="1:93" s="44" customFormat="1" ht="43.5" customHeight="1" x14ac:dyDescent="0.2">
      <c r="A37" s="55" t="s">
        <v>348</v>
      </c>
      <c r="B37" s="50">
        <v>510673577</v>
      </c>
      <c r="C37" s="49">
        <v>1000602533</v>
      </c>
      <c r="D37" s="48">
        <v>40000272</v>
      </c>
      <c r="E37" s="46">
        <v>20000</v>
      </c>
      <c r="F37" s="46">
        <v>20000</v>
      </c>
      <c r="G37" s="46">
        <v>20000</v>
      </c>
      <c r="H37" s="46">
        <v>20000</v>
      </c>
      <c r="I37" s="119">
        <v>20362</v>
      </c>
      <c r="J37" s="46">
        <v>20000</v>
      </c>
      <c r="K37" s="47">
        <v>20000</v>
      </c>
      <c r="L37" s="46">
        <f t="shared" si="0"/>
        <v>0</v>
      </c>
      <c r="M37" s="88"/>
    </row>
    <row r="38" spans="1:93" s="44" customFormat="1" ht="25.5" x14ac:dyDescent="0.2">
      <c r="A38" s="55" t="s">
        <v>347</v>
      </c>
      <c r="B38" s="50">
        <v>580046860</v>
      </c>
      <c r="C38" s="49">
        <v>1000541100</v>
      </c>
      <c r="D38" s="48">
        <v>40000397</v>
      </c>
      <c r="E38" s="46">
        <v>170000</v>
      </c>
      <c r="F38" s="46">
        <v>170000</v>
      </c>
      <c r="G38" s="46">
        <v>135531</v>
      </c>
      <c r="H38" s="46">
        <v>170000</v>
      </c>
      <c r="I38" s="46">
        <v>190000</v>
      </c>
      <c r="J38" s="46">
        <v>190000</v>
      </c>
      <c r="K38" s="47">
        <v>190000</v>
      </c>
      <c r="L38" s="46">
        <f t="shared" si="0"/>
        <v>0</v>
      </c>
      <c r="M38" s="122"/>
    </row>
    <row r="39" spans="1:93" s="62" customFormat="1" ht="25.5" x14ac:dyDescent="0.2">
      <c r="A39" s="70" t="s">
        <v>346</v>
      </c>
      <c r="B39" s="53">
        <v>580331833</v>
      </c>
      <c r="C39" s="49">
        <v>1000540580</v>
      </c>
      <c r="D39" s="48">
        <v>40190321</v>
      </c>
      <c r="E39" s="46">
        <v>58333</v>
      </c>
      <c r="F39" s="46">
        <v>70000</v>
      </c>
      <c r="G39" s="46">
        <v>70000</v>
      </c>
      <c r="H39" s="46">
        <v>70000</v>
      </c>
      <c r="I39" s="46">
        <v>70622</v>
      </c>
      <c r="J39" s="46">
        <v>64538</v>
      </c>
      <c r="K39" s="47">
        <v>64538</v>
      </c>
      <c r="L39" s="46">
        <f t="shared" si="0"/>
        <v>0</v>
      </c>
      <c r="M39" s="79"/>
    </row>
    <row r="40" spans="1:93" s="62" customFormat="1" ht="45" customHeight="1" x14ac:dyDescent="0.2">
      <c r="A40" s="55" t="s">
        <v>345</v>
      </c>
      <c r="B40" s="96">
        <v>580399376</v>
      </c>
      <c r="C40" s="49">
        <v>1000602505</v>
      </c>
      <c r="D40" s="48">
        <v>40221566</v>
      </c>
      <c r="E40" s="46">
        <v>0</v>
      </c>
      <c r="F40" s="46">
        <v>0</v>
      </c>
      <c r="G40" s="46">
        <v>30000</v>
      </c>
      <c r="H40" s="46">
        <v>39890</v>
      </c>
      <c r="I40" s="46">
        <v>40725</v>
      </c>
      <c r="J40" s="46">
        <v>40000</v>
      </c>
      <c r="K40" s="47">
        <v>40000</v>
      </c>
      <c r="L40" s="46">
        <f t="shared" si="0"/>
        <v>0</v>
      </c>
      <c r="M40" s="118"/>
    </row>
    <row r="41" spans="1:93" s="62" customFormat="1" ht="38.25" customHeight="1" x14ac:dyDescent="0.2">
      <c r="A41" s="51" t="s">
        <v>291</v>
      </c>
      <c r="B41" s="105">
        <v>580013167</v>
      </c>
      <c r="C41" s="49">
        <v>1000594883</v>
      </c>
      <c r="D41" s="48">
        <v>40000062</v>
      </c>
      <c r="E41" s="46">
        <v>0</v>
      </c>
      <c r="F41" s="46">
        <v>50000</v>
      </c>
      <c r="G41" s="46">
        <v>50000</v>
      </c>
      <c r="H41" s="46">
        <v>50000</v>
      </c>
      <c r="I41" s="46">
        <v>50544</v>
      </c>
      <c r="J41" s="46">
        <v>45788</v>
      </c>
      <c r="K41" s="47">
        <v>45788</v>
      </c>
      <c r="L41" s="46">
        <f t="shared" si="0"/>
        <v>0</v>
      </c>
      <c r="M41" s="71"/>
      <c r="N41" s="44"/>
      <c r="O41" s="44"/>
      <c r="P41" s="44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</row>
    <row r="42" spans="1:93" s="44" customFormat="1" ht="51.75" customHeight="1" x14ac:dyDescent="0.2">
      <c r="A42" s="55" t="s">
        <v>290</v>
      </c>
      <c r="B42" s="50">
        <v>580283281</v>
      </c>
      <c r="C42" s="49">
        <v>1000598833</v>
      </c>
      <c r="D42" s="48">
        <v>40000650</v>
      </c>
      <c r="E42" s="46">
        <v>0</v>
      </c>
      <c r="F42" s="46">
        <v>160000</v>
      </c>
      <c r="G42" s="119">
        <v>160000</v>
      </c>
      <c r="H42" s="46">
        <v>156054</v>
      </c>
      <c r="I42" s="46">
        <v>132300</v>
      </c>
      <c r="J42" s="46">
        <v>160000</v>
      </c>
      <c r="K42" s="47">
        <v>160000</v>
      </c>
      <c r="L42" s="46">
        <f t="shared" si="0"/>
        <v>0</v>
      </c>
      <c r="M42" s="120"/>
    </row>
    <row r="43" spans="1:93" s="44" customFormat="1" ht="30" customHeight="1" x14ac:dyDescent="0.2">
      <c r="A43" s="55" t="s">
        <v>344</v>
      </c>
      <c r="B43" s="50">
        <v>580034270</v>
      </c>
      <c r="C43" s="49">
        <v>1000594189</v>
      </c>
      <c r="D43" s="48">
        <v>40000374</v>
      </c>
      <c r="E43" s="46">
        <v>20000</v>
      </c>
      <c r="F43" s="119">
        <v>15865</v>
      </c>
      <c r="G43" s="119">
        <v>20000</v>
      </c>
      <c r="H43" s="46">
        <v>20000</v>
      </c>
      <c r="I43" s="46">
        <v>20000</v>
      </c>
      <c r="J43" s="46">
        <v>18154</v>
      </c>
      <c r="K43" s="47">
        <v>18154</v>
      </c>
      <c r="L43" s="46">
        <f t="shared" si="0"/>
        <v>0</v>
      </c>
      <c r="M43" s="88"/>
    </row>
    <row r="44" spans="1:93" s="62" customFormat="1" ht="45" customHeight="1" x14ac:dyDescent="0.2">
      <c r="A44" s="55" t="s">
        <v>343</v>
      </c>
      <c r="B44" s="96">
        <v>580448686</v>
      </c>
      <c r="C44" s="49">
        <v>1000596193</v>
      </c>
      <c r="D44" s="48">
        <v>40330177</v>
      </c>
      <c r="E44" s="46">
        <v>0</v>
      </c>
      <c r="F44" s="46">
        <v>0</v>
      </c>
      <c r="G44" s="46">
        <v>30000</v>
      </c>
      <c r="H44" s="46">
        <v>30000</v>
      </c>
      <c r="I44" s="46">
        <v>30267</v>
      </c>
      <c r="J44" s="46">
        <v>27473</v>
      </c>
      <c r="K44" s="47">
        <v>27473</v>
      </c>
      <c r="L44" s="46">
        <f t="shared" si="0"/>
        <v>0</v>
      </c>
      <c r="M44" s="118"/>
    </row>
    <row r="45" spans="1:93" x14ac:dyDescent="0.2">
      <c r="J45" s="46">
        <f>SUM(J3:J44)</f>
        <v>13864660</v>
      </c>
    </row>
  </sheetData>
  <pageMargins left="0.11811023622047245" right="0.15748031496062992" top="0.47244094488188981" bottom="0.47244094488188981" header="0.15748031496062992" footer="0.19685039370078741"/>
  <pageSetup paperSize="9" scale="80" orientation="landscape" r:id="rId1"/>
  <headerFooter alignWithMargins="0">
    <oddHeader xml:space="preserve">&amp;C&amp;"Guttman Yad-Brush,רגיל"&amp;14תקנת מחקר - 42-02-14 </oddHeader>
    <oddFooter>&amp;L&amp;D&amp;C&amp;P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A1:L52"/>
  <sheetViews>
    <sheetView rightToLeft="1" zoomScaleNormal="100" workbookViewId="0">
      <pane xSplit="2" ySplit="3" topLeftCell="C34" activePane="bottomRight" state="frozen"/>
      <selection activeCell="S19" sqref="S19"/>
      <selection pane="topRight" activeCell="S19" sqref="S19"/>
      <selection pane="bottomLeft" activeCell="S19" sqref="S19"/>
      <selection pane="bottomRight" activeCell="B45" sqref="B45"/>
    </sheetView>
  </sheetViews>
  <sheetFormatPr defaultRowHeight="12.75" x14ac:dyDescent="0.2"/>
  <cols>
    <col min="1" max="1" width="14" style="163" customWidth="1"/>
    <col min="2" max="2" width="34.28515625" style="343" customWidth="1"/>
    <col min="3" max="3" width="0.7109375" style="600" customWidth="1"/>
    <col min="4" max="4" width="14.7109375" style="354" customWidth="1"/>
    <col min="5" max="5" width="0.7109375" style="600" customWidth="1"/>
    <col min="6" max="6" width="14.7109375" style="354" customWidth="1"/>
    <col min="7" max="7" width="0.5703125" style="600" customWidth="1"/>
    <col min="8" max="8" width="14.7109375" style="354" customWidth="1"/>
    <col min="9" max="9" width="0.5703125" style="600" customWidth="1"/>
    <col min="10" max="10" width="14.7109375" style="354" customWidth="1"/>
    <col min="11" max="11" width="12" style="506" hidden="1" customWidth="1"/>
    <col min="12" max="12" width="13.5703125" style="506" hidden="1" customWidth="1"/>
    <col min="13" max="245" width="9.140625" style="163"/>
    <col min="246" max="246" width="14" style="163" customWidth="1"/>
    <col min="247" max="247" width="34.28515625" style="163" customWidth="1"/>
    <col min="248" max="248" width="0.7109375" style="163" customWidth="1"/>
    <col min="249" max="249" width="14.7109375" style="163" customWidth="1"/>
    <col min="250" max="250" width="11.7109375" style="163" customWidth="1"/>
    <col min="251" max="251" width="14.7109375" style="163" customWidth="1"/>
    <col min="252" max="252" width="0.7109375" style="163" customWidth="1"/>
    <col min="253" max="253" width="14.7109375" style="163" customWidth="1"/>
    <col min="254" max="254" width="11.7109375" style="163" customWidth="1"/>
    <col min="255" max="256" width="14.7109375" style="163" customWidth="1"/>
    <col min="257" max="257" width="0.7109375" style="163" customWidth="1"/>
    <col min="258" max="258" width="14.7109375" style="163" customWidth="1"/>
    <col min="259" max="259" width="11.7109375" style="163" customWidth="1"/>
    <col min="260" max="261" width="14.7109375" style="163" customWidth="1"/>
    <col min="262" max="262" width="0.7109375" style="163" customWidth="1"/>
    <col min="263" max="263" width="14.7109375" style="163" customWidth="1"/>
    <col min="264" max="264" width="11.7109375" style="163" customWidth="1"/>
    <col min="265" max="266" width="14.7109375" style="163" customWidth="1"/>
    <col min="267" max="267" width="12" style="163" customWidth="1"/>
    <col min="268" max="268" width="13.5703125" style="163" customWidth="1"/>
    <col min="269" max="501" width="9.140625" style="163"/>
    <col min="502" max="502" width="14" style="163" customWidth="1"/>
    <col min="503" max="503" width="34.28515625" style="163" customWidth="1"/>
    <col min="504" max="504" width="0.7109375" style="163" customWidth="1"/>
    <col min="505" max="505" width="14.7109375" style="163" customWidth="1"/>
    <col min="506" max="506" width="11.7109375" style="163" customWidth="1"/>
    <col min="507" max="507" width="14.7109375" style="163" customWidth="1"/>
    <col min="508" max="508" width="0.7109375" style="163" customWidth="1"/>
    <col min="509" max="509" width="14.7109375" style="163" customWidth="1"/>
    <col min="510" max="510" width="11.7109375" style="163" customWidth="1"/>
    <col min="511" max="512" width="14.7109375" style="163" customWidth="1"/>
    <col min="513" max="513" width="0.7109375" style="163" customWidth="1"/>
    <col min="514" max="514" width="14.7109375" style="163" customWidth="1"/>
    <col min="515" max="515" width="11.7109375" style="163" customWidth="1"/>
    <col min="516" max="517" width="14.7109375" style="163" customWidth="1"/>
    <col min="518" max="518" width="0.7109375" style="163" customWidth="1"/>
    <col min="519" max="519" width="14.7109375" style="163" customWidth="1"/>
    <col min="520" max="520" width="11.7109375" style="163" customWidth="1"/>
    <col min="521" max="522" width="14.7109375" style="163" customWidth="1"/>
    <col min="523" max="523" width="12" style="163" customWidth="1"/>
    <col min="524" max="524" width="13.5703125" style="163" customWidth="1"/>
    <col min="525" max="757" width="9.140625" style="163"/>
    <col min="758" max="758" width="14" style="163" customWidth="1"/>
    <col min="759" max="759" width="34.28515625" style="163" customWidth="1"/>
    <col min="760" max="760" width="0.7109375" style="163" customWidth="1"/>
    <col min="761" max="761" width="14.7109375" style="163" customWidth="1"/>
    <col min="762" max="762" width="11.7109375" style="163" customWidth="1"/>
    <col min="763" max="763" width="14.7109375" style="163" customWidth="1"/>
    <col min="764" max="764" width="0.7109375" style="163" customWidth="1"/>
    <col min="765" max="765" width="14.7109375" style="163" customWidth="1"/>
    <col min="766" max="766" width="11.7109375" style="163" customWidth="1"/>
    <col min="767" max="768" width="14.7109375" style="163" customWidth="1"/>
    <col min="769" max="769" width="0.7109375" style="163" customWidth="1"/>
    <col min="770" max="770" width="14.7109375" style="163" customWidth="1"/>
    <col min="771" max="771" width="11.7109375" style="163" customWidth="1"/>
    <col min="772" max="773" width="14.7109375" style="163" customWidth="1"/>
    <col min="774" max="774" width="0.7109375" style="163" customWidth="1"/>
    <col min="775" max="775" width="14.7109375" style="163" customWidth="1"/>
    <col min="776" max="776" width="11.7109375" style="163" customWidth="1"/>
    <col min="777" max="778" width="14.7109375" style="163" customWidth="1"/>
    <col min="779" max="779" width="12" style="163" customWidth="1"/>
    <col min="780" max="780" width="13.5703125" style="163" customWidth="1"/>
    <col min="781" max="1013" width="9.140625" style="163"/>
    <col min="1014" max="1014" width="14" style="163" customWidth="1"/>
    <col min="1015" max="1015" width="34.28515625" style="163" customWidth="1"/>
    <col min="1016" max="1016" width="0.7109375" style="163" customWidth="1"/>
    <col min="1017" max="1017" width="14.7109375" style="163" customWidth="1"/>
    <col min="1018" max="1018" width="11.7109375" style="163" customWidth="1"/>
    <col min="1019" max="1019" width="14.7109375" style="163" customWidth="1"/>
    <col min="1020" max="1020" width="0.7109375" style="163" customWidth="1"/>
    <col min="1021" max="1021" width="14.7109375" style="163" customWidth="1"/>
    <col min="1022" max="1022" width="11.7109375" style="163" customWidth="1"/>
    <col min="1023" max="1024" width="14.7109375" style="163" customWidth="1"/>
    <col min="1025" max="1025" width="0.7109375" style="163" customWidth="1"/>
    <col min="1026" max="1026" width="14.7109375" style="163" customWidth="1"/>
    <col min="1027" max="1027" width="11.7109375" style="163" customWidth="1"/>
    <col min="1028" max="1029" width="14.7109375" style="163" customWidth="1"/>
    <col min="1030" max="1030" width="0.7109375" style="163" customWidth="1"/>
    <col min="1031" max="1031" width="14.7109375" style="163" customWidth="1"/>
    <col min="1032" max="1032" width="11.7109375" style="163" customWidth="1"/>
    <col min="1033" max="1034" width="14.7109375" style="163" customWidth="1"/>
    <col min="1035" max="1035" width="12" style="163" customWidth="1"/>
    <col min="1036" max="1036" width="13.5703125" style="163" customWidth="1"/>
    <col min="1037" max="1269" width="9.140625" style="163"/>
    <col min="1270" max="1270" width="14" style="163" customWidth="1"/>
    <col min="1271" max="1271" width="34.28515625" style="163" customWidth="1"/>
    <col min="1272" max="1272" width="0.7109375" style="163" customWidth="1"/>
    <col min="1273" max="1273" width="14.7109375" style="163" customWidth="1"/>
    <col min="1274" max="1274" width="11.7109375" style="163" customWidth="1"/>
    <col min="1275" max="1275" width="14.7109375" style="163" customWidth="1"/>
    <col min="1276" max="1276" width="0.7109375" style="163" customWidth="1"/>
    <col min="1277" max="1277" width="14.7109375" style="163" customWidth="1"/>
    <col min="1278" max="1278" width="11.7109375" style="163" customWidth="1"/>
    <col min="1279" max="1280" width="14.7109375" style="163" customWidth="1"/>
    <col min="1281" max="1281" width="0.7109375" style="163" customWidth="1"/>
    <col min="1282" max="1282" width="14.7109375" style="163" customWidth="1"/>
    <col min="1283" max="1283" width="11.7109375" style="163" customWidth="1"/>
    <col min="1284" max="1285" width="14.7109375" style="163" customWidth="1"/>
    <col min="1286" max="1286" width="0.7109375" style="163" customWidth="1"/>
    <col min="1287" max="1287" width="14.7109375" style="163" customWidth="1"/>
    <col min="1288" max="1288" width="11.7109375" style="163" customWidth="1"/>
    <col min="1289" max="1290" width="14.7109375" style="163" customWidth="1"/>
    <col min="1291" max="1291" width="12" style="163" customWidth="1"/>
    <col min="1292" max="1292" width="13.5703125" style="163" customWidth="1"/>
    <col min="1293" max="1525" width="9.140625" style="163"/>
    <col min="1526" max="1526" width="14" style="163" customWidth="1"/>
    <col min="1527" max="1527" width="34.28515625" style="163" customWidth="1"/>
    <col min="1528" max="1528" width="0.7109375" style="163" customWidth="1"/>
    <col min="1529" max="1529" width="14.7109375" style="163" customWidth="1"/>
    <col min="1530" max="1530" width="11.7109375" style="163" customWidth="1"/>
    <col min="1531" max="1531" width="14.7109375" style="163" customWidth="1"/>
    <col min="1532" max="1532" width="0.7109375" style="163" customWidth="1"/>
    <col min="1533" max="1533" width="14.7109375" style="163" customWidth="1"/>
    <col min="1534" max="1534" width="11.7109375" style="163" customWidth="1"/>
    <col min="1535" max="1536" width="14.7109375" style="163" customWidth="1"/>
    <col min="1537" max="1537" width="0.7109375" style="163" customWidth="1"/>
    <col min="1538" max="1538" width="14.7109375" style="163" customWidth="1"/>
    <col min="1539" max="1539" width="11.7109375" style="163" customWidth="1"/>
    <col min="1540" max="1541" width="14.7109375" style="163" customWidth="1"/>
    <col min="1542" max="1542" width="0.7109375" style="163" customWidth="1"/>
    <col min="1543" max="1543" width="14.7109375" style="163" customWidth="1"/>
    <col min="1544" max="1544" width="11.7109375" style="163" customWidth="1"/>
    <col min="1545" max="1546" width="14.7109375" style="163" customWidth="1"/>
    <col min="1547" max="1547" width="12" style="163" customWidth="1"/>
    <col min="1548" max="1548" width="13.5703125" style="163" customWidth="1"/>
    <col min="1549" max="1781" width="9.140625" style="163"/>
    <col min="1782" max="1782" width="14" style="163" customWidth="1"/>
    <col min="1783" max="1783" width="34.28515625" style="163" customWidth="1"/>
    <col min="1784" max="1784" width="0.7109375" style="163" customWidth="1"/>
    <col min="1785" max="1785" width="14.7109375" style="163" customWidth="1"/>
    <col min="1786" max="1786" width="11.7109375" style="163" customWidth="1"/>
    <col min="1787" max="1787" width="14.7109375" style="163" customWidth="1"/>
    <col min="1788" max="1788" width="0.7109375" style="163" customWidth="1"/>
    <col min="1789" max="1789" width="14.7109375" style="163" customWidth="1"/>
    <col min="1790" max="1790" width="11.7109375" style="163" customWidth="1"/>
    <col min="1791" max="1792" width="14.7109375" style="163" customWidth="1"/>
    <col min="1793" max="1793" width="0.7109375" style="163" customWidth="1"/>
    <col min="1794" max="1794" width="14.7109375" style="163" customWidth="1"/>
    <col min="1795" max="1795" width="11.7109375" style="163" customWidth="1"/>
    <col min="1796" max="1797" width="14.7109375" style="163" customWidth="1"/>
    <col min="1798" max="1798" width="0.7109375" style="163" customWidth="1"/>
    <col min="1799" max="1799" width="14.7109375" style="163" customWidth="1"/>
    <col min="1800" max="1800" width="11.7109375" style="163" customWidth="1"/>
    <col min="1801" max="1802" width="14.7109375" style="163" customWidth="1"/>
    <col min="1803" max="1803" width="12" style="163" customWidth="1"/>
    <col min="1804" max="1804" width="13.5703125" style="163" customWidth="1"/>
    <col min="1805" max="2037" width="9.140625" style="163"/>
    <col min="2038" max="2038" width="14" style="163" customWidth="1"/>
    <col min="2039" max="2039" width="34.28515625" style="163" customWidth="1"/>
    <col min="2040" max="2040" width="0.7109375" style="163" customWidth="1"/>
    <col min="2041" max="2041" width="14.7109375" style="163" customWidth="1"/>
    <col min="2042" max="2042" width="11.7109375" style="163" customWidth="1"/>
    <col min="2043" max="2043" width="14.7109375" style="163" customWidth="1"/>
    <col min="2044" max="2044" width="0.7109375" style="163" customWidth="1"/>
    <col min="2045" max="2045" width="14.7109375" style="163" customWidth="1"/>
    <col min="2046" max="2046" width="11.7109375" style="163" customWidth="1"/>
    <col min="2047" max="2048" width="14.7109375" style="163" customWidth="1"/>
    <col min="2049" max="2049" width="0.7109375" style="163" customWidth="1"/>
    <col min="2050" max="2050" width="14.7109375" style="163" customWidth="1"/>
    <col min="2051" max="2051" width="11.7109375" style="163" customWidth="1"/>
    <col min="2052" max="2053" width="14.7109375" style="163" customWidth="1"/>
    <col min="2054" max="2054" width="0.7109375" style="163" customWidth="1"/>
    <col min="2055" max="2055" width="14.7109375" style="163" customWidth="1"/>
    <col min="2056" max="2056" width="11.7109375" style="163" customWidth="1"/>
    <col min="2057" max="2058" width="14.7109375" style="163" customWidth="1"/>
    <col min="2059" max="2059" width="12" style="163" customWidth="1"/>
    <col min="2060" max="2060" width="13.5703125" style="163" customWidth="1"/>
    <col min="2061" max="2293" width="9.140625" style="163"/>
    <col min="2294" max="2294" width="14" style="163" customWidth="1"/>
    <col min="2295" max="2295" width="34.28515625" style="163" customWidth="1"/>
    <col min="2296" max="2296" width="0.7109375" style="163" customWidth="1"/>
    <col min="2297" max="2297" width="14.7109375" style="163" customWidth="1"/>
    <col min="2298" max="2298" width="11.7109375" style="163" customWidth="1"/>
    <col min="2299" max="2299" width="14.7109375" style="163" customWidth="1"/>
    <col min="2300" max="2300" width="0.7109375" style="163" customWidth="1"/>
    <col min="2301" max="2301" width="14.7109375" style="163" customWidth="1"/>
    <col min="2302" max="2302" width="11.7109375" style="163" customWidth="1"/>
    <col min="2303" max="2304" width="14.7109375" style="163" customWidth="1"/>
    <col min="2305" max="2305" width="0.7109375" style="163" customWidth="1"/>
    <col min="2306" max="2306" width="14.7109375" style="163" customWidth="1"/>
    <col min="2307" max="2307" width="11.7109375" style="163" customWidth="1"/>
    <col min="2308" max="2309" width="14.7109375" style="163" customWidth="1"/>
    <col min="2310" max="2310" width="0.7109375" style="163" customWidth="1"/>
    <col min="2311" max="2311" width="14.7109375" style="163" customWidth="1"/>
    <col min="2312" max="2312" width="11.7109375" style="163" customWidth="1"/>
    <col min="2313" max="2314" width="14.7109375" style="163" customWidth="1"/>
    <col min="2315" max="2315" width="12" style="163" customWidth="1"/>
    <col min="2316" max="2316" width="13.5703125" style="163" customWidth="1"/>
    <col min="2317" max="2549" width="9.140625" style="163"/>
    <col min="2550" max="2550" width="14" style="163" customWidth="1"/>
    <col min="2551" max="2551" width="34.28515625" style="163" customWidth="1"/>
    <col min="2552" max="2552" width="0.7109375" style="163" customWidth="1"/>
    <col min="2553" max="2553" width="14.7109375" style="163" customWidth="1"/>
    <col min="2554" max="2554" width="11.7109375" style="163" customWidth="1"/>
    <col min="2555" max="2555" width="14.7109375" style="163" customWidth="1"/>
    <col min="2556" max="2556" width="0.7109375" style="163" customWidth="1"/>
    <col min="2557" max="2557" width="14.7109375" style="163" customWidth="1"/>
    <col min="2558" max="2558" width="11.7109375" style="163" customWidth="1"/>
    <col min="2559" max="2560" width="14.7109375" style="163" customWidth="1"/>
    <col min="2561" max="2561" width="0.7109375" style="163" customWidth="1"/>
    <col min="2562" max="2562" width="14.7109375" style="163" customWidth="1"/>
    <col min="2563" max="2563" width="11.7109375" style="163" customWidth="1"/>
    <col min="2564" max="2565" width="14.7109375" style="163" customWidth="1"/>
    <col min="2566" max="2566" width="0.7109375" style="163" customWidth="1"/>
    <col min="2567" max="2567" width="14.7109375" style="163" customWidth="1"/>
    <col min="2568" max="2568" width="11.7109375" style="163" customWidth="1"/>
    <col min="2569" max="2570" width="14.7109375" style="163" customWidth="1"/>
    <col min="2571" max="2571" width="12" style="163" customWidth="1"/>
    <col min="2572" max="2572" width="13.5703125" style="163" customWidth="1"/>
    <col min="2573" max="2805" width="9.140625" style="163"/>
    <col min="2806" max="2806" width="14" style="163" customWidth="1"/>
    <col min="2807" max="2807" width="34.28515625" style="163" customWidth="1"/>
    <col min="2808" max="2808" width="0.7109375" style="163" customWidth="1"/>
    <col min="2809" max="2809" width="14.7109375" style="163" customWidth="1"/>
    <col min="2810" max="2810" width="11.7109375" style="163" customWidth="1"/>
    <col min="2811" max="2811" width="14.7109375" style="163" customWidth="1"/>
    <col min="2812" max="2812" width="0.7109375" style="163" customWidth="1"/>
    <col min="2813" max="2813" width="14.7109375" style="163" customWidth="1"/>
    <col min="2814" max="2814" width="11.7109375" style="163" customWidth="1"/>
    <col min="2815" max="2816" width="14.7109375" style="163" customWidth="1"/>
    <col min="2817" max="2817" width="0.7109375" style="163" customWidth="1"/>
    <col min="2818" max="2818" width="14.7109375" style="163" customWidth="1"/>
    <col min="2819" max="2819" width="11.7109375" style="163" customWidth="1"/>
    <col min="2820" max="2821" width="14.7109375" style="163" customWidth="1"/>
    <col min="2822" max="2822" width="0.7109375" style="163" customWidth="1"/>
    <col min="2823" max="2823" width="14.7109375" style="163" customWidth="1"/>
    <col min="2824" max="2824" width="11.7109375" style="163" customWidth="1"/>
    <col min="2825" max="2826" width="14.7109375" style="163" customWidth="1"/>
    <col min="2827" max="2827" width="12" style="163" customWidth="1"/>
    <col min="2828" max="2828" width="13.5703125" style="163" customWidth="1"/>
    <col min="2829" max="3061" width="9.140625" style="163"/>
    <col min="3062" max="3062" width="14" style="163" customWidth="1"/>
    <col min="3063" max="3063" width="34.28515625" style="163" customWidth="1"/>
    <col min="3064" max="3064" width="0.7109375" style="163" customWidth="1"/>
    <col min="3065" max="3065" width="14.7109375" style="163" customWidth="1"/>
    <col min="3066" max="3066" width="11.7109375" style="163" customWidth="1"/>
    <col min="3067" max="3067" width="14.7109375" style="163" customWidth="1"/>
    <col min="3068" max="3068" width="0.7109375" style="163" customWidth="1"/>
    <col min="3069" max="3069" width="14.7109375" style="163" customWidth="1"/>
    <col min="3070" max="3070" width="11.7109375" style="163" customWidth="1"/>
    <col min="3071" max="3072" width="14.7109375" style="163" customWidth="1"/>
    <col min="3073" max="3073" width="0.7109375" style="163" customWidth="1"/>
    <col min="3074" max="3074" width="14.7109375" style="163" customWidth="1"/>
    <col min="3075" max="3075" width="11.7109375" style="163" customWidth="1"/>
    <col min="3076" max="3077" width="14.7109375" style="163" customWidth="1"/>
    <col min="3078" max="3078" width="0.7109375" style="163" customWidth="1"/>
    <col min="3079" max="3079" width="14.7109375" style="163" customWidth="1"/>
    <col min="3080" max="3080" width="11.7109375" style="163" customWidth="1"/>
    <col min="3081" max="3082" width="14.7109375" style="163" customWidth="1"/>
    <col min="3083" max="3083" width="12" style="163" customWidth="1"/>
    <col min="3084" max="3084" width="13.5703125" style="163" customWidth="1"/>
    <col min="3085" max="3317" width="9.140625" style="163"/>
    <col min="3318" max="3318" width="14" style="163" customWidth="1"/>
    <col min="3319" max="3319" width="34.28515625" style="163" customWidth="1"/>
    <col min="3320" max="3320" width="0.7109375" style="163" customWidth="1"/>
    <col min="3321" max="3321" width="14.7109375" style="163" customWidth="1"/>
    <col min="3322" max="3322" width="11.7109375" style="163" customWidth="1"/>
    <col min="3323" max="3323" width="14.7109375" style="163" customWidth="1"/>
    <col min="3324" max="3324" width="0.7109375" style="163" customWidth="1"/>
    <col min="3325" max="3325" width="14.7109375" style="163" customWidth="1"/>
    <col min="3326" max="3326" width="11.7109375" style="163" customWidth="1"/>
    <col min="3327" max="3328" width="14.7109375" style="163" customWidth="1"/>
    <col min="3329" max="3329" width="0.7109375" style="163" customWidth="1"/>
    <col min="3330" max="3330" width="14.7109375" style="163" customWidth="1"/>
    <col min="3331" max="3331" width="11.7109375" style="163" customWidth="1"/>
    <col min="3332" max="3333" width="14.7109375" style="163" customWidth="1"/>
    <col min="3334" max="3334" width="0.7109375" style="163" customWidth="1"/>
    <col min="3335" max="3335" width="14.7109375" style="163" customWidth="1"/>
    <col min="3336" max="3336" width="11.7109375" style="163" customWidth="1"/>
    <col min="3337" max="3338" width="14.7109375" style="163" customWidth="1"/>
    <col min="3339" max="3339" width="12" style="163" customWidth="1"/>
    <col min="3340" max="3340" width="13.5703125" style="163" customWidth="1"/>
    <col min="3341" max="3573" width="9.140625" style="163"/>
    <col min="3574" max="3574" width="14" style="163" customWidth="1"/>
    <col min="3575" max="3575" width="34.28515625" style="163" customWidth="1"/>
    <col min="3576" max="3576" width="0.7109375" style="163" customWidth="1"/>
    <col min="3577" max="3577" width="14.7109375" style="163" customWidth="1"/>
    <col min="3578" max="3578" width="11.7109375" style="163" customWidth="1"/>
    <col min="3579" max="3579" width="14.7109375" style="163" customWidth="1"/>
    <col min="3580" max="3580" width="0.7109375" style="163" customWidth="1"/>
    <col min="3581" max="3581" width="14.7109375" style="163" customWidth="1"/>
    <col min="3582" max="3582" width="11.7109375" style="163" customWidth="1"/>
    <col min="3583" max="3584" width="14.7109375" style="163" customWidth="1"/>
    <col min="3585" max="3585" width="0.7109375" style="163" customWidth="1"/>
    <col min="3586" max="3586" width="14.7109375" style="163" customWidth="1"/>
    <col min="3587" max="3587" width="11.7109375" style="163" customWidth="1"/>
    <col min="3588" max="3589" width="14.7109375" style="163" customWidth="1"/>
    <col min="3590" max="3590" width="0.7109375" style="163" customWidth="1"/>
    <col min="3591" max="3591" width="14.7109375" style="163" customWidth="1"/>
    <col min="3592" max="3592" width="11.7109375" style="163" customWidth="1"/>
    <col min="3593" max="3594" width="14.7109375" style="163" customWidth="1"/>
    <col min="3595" max="3595" width="12" style="163" customWidth="1"/>
    <col min="3596" max="3596" width="13.5703125" style="163" customWidth="1"/>
    <col min="3597" max="3829" width="9.140625" style="163"/>
    <col min="3830" max="3830" width="14" style="163" customWidth="1"/>
    <col min="3831" max="3831" width="34.28515625" style="163" customWidth="1"/>
    <col min="3832" max="3832" width="0.7109375" style="163" customWidth="1"/>
    <col min="3833" max="3833" width="14.7109375" style="163" customWidth="1"/>
    <col min="3834" max="3834" width="11.7109375" style="163" customWidth="1"/>
    <col min="3835" max="3835" width="14.7109375" style="163" customWidth="1"/>
    <col min="3836" max="3836" width="0.7109375" style="163" customWidth="1"/>
    <col min="3837" max="3837" width="14.7109375" style="163" customWidth="1"/>
    <col min="3838" max="3838" width="11.7109375" style="163" customWidth="1"/>
    <col min="3839" max="3840" width="14.7109375" style="163" customWidth="1"/>
    <col min="3841" max="3841" width="0.7109375" style="163" customWidth="1"/>
    <col min="3842" max="3842" width="14.7109375" style="163" customWidth="1"/>
    <col min="3843" max="3843" width="11.7109375" style="163" customWidth="1"/>
    <col min="3844" max="3845" width="14.7109375" style="163" customWidth="1"/>
    <col min="3846" max="3846" width="0.7109375" style="163" customWidth="1"/>
    <col min="3847" max="3847" width="14.7109375" style="163" customWidth="1"/>
    <col min="3848" max="3848" width="11.7109375" style="163" customWidth="1"/>
    <col min="3849" max="3850" width="14.7109375" style="163" customWidth="1"/>
    <col min="3851" max="3851" width="12" style="163" customWidth="1"/>
    <col min="3852" max="3852" width="13.5703125" style="163" customWidth="1"/>
    <col min="3853" max="4085" width="9.140625" style="163"/>
    <col min="4086" max="4086" width="14" style="163" customWidth="1"/>
    <col min="4087" max="4087" width="34.28515625" style="163" customWidth="1"/>
    <col min="4088" max="4088" width="0.7109375" style="163" customWidth="1"/>
    <col min="4089" max="4089" width="14.7109375" style="163" customWidth="1"/>
    <col min="4090" max="4090" width="11.7109375" style="163" customWidth="1"/>
    <col min="4091" max="4091" width="14.7109375" style="163" customWidth="1"/>
    <col min="4092" max="4092" width="0.7109375" style="163" customWidth="1"/>
    <col min="4093" max="4093" width="14.7109375" style="163" customWidth="1"/>
    <col min="4094" max="4094" width="11.7109375" style="163" customWidth="1"/>
    <col min="4095" max="4096" width="14.7109375" style="163" customWidth="1"/>
    <col min="4097" max="4097" width="0.7109375" style="163" customWidth="1"/>
    <col min="4098" max="4098" width="14.7109375" style="163" customWidth="1"/>
    <col min="4099" max="4099" width="11.7109375" style="163" customWidth="1"/>
    <col min="4100" max="4101" width="14.7109375" style="163" customWidth="1"/>
    <col min="4102" max="4102" width="0.7109375" style="163" customWidth="1"/>
    <col min="4103" max="4103" width="14.7109375" style="163" customWidth="1"/>
    <col min="4104" max="4104" width="11.7109375" style="163" customWidth="1"/>
    <col min="4105" max="4106" width="14.7109375" style="163" customWidth="1"/>
    <col min="4107" max="4107" width="12" style="163" customWidth="1"/>
    <col min="4108" max="4108" width="13.5703125" style="163" customWidth="1"/>
    <col min="4109" max="4341" width="9.140625" style="163"/>
    <col min="4342" max="4342" width="14" style="163" customWidth="1"/>
    <col min="4343" max="4343" width="34.28515625" style="163" customWidth="1"/>
    <col min="4344" max="4344" width="0.7109375" style="163" customWidth="1"/>
    <col min="4345" max="4345" width="14.7109375" style="163" customWidth="1"/>
    <col min="4346" max="4346" width="11.7109375" style="163" customWidth="1"/>
    <col min="4347" max="4347" width="14.7109375" style="163" customWidth="1"/>
    <col min="4348" max="4348" width="0.7109375" style="163" customWidth="1"/>
    <col min="4349" max="4349" width="14.7109375" style="163" customWidth="1"/>
    <col min="4350" max="4350" width="11.7109375" style="163" customWidth="1"/>
    <col min="4351" max="4352" width="14.7109375" style="163" customWidth="1"/>
    <col min="4353" max="4353" width="0.7109375" style="163" customWidth="1"/>
    <col min="4354" max="4354" width="14.7109375" style="163" customWidth="1"/>
    <col min="4355" max="4355" width="11.7109375" style="163" customWidth="1"/>
    <col min="4356" max="4357" width="14.7109375" style="163" customWidth="1"/>
    <col min="4358" max="4358" width="0.7109375" style="163" customWidth="1"/>
    <col min="4359" max="4359" width="14.7109375" style="163" customWidth="1"/>
    <col min="4360" max="4360" width="11.7109375" style="163" customWidth="1"/>
    <col min="4361" max="4362" width="14.7109375" style="163" customWidth="1"/>
    <col min="4363" max="4363" width="12" style="163" customWidth="1"/>
    <col min="4364" max="4364" width="13.5703125" style="163" customWidth="1"/>
    <col min="4365" max="4597" width="9.140625" style="163"/>
    <col min="4598" max="4598" width="14" style="163" customWidth="1"/>
    <col min="4599" max="4599" width="34.28515625" style="163" customWidth="1"/>
    <col min="4600" max="4600" width="0.7109375" style="163" customWidth="1"/>
    <col min="4601" max="4601" width="14.7109375" style="163" customWidth="1"/>
    <col min="4602" max="4602" width="11.7109375" style="163" customWidth="1"/>
    <col min="4603" max="4603" width="14.7109375" style="163" customWidth="1"/>
    <col min="4604" max="4604" width="0.7109375" style="163" customWidth="1"/>
    <col min="4605" max="4605" width="14.7109375" style="163" customWidth="1"/>
    <col min="4606" max="4606" width="11.7109375" style="163" customWidth="1"/>
    <col min="4607" max="4608" width="14.7109375" style="163" customWidth="1"/>
    <col min="4609" max="4609" width="0.7109375" style="163" customWidth="1"/>
    <col min="4610" max="4610" width="14.7109375" style="163" customWidth="1"/>
    <col min="4611" max="4611" width="11.7109375" style="163" customWidth="1"/>
    <col min="4612" max="4613" width="14.7109375" style="163" customWidth="1"/>
    <col min="4614" max="4614" width="0.7109375" style="163" customWidth="1"/>
    <col min="4615" max="4615" width="14.7109375" style="163" customWidth="1"/>
    <col min="4616" max="4616" width="11.7109375" style="163" customWidth="1"/>
    <col min="4617" max="4618" width="14.7109375" style="163" customWidth="1"/>
    <col min="4619" max="4619" width="12" style="163" customWidth="1"/>
    <col min="4620" max="4620" width="13.5703125" style="163" customWidth="1"/>
    <col min="4621" max="4853" width="9.140625" style="163"/>
    <col min="4854" max="4854" width="14" style="163" customWidth="1"/>
    <col min="4855" max="4855" width="34.28515625" style="163" customWidth="1"/>
    <col min="4856" max="4856" width="0.7109375" style="163" customWidth="1"/>
    <col min="4857" max="4857" width="14.7109375" style="163" customWidth="1"/>
    <col min="4858" max="4858" width="11.7109375" style="163" customWidth="1"/>
    <col min="4859" max="4859" width="14.7109375" style="163" customWidth="1"/>
    <col min="4860" max="4860" width="0.7109375" style="163" customWidth="1"/>
    <col min="4861" max="4861" width="14.7109375" style="163" customWidth="1"/>
    <col min="4862" max="4862" width="11.7109375" style="163" customWidth="1"/>
    <col min="4863" max="4864" width="14.7109375" style="163" customWidth="1"/>
    <col min="4865" max="4865" width="0.7109375" style="163" customWidth="1"/>
    <col min="4866" max="4866" width="14.7109375" style="163" customWidth="1"/>
    <col min="4867" max="4867" width="11.7109375" style="163" customWidth="1"/>
    <col min="4868" max="4869" width="14.7109375" style="163" customWidth="1"/>
    <col min="4870" max="4870" width="0.7109375" style="163" customWidth="1"/>
    <col min="4871" max="4871" width="14.7109375" style="163" customWidth="1"/>
    <col min="4872" max="4872" width="11.7109375" style="163" customWidth="1"/>
    <col min="4873" max="4874" width="14.7109375" style="163" customWidth="1"/>
    <col min="4875" max="4875" width="12" style="163" customWidth="1"/>
    <col min="4876" max="4876" width="13.5703125" style="163" customWidth="1"/>
    <col min="4877" max="5109" width="9.140625" style="163"/>
    <col min="5110" max="5110" width="14" style="163" customWidth="1"/>
    <col min="5111" max="5111" width="34.28515625" style="163" customWidth="1"/>
    <col min="5112" max="5112" width="0.7109375" style="163" customWidth="1"/>
    <col min="5113" max="5113" width="14.7109375" style="163" customWidth="1"/>
    <col min="5114" max="5114" width="11.7109375" style="163" customWidth="1"/>
    <col min="5115" max="5115" width="14.7109375" style="163" customWidth="1"/>
    <col min="5116" max="5116" width="0.7109375" style="163" customWidth="1"/>
    <col min="5117" max="5117" width="14.7109375" style="163" customWidth="1"/>
    <col min="5118" max="5118" width="11.7109375" style="163" customWidth="1"/>
    <col min="5119" max="5120" width="14.7109375" style="163" customWidth="1"/>
    <col min="5121" max="5121" width="0.7109375" style="163" customWidth="1"/>
    <col min="5122" max="5122" width="14.7109375" style="163" customWidth="1"/>
    <col min="5123" max="5123" width="11.7109375" style="163" customWidth="1"/>
    <col min="5124" max="5125" width="14.7109375" style="163" customWidth="1"/>
    <col min="5126" max="5126" width="0.7109375" style="163" customWidth="1"/>
    <col min="5127" max="5127" width="14.7109375" style="163" customWidth="1"/>
    <col min="5128" max="5128" width="11.7109375" style="163" customWidth="1"/>
    <col min="5129" max="5130" width="14.7109375" style="163" customWidth="1"/>
    <col min="5131" max="5131" width="12" style="163" customWidth="1"/>
    <col min="5132" max="5132" width="13.5703125" style="163" customWidth="1"/>
    <col min="5133" max="5365" width="9.140625" style="163"/>
    <col min="5366" max="5366" width="14" style="163" customWidth="1"/>
    <col min="5367" max="5367" width="34.28515625" style="163" customWidth="1"/>
    <col min="5368" max="5368" width="0.7109375" style="163" customWidth="1"/>
    <col min="5369" max="5369" width="14.7109375" style="163" customWidth="1"/>
    <col min="5370" max="5370" width="11.7109375" style="163" customWidth="1"/>
    <col min="5371" max="5371" width="14.7109375" style="163" customWidth="1"/>
    <col min="5372" max="5372" width="0.7109375" style="163" customWidth="1"/>
    <col min="5373" max="5373" width="14.7109375" style="163" customWidth="1"/>
    <col min="5374" max="5374" width="11.7109375" style="163" customWidth="1"/>
    <col min="5375" max="5376" width="14.7109375" style="163" customWidth="1"/>
    <col min="5377" max="5377" width="0.7109375" style="163" customWidth="1"/>
    <col min="5378" max="5378" width="14.7109375" style="163" customWidth="1"/>
    <col min="5379" max="5379" width="11.7109375" style="163" customWidth="1"/>
    <col min="5380" max="5381" width="14.7109375" style="163" customWidth="1"/>
    <col min="5382" max="5382" width="0.7109375" style="163" customWidth="1"/>
    <col min="5383" max="5383" width="14.7109375" style="163" customWidth="1"/>
    <col min="5384" max="5384" width="11.7109375" style="163" customWidth="1"/>
    <col min="5385" max="5386" width="14.7109375" style="163" customWidth="1"/>
    <col min="5387" max="5387" width="12" style="163" customWidth="1"/>
    <col min="5388" max="5388" width="13.5703125" style="163" customWidth="1"/>
    <col min="5389" max="5621" width="9.140625" style="163"/>
    <col min="5622" max="5622" width="14" style="163" customWidth="1"/>
    <col min="5623" max="5623" width="34.28515625" style="163" customWidth="1"/>
    <col min="5624" max="5624" width="0.7109375" style="163" customWidth="1"/>
    <col min="5625" max="5625" width="14.7109375" style="163" customWidth="1"/>
    <col min="5626" max="5626" width="11.7109375" style="163" customWidth="1"/>
    <col min="5627" max="5627" width="14.7109375" style="163" customWidth="1"/>
    <col min="5628" max="5628" width="0.7109375" style="163" customWidth="1"/>
    <col min="5629" max="5629" width="14.7109375" style="163" customWidth="1"/>
    <col min="5630" max="5630" width="11.7109375" style="163" customWidth="1"/>
    <col min="5631" max="5632" width="14.7109375" style="163" customWidth="1"/>
    <col min="5633" max="5633" width="0.7109375" style="163" customWidth="1"/>
    <col min="5634" max="5634" width="14.7109375" style="163" customWidth="1"/>
    <col min="5635" max="5635" width="11.7109375" style="163" customWidth="1"/>
    <col min="5636" max="5637" width="14.7109375" style="163" customWidth="1"/>
    <col min="5638" max="5638" width="0.7109375" style="163" customWidth="1"/>
    <col min="5639" max="5639" width="14.7109375" style="163" customWidth="1"/>
    <col min="5640" max="5640" width="11.7109375" style="163" customWidth="1"/>
    <col min="5641" max="5642" width="14.7109375" style="163" customWidth="1"/>
    <col min="5643" max="5643" width="12" style="163" customWidth="1"/>
    <col min="5644" max="5644" width="13.5703125" style="163" customWidth="1"/>
    <col min="5645" max="5877" width="9.140625" style="163"/>
    <col min="5878" max="5878" width="14" style="163" customWidth="1"/>
    <col min="5879" max="5879" width="34.28515625" style="163" customWidth="1"/>
    <col min="5880" max="5880" width="0.7109375" style="163" customWidth="1"/>
    <col min="5881" max="5881" width="14.7109375" style="163" customWidth="1"/>
    <col min="5882" max="5882" width="11.7109375" style="163" customWidth="1"/>
    <col min="5883" max="5883" width="14.7109375" style="163" customWidth="1"/>
    <col min="5884" max="5884" width="0.7109375" style="163" customWidth="1"/>
    <col min="5885" max="5885" width="14.7109375" style="163" customWidth="1"/>
    <col min="5886" max="5886" width="11.7109375" style="163" customWidth="1"/>
    <col min="5887" max="5888" width="14.7109375" style="163" customWidth="1"/>
    <col min="5889" max="5889" width="0.7109375" style="163" customWidth="1"/>
    <col min="5890" max="5890" width="14.7109375" style="163" customWidth="1"/>
    <col min="5891" max="5891" width="11.7109375" style="163" customWidth="1"/>
    <col min="5892" max="5893" width="14.7109375" style="163" customWidth="1"/>
    <col min="5894" max="5894" width="0.7109375" style="163" customWidth="1"/>
    <col min="5895" max="5895" width="14.7109375" style="163" customWidth="1"/>
    <col min="5896" max="5896" width="11.7109375" style="163" customWidth="1"/>
    <col min="5897" max="5898" width="14.7109375" style="163" customWidth="1"/>
    <col min="5899" max="5899" width="12" style="163" customWidth="1"/>
    <col min="5900" max="5900" width="13.5703125" style="163" customWidth="1"/>
    <col min="5901" max="6133" width="9.140625" style="163"/>
    <col min="6134" max="6134" width="14" style="163" customWidth="1"/>
    <col min="6135" max="6135" width="34.28515625" style="163" customWidth="1"/>
    <col min="6136" max="6136" width="0.7109375" style="163" customWidth="1"/>
    <col min="6137" max="6137" width="14.7109375" style="163" customWidth="1"/>
    <col min="6138" max="6138" width="11.7109375" style="163" customWidth="1"/>
    <col min="6139" max="6139" width="14.7109375" style="163" customWidth="1"/>
    <col min="6140" max="6140" width="0.7109375" style="163" customWidth="1"/>
    <col min="6141" max="6141" width="14.7109375" style="163" customWidth="1"/>
    <col min="6142" max="6142" width="11.7109375" style="163" customWidth="1"/>
    <col min="6143" max="6144" width="14.7109375" style="163" customWidth="1"/>
    <col min="6145" max="6145" width="0.7109375" style="163" customWidth="1"/>
    <col min="6146" max="6146" width="14.7109375" style="163" customWidth="1"/>
    <col min="6147" max="6147" width="11.7109375" style="163" customWidth="1"/>
    <col min="6148" max="6149" width="14.7109375" style="163" customWidth="1"/>
    <col min="6150" max="6150" width="0.7109375" style="163" customWidth="1"/>
    <col min="6151" max="6151" width="14.7109375" style="163" customWidth="1"/>
    <col min="6152" max="6152" width="11.7109375" style="163" customWidth="1"/>
    <col min="6153" max="6154" width="14.7109375" style="163" customWidth="1"/>
    <col min="6155" max="6155" width="12" style="163" customWidth="1"/>
    <col min="6156" max="6156" width="13.5703125" style="163" customWidth="1"/>
    <col min="6157" max="6389" width="9.140625" style="163"/>
    <col min="6390" max="6390" width="14" style="163" customWidth="1"/>
    <col min="6391" max="6391" width="34.28515625" style="163" customWidth="1"/>
    <col min="6392" max="6392" width="0.7109375" style="163" customWidth="1"/>
    <col min="6393" max="6393" width="14.7109375" style="163" customWidth="1"/>
    <col min="6394" max="6394" width="11.7109375" style="163" customWidth="1"/>
    <col min="6395" max="6395" width="14.7109375" style="163" customWidth="1"/>
    <col min="6396" max="6396" width="0.7109375" style="163" customWidth="1"/>
    <col min="6397" max="6397" width="14.7109375" style="163" customWidth="1"/>
    <col min="6398" max="6398" width="11.7109375" style="163" customWidth="1"/>
    <col min="6399" max="6400" width="14.7109375" style="163" customWidth="1"/>
    <col min="6401" max="6401" width="0.7109375" style="163" customWidth="1"/>
    <col min="6402" max="6402" width="14.7109375" style="163" customWidth="1"/>
    <col min="6403" max="6403" width="11.7109375" style="163" customWidth="1"/>
    <col min="6404" max="6405" width="14.7109375" style="163" customWidth="1"/>
    <col min="6406" max="6406" width="0.7109375" style="163" customWidth="1"/>
    <col min="6407" max="6407" width="14.7109375" style="163" customWidth="1"/>
    <col min="6408" max="6408" width="11.7109375" style="163" customWidth="1"/>
    <col min="6409" max="6410" width="14.7109375" style="163" customWidth="1"/>
    <col min="6411" max="6411" width="12" style="163" customWidth="1"/>
    <col min="6412" max="6412" width="13.5703125" style="163" customWidth="1"/>
    <col min="6413" max="6645" width="9.140625" style="163"/>
    <col min="6646" max="6646" width="14" style="163" customWidth="1"/>
    <col min="6647" max="6647" width="34.28515625" style="163" customWidth="1"/>
    <col min="6648" max="6648" width="0.7109375" style="163" customWidth="1"/>
    <col min="6649" max="6649" width="14.7109375" style="163" customWidth="1"/>
    <col min="6650" max="6650" width="11.7109375" style="163" customWidth="1"/>
    <col min="6651" max="6651" width="14.7109375" style="163" customWidth="1"/>
    <col min="6652" max="6652" width="0.7109375" style="163" customWidth="1"/>
    <col min="6653" max="6653" width="14.7109375" style="163" customWidth="1"/>
    <col min="6654" max="6654" width="11.7109375" style="163" customWidth="1"/>
    <col min="6655" max="6656" width="14.7109375" style="163" customWidth="1"/>
    <col min="6657" max="6657" width="0.7109375" style="163" customWidth="1"/>
    <col min="6658" max="6658" width="14.7109375" style="163" customWidth="1"/>
    <col min="6659" max="6659" width="11.7109375" style="163" customWidth="1"/>
    <col min="6660" max="6661" width="14.7109375" style="163" customWidth="1"/>
    <col min="6662" max="6662" width="0.7109375" style="163" customWidth="1"/>
    <col min="6663" max="6663" width="14.7109375" style="163" customWidth="1"/>
    <col min="6664" max="6664" width="11.7109375" style="163" customWidth="1"/>
    <col min="6665" max="6666" width="14.7109375" style="163" customWidth="1"/>
    <col min="6667" max="6667" width="12" style="163" customWidth="1"/>
    <col min="6668" max="6668" width="13.5703125" style="163" customWidth="1"/>
    <col min="6669" max="6901" width="9.140625" style="163"/>
    <col min="6902" max="6902" width="14" style="163" customWidth="1"/>
    <col min="6903" max="6903" width="34.28515625" style="163" customWidth="1"/>
    <col min="6904" max="6904" width="0.7109375" style="163" customWidth="1"/>
    <col min="6905" max="6905" width="14.7109375" style="163" customWidth="1"/>
    <col min="6906" max="6906" width="11.7109375" style="163" customWidth="1"/>
    <col min="6907" max="6907" width="14.7109375" style="163" customWidth="1"/>
    <col min="6908" max="6908" width="0.7109375" style="163" customWidth="1"/>
    <col min="6909" max="6909" width="14.7109375" style="163" customWidth="1"/>
    <col min="6910" max="6910" width="11.7109375" style="163" customWidth="1"/>
    <col min="6911" max="6912" width="14.7109375" style="163" customWidth="1"/>
    <col min="6913" max="6913" width="0.7109375" style="163" customWidth="1"/>
    <col min="6914" max="6914" width="14.7109375" style="163" customWidth="1"/>
    <col min="6915" max="6915" width="11.7109375" style="163" customWidth="1"/>
    <col min="6916" max="6917" width="14.7109375" style="163" customWidth="1"/>
    <col min="6918" max="6918" width="0.7109375" style="163" customWidth="1"/>
    <col min="6919" max="6919" width="14.7109375" style="163" customWidth="1"/>
    <col min="6920" max="6920" width="11.7109375" style="163" customWidth="1"/>
    <col min="6921" max="6922" width="14.7109375" style="163" customWidth="1"/>
    <col min="6923" max="6923" width="12" style="163" customWidth="1"/>
    <col min="6924" max="6924" width="13.5703125" style="163" customWidth="1"/>
    <col min="6925" max="7157" width="9.140625" style="163"/>
    <col min="7158" max="7158" width="14" style="163" customWidth="1"/>
    <col min="7159" max="7159" width="34.28515625" style="163" customWidth="1"/>
    <col min="7160" max="7160" width="0.7109375" style="163" customWidth="1"/>
    <col min="7161" max="7161" width="14.7109375" style="163" customWidth="1"/>
    <col min="7162" max="7162" width="11.7109375" style="163" customWidth="1"/>
    <col min="7163" max="7163" width="14.7109375" style="163" customWidth="1"/>
    <col min="7164" max="7164" width="0.7109375" style="163" customWidth="1"/>
    <col min="7165" max="7165" width="14.7109375" style="163" customWidth="1"/>
    <col min="7166" max="7166" width="11.7109375" style="163" customWidth="1"/>
    <col min="7167" max="7168" width="14.7109375" style="163" customWidth="1"/>
    <col min="7169" max="7169" width="0.7109375" style="163" customWidth="1"/>
    <col min="7170" max="7170" width="14.7109375" style="163" customWidth="1"/>
    <col min="7171" max="7171" width="11.7109375" style="163" customWidth="1"/>
    <col min="7172" max="7173" width="14.7109375" style="163" customWidth="1"/>
    <col min="7174" max="7174" width="0.7109375" style="163" customWidth="1"/>
    <col min="7175" max="7175" width="14.7109375" style="163" customWidth="1"/>
    <col min="7176" max="7176" width="11.7109375" style="163" customWidth="1"/>
    <col min="7177" max="7178" width="14.7109375" style="163" customWidth="1"/>
    <col min="7179" max="7179" width="12" style="163" customWidth="1"/>
    <col min="7180" max="7180" width="13.5703125" style="163" customWidth="1"/>
    <col min="7181" max="7413" width="9.140625" style="163"/>
    <col min="7414" max="7414" width="14" style="163" customWidth="1"/>
    <col min="7415" max="7415" width="34.28515625" style="163" customWidth="1"/>
    <col min="7416" max="7416" width="0.7109375" style="163" customWidth="1"/>
    <col min="7417" max="7417" width="14.7109375" style="163" customWidth="1"/>
    <col min="7418" max="7418" width="11.7109375" style="163" customWidth="1"/>
    <col min="7419" max="7419" width="14.7109375" style="163" customWidth="1"/>
    <col min="7420" max="7420" width="0.7109375" style="163" customWidth="1"/>
    <col min="7421" max="7421" width="14.7109375" style="163" customWidth="1"/>
    <col min="7422" max="7422" width="11.7109375" style="163" customWidth="1"/>
    <col min="7423" max="7424" width="14.7109375" style="163" customWidth="1"/>
    <col min="7425" max="7425" width="0.7109375" style="163" customWidth="1"/>
    <col min="7426" max="7426" width="14.7109375" style="163" customWidth="1"/>
    <col min="7427" max="7427" width="11.7109375" style="163" customWidth="1"/>
    <col min="7428" max="7429" width="14.7109375" style="163" customWidth="1"/>
    <col min="7430" max="7430" width="0.7109375" style="163" customWidth="1"/>
    <col min="7431" max="7431" width="14.7109375" style="163" customWidth="1"/>
    <col min="7432" max="7432" width="11.7109375" style="163" customWidth="1"/>
    <col min="7433" max="7434" width="14.7109375" style="163" customWidth="1"/>
    <col min="7435" max="7435" width="12" style="163" customWidth="1"/>
    <col min="7436" max="7436" width="13.5703125" style="163" customWidth="1"/>
    <col min="7437" max="7669" width="9.140625" style="163"/>
    <col min="7670" max="7670" width="14" style="163" customWidth="1"/>
    <col min="7671" max="7671" width="34.28515625" style="163" customWidth="1"/>
    <col min="7672" max="7672" width="0.7109375" style="163" customWidth="1"/>
    <col min="7673" max="7673" width="14.7109375" style="163" customWidth="1"/>
    <col min="7674" max="7674" width="11.7109375" style="163" customWidth="1"/>
    <col min="7675" max="7675" width="14.7109375" style="163" customWidth="1"/>
    <col min="7676" max="7676" width="0.7109375" style="163" customWidth="1"/>
    <col min="7677" max="7677" width="14.7109375" style="163" customWidth="1"/>
    <col min="7678" max="7678" width="11.7109375" style="163" customWidth="1"/>
    <col min="7679" max="7680" width="14.7109375" style="163" customWidth="1"/>
    <col min="7681" max="7681" width="0.7109375" style="163" customWidth="1"/>
    <col min="7682" max="7682" width="14.7109375" style="163" customWidth="1"/>
    <col min="7683" max="7683" width="11.7109375" style="163" customWidth="1"/>
    <col min="7684" max="7685" width="14.7109375" style="163" customWidth="1"/>
    <col min="7686" max="7686" width="0.7109375" style="163" customWidth="1"/>
    <col min="7687" max="7687" width="14.7109375" style="163" customWidth="1"/>
    <col min="7688" max="7688" width="11.7109375" style="163" customWidth="1"/>
    <col min="7689" max="7690" width="14.7109375" style="163" customWidth="1"/>
    <col min="7691" max="7691" width="12" style="163" customWidth="1"/>
    <col min="7692" max="7692" width="13.5703125" style="163" customWidth="1"/>
    <col min="7693" max="7925" width="9.140625" style="163"/>
    <col min="7926" max="7926" width="14" style="163" customWidth="1"/>
    <col min="7927" max="7927" width="34.28515625" style="163" customWidth="1"/>
    <col min="7928" max="7928" width="0.7109375" style="163" customWidth="1"/>
    <col min="7929" max="7929" width="14.7109375" style="163" customWidth="1"/>
    <col min="7930" max="7930" width="11.7109375" style="163" customWidth="1"/>
    <col min="7931" max="7931" width="14.7109375" style="163" customWidth="1"/>
    <col min="7932" max="7932" width="0.7109375" style="163" customWidth="1"/>
    <col min="7933" max="7933" width="14.7109375" style="163" customWidth="1"/>
    <col min="7934" max="7934" width="11.7109375" style="163" customWidth="1"/>
    <col min="7935" max="7936" width="14.7109375" style="163" customWidth="1"/>
    <col min="7937" max="7937" width="0.7109375" style="163" customWidth="1"/>
    <col min="7938" max="7938" width="14.7109375" style="163" customWidth="1"/>
    <col min="7939" max="7939" width="11.7109375" style="163" customWidth="1"/>
    <col min="7940" max="7941" width="14.7109375" style="163" customWidth="1"/>
    <col min="7942" max="7942" width="0.7109375" style="163" customWidth="1"/>
    <col min="7943" max="7943" width="14.7109375" style="163" customWidth="1"/>
    <col min="7944" max="7944" width="11.7109375" style="163" customWidth="1"/>
    <col min="7945" max="7946" width="14.7109375" style="163" customWidth="1"/>
    <col min="7947" max="7947" width="12" style="163" customWidth="1"/>
    <col min="7948" max="7948" width="13.5703125" style="163" customWidth="1"/>
    <col min="7949" max="8181" width="9.140625" style="163"/>
    <col min="8182" max="8182" width="14" style="163" customWidth="1"/>
    <col min="8183" max="8183" width="34.28515625" style="163" customWidth="1"/>
    <col min="8184" max="8184" width="0.7109375" style="163" customWidth="1"/>
    <col min="8185" max="8185" width="14.7109375" style="163" customWidth="1"/>
    <col min="8186" max="8186" width="11.7109375" style="163" customWidth="1"/>
    <col min="8187" max="8187" width="14.7109375" style="163" customWidth="1"/>
    <col min="8188" max="8188" width="0.7109375" style="163" customWidth="1"/>
    <col min="8189" max="8189" width="14.7109375" style="163" customWidth="1"/>
    <col min="8190" max="8190" width="11.7109375" style="163" customWidth="1"/>
    <col min="8191" max="8192" width="14.7109375" style="163" customWidth="1"/>
    <col min="8193" max="8193" width="0.7109375" style="163" customWidth="1"/>
    <col min="8194" max="8194" width="14.7109375" style="163" customWidth="1"/>
    <col min="8195" max="8195" width="11.7109375" style="163" customWidth="1"/>
    <col min="8196" max="8197" width="14.7109375" style="163" customWidth="1"/>
    <col min="8198" max="8198" width="0.7109375" style="163" customWidth="1"/>
    <col min="8199" max="8199" width="14.7109375" style="163" customWidth="1"/>
    <col min="8200" max="8200" width="11.7109375" style="163" customWidth="1"/>
    <col min="8201" max="8202" width="14.7109375" style="163" customWidth="1"/>
    <col min="8203" max="8203" width="12" style="163" customWidth="1"/>
    <col min="8204" max="8204" width="13.5703125" style="163" customWidth="1"/>
    <col min="8205" max="8437" width="9.140625" style="163"/>
    <col min="8438" max="8438" width="14" style="163" customWidth="1"/>
    <col min="8439" max="8439" width="34.28515625" style="163" customWidth="1"/>
    <col min="8440" max="8440" width="0.7109375" style="163" customWidth="1"/>
    <col min="8441" max="8441" width="14.7109375" style="163" customWidth="1"/>
    <col min="8442" max="8442" width="11.7109375" style="163" customWidth="1"/>
    <col min="8443" max="8443" width="14.7109375" style="163" customWidth="1"/>
    <col min="8444" max="8444" width="0.7109375" style="163" customWidth="1"/>
    <col min="8445" max="8445" width="14.7109375" style="163" customWidth="1"/>
    <col min="8446" max="8446" width="11.7109375" style="163" customWidth="1"/>
    <col min="8447" max="8448" width="14.7109375" style="163" customWidth="1"/>
    <col min="8449" max="8449" width="0.7109375" style="163" customWidth="1"/>
    <col min="8450" max="8450" width="14.7109375" style="163" customWidth="1"/>
    <col min="8451" max="8451" width="11.7109375" style="163" customWidth="1"/>
    <col min="8452" max="8453" width="14.7109375" style="163" customWidth="1"/>
    <col min="8454" max="8454" width="0.7109375" style="163" customWidth="1"/>
    <col min="8455" max="8455" width="14.7109375" style="163" customWidth="1"/>
    <col min="8456" max="8456" width="11.7109375" style="163" customWidth="1"/>
    <col min="8457" max="8458" width="14.7109375" style="163" customWidth="1"/>
    <col min="8459" max="8459" width="12" style="163" customWidth="1"/>
    <col min="8460" max="8460" width="13.5703125" style="163" customWidth="1"/>
    <col min="8461" max="8693" width="9.140625" style="163"/>
    <col min="8694" max="8694" width="14" style="163" customWidth="1"/>
    <col min="8695" max="8695" width="34.28515625" style="163" customWidth="1"/>
    <col min="8696" max="8696" width="0.7109375" style="163" customWidth="1"/>
    <col min="8697" max="8697" width="14.7109375" style="163" customWidth="1"/>
    <col min="8698" max="8698" width="11.7109375" style="163" customWidth="1"/>
    <col min="8699" max="8699" width="14.7109375" style="163" customWidth="1"/>
    <col min="8700" max="8700" width="0.7109375" style="163" customWidth="1"/>
    <col min="8701" max="8701" width="14.7109375" style="163" customWidth="1"/>
    <col min="8702" max="8702" width="11.7109375" style="163" customWidth="1"/>
    <col min="8703" max="8704" width="14.7109375" style="163" customWidth="1"/>
    <col min="8705" max="8705" width="0.7109375" style="163" customWidth="1"/>
    <col min="8706" max="8706" width="14.7109375" style="163" customWidth="1"/>
    <col min="8707" max="8707" width="11.7109375" style="163" customWidth="1"/>
    <col min="8708" max="8709" width="14.7109375" style="163" customWidth="1"/>
    <col min="8710" max="8710" width="0.7109375" style="163" customWidth="1"/>
    <col min="8711" max="8711" width="14.7109375" style="163" customWidth="1"/>
    <col min="8712" max="8712" width="11.7109375" style="163" customWidth="1"/>
    <col min="8713" max="8714" width="14.7109375" style="163" customWidth="1"/>
    <col min="8715" max="8715" width="12" style="163" customWidth="1"/>
    <col min="8716" max="8716" width="13.5703125" style="163" customWidth="1"/>
    <col min="8717" max="8949" width="9.140625" style="163"/>
    <col min="8950" max="8950" width="14" style="163" customWidth="1"/>
    <col min="8951" max="8951" width="34.28515625" style="163" customWidth="1"/>
    <col min="8952" max="8952" width="0.7109375" style="163" customWidth="1"/>
    <col min="8953" max="8953" width="14.7109375" style="163" customWidth="1"/>
    <col min="8954" max="8954" width="11.7109375" style="163" customWidth="1"/>
    <col min="8955" max="8955" width="14.7109375" style="163" customWidth="1"/>
    <col min="8956" max="8956" width="0.7109375" style="163" customWidth="1"/>
    <col min="8957" max="8957" width="14.7109375" style="163" customWidth="1"/>
    <col min="8958" max="8958" width="11.7109375" style="163" customWidth="1"/>
    <col min="8959" max="8960" width="14.7109375" style="163" customWidth="1"/>
    <col min="8961" max="8961" width="0.7109375" style="163" customWidth="1"/>
    <col min="8962" max="8962" width="14.7109375" style="163" customWidth="1"/>
    <col min="8963" max="8963" width="11.7109375" style="163" customWidth="1"/>
    <col min="8964" max="8965" width="14.7109375" style="163" customWidth="1"/>
    <col min="8966" max="8966" width="0.7109375" style="163" customWidth="1"/>
    <col min="8967" max="8967" width="14.7109375" style="163" customWidth="1"/>
    <col min="8968" max="8968" width="11.7109375" style="163" customWidth="1"/>
    <col min="8969" max="8970" width="14.7109375" style="163" customWidth="1"/>
    <col min="8971" max="8971" width="12" style="163" customWidth="1"/>
    <col min="8972" max="8972" width="13.5703125" style="163" customWidth="1"/>
    <col min="8973" max="9205" width="9.140625" style="163"/>
    <col min="9206" max="9206" width="14" style="163" customWidth="1"/>
    <col min="9207" max="9207" width="34.28515625" style="163" customWidth="1"/>
    <col min="9208" max="9208" width="0.7109375" style="163" customWidth="1"/>
    <col min="9209" max="9209" width="14.7109375" style="163" customWidth="1"/>
    <col min="9210" max="9210" width="11.7109375" style="163" customWidth="1"/>
    <col min="9211" max="9211" width="14.7109375" style="163" customWidth="1"/>
    <col min="9212" max="9212" width="0.7109375" style="163" customWidth="1"/>
    <col min="9213" max="9213" width="14.7109375" style="163" customWidth="1"/>
    <col min="9214" max="9214" width="11.7109375" style="163" customWidth="1"/>
    <col min="9215" max="9216" width="14.7109375" style="163" customWidth="1"/>
    <col min="9217" max="9217" width="0.7109375" style="163" customWidth="1"/>
    <col min="9218" max="9218" width="14.7109375" style="163" customWidth="1"/>
    <col min="9219" max="9219" width="11.7109375" style="163" customWidth="1"/>
    <col min="9220" max="9221" width="14.7109375" style="163" customWidth="1"/>
    <col min="9222" max="9222" width="0.7109375" style="163" customWidth="1"/>
    <col min="9223" max="9223" width="14.7109375" style="163" customWidth="1"/>
    <col min="9224" max="9224" width="11.7109375" style="163" customWidth="1"/>
    <col min="9225" max="9226" width="14.7109375" style="163" customWidth="1"/>
    <col min="9227" max="9227" width="12" style="163" customWidth="1"/>
    <col min="9228" max="9228" width="13.5703125" style="163" customWidth="1"/>
    <col min="9229" max="9461" width="9.140625" style="163"/>
    <col min="9462" max="9462" width="14" style="163" customWidth="1"/>
    <col min="9463" max="9463" width="34.28515625" style="163" customWidth="1"/>
    <col min="9464" max="9464" width="0.7109375" style="163" customWidth="1"/>
    <col min="9465" max="9465" width="14.7109375" style="163" customWidth="1"/>
    <col min="9466" max="9466" width="11.7109375" style="163" customWidth="1"/>
    <col min="9467" max="9467" width="14.7109375" style="163" customWidth="1"/>
    <col min="9468" max="9468" width="0.7109375" style="163" customWidth="1"/>
    <col min="9469" max="9469" width="14.7109375" style="163" customWidth="1"/>
    <col min="9470" max="9470" width="11.7109375" style="163" customWidth="1"/>
    <col min="9471" max="9472" width="14.7109375" style="163" customWidth="1"/>
    <col min="9473" max="9473" width="0.7109375" style="163" customWidth="1"/>
    <col min="9474" max="9474" width="14.7109375" style="163" customWidth="1"/>
    <col min="9475" max="9475" width="11.7109375" style="163" customWidth="1"/>
    <col min="9476" max="9477" width="14.7109375" style="163" customWidth="1"/>
    <col min="9478" max="9478" width="0.7109375" style="163" customWidth="1"/>
    <col min="9479" max="9479" width="14.7109375" style="163" customWidth="1"/>
    <col min="9480" max="9480" width="11.7109375" style="163" customWidth="1"/>
    <col min="9481" max="9482" width="14.7109375" style="163" customWidth="1"/>
    <col min="9483" max="9483" width="12" style="163" customWidth="1"/>
    <col min="9484" max="9484" width="13.5703125" style="163" customWidth="1"/>
    <col min="9485" max="9717" width="9.140625" style="163"/>
    <col min="9718" max="9718" width="14" style="163" customWidth="1"/>
    <col min="9719" max="9719" width="34.28515625" style="163" customWidth="1"/>
    <col min="9720" max="9720" width="0.7109375" style="163" customWidth="1"/>
    <col min="9721" max="9721" width="14.7109375" style="163" customWidth="1"/>
    <col min="9722" max="9722" width="11.7109375" style="163" customWidth="1"/>
    <col min="9723" max="9723" width="14.7109375" style="163" customWidth="1"/>
    <col min="9724" max="9724" width="0.7109375" style="163" customWidth="1"/>
    <col min="9725" max="9725" width="14.7109375" style="163" customWidth="1"/>
    <col min="9726" max="9726" width="11.7109375" style="163" customWidth="1"/>
    <col min="9727" max="9728" width="14.7109375" style="163" customWidth="1"/>
    <col min="9729" max="9729" width="0.7109375" style="163" customWidth="1"/>
    <col min="9730" max="9730" width="14.7109375" style="163" customWidth="1"/>
    <col min="9731" max="9731" width="11.7109375" style="163" customWidth="1"/>
    <col min="9732" max="9733" width="14.7109375" style="163" customWidth="1"/>
    <col min="9734" max="9734" width="0.7109375" style="163" customWidth="1"/>
    <col min="9735" max="9735" width="14.7109375" style="163" customWidth="1"/>
    <col min="9736" max="9736" width="11.7109375" style="163" customWidth="1"/>
    <col min="9737" max="9738" width="14.7109375" style="163" customWidth="1"/>
    <col min="9739" max="9739" width="12" style="163" customWidth="1"/>
    <col min="9740" max="9740" width="13.5703125" style="163" customWidth="1"/>
    <col min="9741" max="9973" width="9.140625" style="163"/>
    <col min="9974" max="9974" width="14" style="163" customWidth="1"/>
    <col min="9975" max="9975" width="34.28515625" style="163" customWidth="1"/>
    <col min="9976" max="9976" width="0.7109375" style="163" customWidth="1"/>
    <col min="9977" max="9977" width="14.7109375" style="163" customWidth="1"/>
    <col min="9978" max="9978" width="11.7109375" style="163" customWidth="1"/>
    <col min="9979" max="9979" width="14.7109375" style="163" customWidth="1"/>
    <col min="9980" max="9980" width="0.7109375" style="163" customWidth="1"/>
    <col min="9981" max="9981" width="14.7109375" style="163" customWidth="1"/>
    <col min="9982" max="9982" width="11.7109375" style="163" customWidth="1"/>
    <col min="9983" max="9984" width="14.7109375" style="163" customWidth="1"/>
    <col min="9985" max="9985" width="0.7109375" style="163" customWidth="1"/>
    <col min="9986" max="9986" width="14.7109375" style="163" customWidth="1"/>
    <col min="9987" max="9987" width="11.7109375" style="163" customWidth="1"/>
    <col min="9988" max="9989" width="14.7109375" style="163" customWidth="1"/>
    <col min="9990" max="9990" width="0.7109375" style="163" customWidth="1"/>
    <col min="9991" max="9991" width="14.7109375" style="163" customWidth="1"/>
    <col min="9992" max="9992" width="11.7109375" style="163" customWidth="1"/>
    <col min="9993" max="9994" width="14.7109375" style="163" customWidth="1"/>
    <col min="9995" max="9995" width="12" style="163" customWidth="1"/>
    <col min="9996" max="9996" width="13.5703125" style="163" customWidth="1"/>
    <col min="9997" max="10229" width="9.140625" style="163"/>
    <col min="10230" max="10230" width="14" style="163" customWidth="1"/>
    <col min="10231" max="10231" width="34.28515625" style="163" customWidth="1"/>
    <col min="10232" max="10232" width="0.7109375" style="163" customWidth="1"/>
    <col min="10233" max="10233" width="14.7109375" style="163" customWidth="1"/>
    <col min="10234" max="10234" width="11.7109375" style="163" customWidth="1"/>
    <col min="10235" max="10235" width="14.7109375" style="163" customWidth="1"/>
    <col min="10236" max="10236" width="0.7109375" style="163" customWidth="1"/>
    <col min="10237" max="10237" width="14.7109375" style="163" customWidth="1"/>
    <col min="10238" max="10238" width="11.7109375" style="163" customWidth="1"/>
    <col min="10239" max="10240" width="14.7109375" style="163" customWidth="1"/>
    <col min="10241" max="10241" width="0.7109375" style="163" customWidth="1"/>
    <col min="10242" max="10242" width="14.7109375" style="163" customWidth="1"/>
    <col min="10243" max="10243" width="11.7109375" style="163" customWidth="1"/>
    <col min="10244" max="10245" width="14.7109375" style="163" customWidth="1"/>
    <col min="10246" max="10246" width="0.7109375" style="163" customWidth="1"/>
    <col min="10247" max="10247" width="14.7109375" style="163" customWidth="1"/>
    <col min="10248" max="10248" width="11.7109375" style="163" customWidth="1"/>
    <col min="10249" max="10250" width="14.7109375" style="163" customWidth="1"/>
    <col min="10251" max="10251" width="12" style="163" customWidth="1"/>
    <col min="10252" max="10252" width="13.5703125" style="163" customWidth="1"/>
    <col min="10253" max="10485" width="9.140625" style="163"/>
    <col min="10486" max="10486" width="14" style="163" customWidth="1"/>
    <col min="10487" max="10487" width="34.28515625" style="163" customWidth="1"/>
    <col min="10488" max="10488" width="0.7109375" style="163" customWidth="1"/>
    <col min="10489" max="10489" width="14.7109375" style="163" customWidth="1"/>
    <col min="10490" max="10490" width="11.7109375" style="163" customWidth="1"/>
    <col min="10491" max="10491" width="14.7109375" style="163" customWidth="1"/>
    <col min="10492" max="10492" width="0.7109375" style="163" customWidth="1"/>
    <col min="10493" max="10493" width="14.7109375" style="163" customWidth="1"/>
    <col min="10494" max="10494" width="11.7109375" style="163" customWidth="1"/>
    <col min="10495" max="10496" width="14.7109375" style="163" customWidth="1"/>
    <col min="10497" max="10497" width="0.7109375" style="163" customWidth="1"/>
    <col min="10498" max="10498" width="14.7109375" style="163" customWidth="1"/>
    <col min="10499" max="10499" width="11.7109375" style="163" customWidth="1"/>
    <col min="10500" max="10501" width="14.7109375" style="163" customWidth="1"/>
    <col min="10502" max="10502" width="0.7109375" style="163" customWidth="1"/>
    <col min="10503" max="10503" width="14.7109375" style="163" customWidth="1"/>
    <col min="10504" max="10504" width="11.7109375" style="163" customWidth="1"/>
    <col min="10505" max="10506" width="14.7109375" style="163" customWidth="1"/>
    <col min="10507" max="10507" width="12" style="163" customWidth="1"/>
    <col min="10508" max="10508" width="13.5703125" style="163" customWidth="1"/>
    <col min="10509" max="10741" width="9.140625" style="163"/>
    <col min="10742" max="10742" width="14" style="163" customWidth="1"/>
    <col min="10743" max="10743" width="34.28515625" style="163" customWidth="1"/>
    <col min="10744" max="10744" width="0.7109375" style="163" customWidth="1"/>
    <col min="10745" max="10745" width="14.7109375" style="163" customWidth="1"/>
    <col min="10746" max="10746" width="11.7109375" style="163" customWidth="1"/>
    <col min="10747" max="10747" width="14.7109375" style="163" customWidth="1"/>
    <col min="10748" max="10748" width="0.7109375" style="163" customWidth="1"/>
    <col min="10749" max="10749" width="14.7109375" style="163" customWidth="1"/>
    <col min="10750" max="10750" width="11.7109375" style="163" customWidth="1"/>
    <col min="10751" max="10752" width="14.7109375" style="163" customWidth="1"/>
    <col min="10753" max="10753" width="0.7109375" style="163" customWidth="1"/>
    <col min="10754" max="10754" width="14.7109375" style="163" customWidth="1"/>
    <col min="10755" max="10755" width="11.7109375" style="163" customWidth="1"/>
    <col min="10756" max="10757" width="14.7109375" style="163" customWidth="1"/>
    <col min="10758" max="10758" width="0.7109375" style="163" customWidth="1"/>
    <col min="10759" max="10759" width="14.7109375" style="163" customWidth="1"/>
    <col min="10760" max="10760" width="11.7109375" style="163" customWidth="1"/>
    <col min="10761" max="10762" width="14.7109375" style="163" customWidth="1"/>
    <col min="10763" max="10763" width="12" style="163" customWidth="1"/>
    <col min="10764" max="10764" width="13.5703125" style="163" customWidth="1"/>
    <col min="10765" max="10997" width="9.140625" style="163"/>
    <col min="10998" max="10998" width="14" style="163" customWidth="1"/>
    <col min="10999" max="10999" width="34.28515625" style="163" customWidth="1"/>
    <col min="11000" max="11000" width="0.7109375" style="163" customWidth="1"/>
    <col min="11001" max="11001" width="14.7109375" style="163" customWidth="1"/>
    <col min="11002" max="11002" width="11.7109375" style="163" customWidth="1"/>
    <col min="11003" max="11003" width="14.7109375" style="163" customWidth="1"/>
    <col min="11004" max="11004" width="0.7109375" style="163" customWidth="1"/>
    <col min="11005" max="11005" width="14.7109375" style="163" customWidth="1"/>
    <col min="11006" max="11006" width="11.7109375" style="163" customWidth="1"/>
    <col min="11007" max="11008" width="14.7109375" style="163" customWidth="1"/>
    <col min="11009" max="11009" width="0.7109375" style="163" customWidth="1"/>
    <col min="11010" max="11010" width="14.7109375" style="163" customWidth="1"/>
    <col min="11011" max="11011" width="11.7109375" style="163" customWidth="1"/>
    <col min="11012" max="11013" width="14.7109375" style="163" customWidth="1"/>
    <col min="11014" max="11014" width="0.7109375" style="163" customWidth="1"/>
    <col min="11015" max="11015" width="14.7109375" style="163" customWidth="1"/>
    <col min="11016" max="11016" width="11.7109375" style="163" customWidth="1"/>
    <col min="11017" max="11018" width="14.7109375" style="163" customWidth="1"/>
    <col min="11019" max="11019" width="12" style="163" customWidth="1"/>
    <col min="11020" max="11020" width="13.5703125" style="163" customWidth="1"/>
    <col min="11021" max="11253" width="9.140625" style="163"/>
    <col min="11254" max="11254" width="14" style="163" customWidth="1"/>
    <col min="11255" max="11255" width="34.28515625" style="163" customWidth="1"/>
    <col min="11256" max="11256" width="0.7109375" style="163" customWidth="1"/>
    <col min="11257" max="11257" width="14.7109375" style="163" customWidth="1"/>
    <col min="11258" max="11258" width="11.7109375" style="163" customWidth="1"/>
    <col min="11259" max="11259" width="14.7109375" style="163" customWidth="1"/>
    <col min="11260" max="11260" width="0.7109375" style="163" customWidth="1"/>
    <col min="11261" max="11261" width="14.7109375" style="163" customWidth="1"/>
    <col min="11262" max="11262" width="11.7109375" style="163" customWidth="1"/>
    <col min="11263" max="11264" width="14.7109375" style="163" customWidth="1"/>
    <col min="11265" max="11265" width="0.7109375" style="163" customWidth="1"/>
    <col min="11266" max="11266" width="14.7109375" style="163" customWidth="1"/>
    <col min="11267" max="11267" width="11.7109375" style="163" customWidth="1"/>
    <col min="11268" max="11269" width="14.7109375" style="163" customWidth="1"/>
    <col min="11270" max="11270" width="0.7109375" style="163" customWidth="1"/>
    <col min="11271" max="11271" width="14.7109375" style="163" customWidth="1"/>
    <col min="11272" max="11272" width="11.7109375" style="163" customWidth="1"/>
    <col min="11273" max="11274" width="14.7109375" style="163" customWidth="1"/>
    <col min="11275" max="11275" width="12" style="163" customWidth="1"/>
    <col min="11276" max="11276" width="13.5703125" style="163" customWidth="1"/>
    <col min="11277" max="11509" width="9.140625" style="163"/>
    <col min="11510" max="11510" width="14" style="163" customWidth="1"/>
    <col min="11511" max="11511" width="34.28515625" style="163" customWidth="1"/>
    <col min="11512" max="11512" width="0.7109375" style="163" customWidth="1"/>
    <col min="11513" max="11513" width="14.7109375" style="163" customWidth="1"/>
    <col min="11514" max="11514" width="11.7109375" style="163" customWidth="1"/>
    <col min="11515" max="11515" width="14.7109375" style="163" customWidth="1"/>
    <col min="11516" max="11516" width="0.7109375" style="163" customWidth="1"/>
    <col min="11517" max="11517" width="14.7109375" style="163" customWidth="1"/>
    <col min="11518" max="11518" width="11.7109375" style="163" customWidth="1"/>
    <col min="11519" max="11520" width="14.7109375" style="163" customWidth="1"/>
    <col min="11521" max="11521" width="0.7109375" style="163" customWidth="1"/>
    <col min="11522" max="11522" width="14.7109375" style="163" customWidth="1"/>
    <col min="11523" max="11523" width="11.7109375" style="163" customWidth="1"/>
    <col min="11524" max="11525" width="14.7109375" style="163" customWidth="1"/>
    <col min="11526" max="11526" width="0.7109375" style="163" customWidth="1"/>
    <col min="11527" max="11527" width="14.7109375" style="163" customWidth="1"/>
    <col min="11528" max="11528" width="11.7109375" style="163" customWidth="1"/>
    <col min="11529" max="11530" width="14.7109375" style="163" customWidth="1"/>
    <col min="11531" max="11531" width="12" style="163" customWidth="1"/>
    <col min="11532" max="11532" width="13.5703125" style="163" customWidth="1"/>
    <col min="11533" max="11765" width="9.140625" style="163"/>
    <col min="11766" max="11766" width="14" style="163" customWidth="1"/>
    <col min="11767" max="11767" width="34.28515625" style="163" customWidth="1"/>
    <col min="11768" max="11768" width="0.7109375" style="163" customWidth="1"/>
    <col min="11769" max="11769" width="14.7109375" style="163" customWidth="1"/>
    <col min="11770" max="11770" width="11.7109375" style="163" customWidth="1"/>
    <col min="11771" max="11771" width="14.7109375" style="163" customWidth="1"/>
    <col min="11772" max="11772" width="0.7109375" style="163" customWidth="1"/>
    <col min="11773" max="11773" width="14.7109375" style="163" customWidth="1"/>
    <col min="11774" max="11774" width="11.7109375" style="163" customWidth="1"/>
    <col min="11775" max="11776" width="14.7109375" style="163" customWidth="1"/>
    <col min="11777" max="11777" width="0.7109375" style="163" customWidth="1"/>
    <col min="11778" max="11778" width="14.7109375" style="163" customWidth="1"/>
    <col min="11779" max="11779" width="11.7109375" style="163" customWidth="1"/>
    <col min="11780" max="11781" width="14.7109375" style="163" customWidth="1"/>
    <col min="11782" max="11782" width="0.7109375" style="163" customWidth="1"/>
    <col min="11783" max="11783" width="14.7109375" style="163" customWidth="1"/>
    <col min="11784" max="11784" width="11.7109375" style="163" customWidth="1"/>
    <col min="11785" max="11786" width="14.7109375" style="163" customWidth="1"/>
    <col min="11787" max="11787" width="12" style="163" customWidth="1"/>
    <col min="11788" max="11788" width="13.5703125" style="163" customWidth="1"/>
    <col min="11789" max="12021" width="9.140625" style="163"/>
    <col min="12022" max="12022" width="14" style="163" customWidth="1"/>
    <col min="12023" max="12023" width="34.28515625" style="163" customWidth="1"/>
    <col min="12024" max="12024" width="0.7109375" style="163" customWidth="1"/>
    <col min="12025" max="12025" width="14.7109375" style="163" customWidth="1"/>
    <col min="12026" max="12026" width="11.7109375" style="163" customWidth="1"/>
    <col min="12027" max="12027" width="14.7109375" style="163" customWidth="1"/>
    <col min="12028" max="12028" width="0.7109375" style="163" customWidth="1"/>
    <col min="12029" max="12029" width="14.7109375" style="163" customWidth="1"/>
    <col min="12030" max="12030" width="11.7109375" style="163" customWidth="1"/>
    <col min="12031" max="12032" width="14.7109375" style="163" customWidth="1"/>
    <col min="12033" max="12033" width="0.7109375" style="163" customWidth="1"/>
    <col min="12034" max="12034" width="14.7109375" style="163" customWidth="1"/>
    <col min="12035" max="12035" width="11.7109375" style="163" customWidth="1"/>
    <col min="12036" max="12037" width="14.7109375" style="163" customWidth="1"/>
    <col min="12038" max="12038" width="0.7109375" style="163" customWidth="1"/>
    <col min="12039" max="12039" width="14.7109375" style="163" customWidth="1"/>
    <col min="12040" max="12040" width="11.7109375" style="163" customWidth="1"/>
    <col min="12041" max="12042" width="14.7109375" style="163" customWidth="1"/>
    <col min="12043" max="12043" width="12" style="163" customWidth="1"/>
    <col min="12044" max="12044" width="13.5703125" style="163" customWidth="1"/>
    <col min="12045" max="12277" width="9.140625" style="163"/>
    <col min="12278" max="12278" width="14" style="163" customWidth="1"/>
    <col min="12279" max="12279" width="34.28515625" style="163" customWidth="1"/>
    <col min="12280" max="12280" width="0.7109375" style="163" customWidth="1"/>
    <col min="12281" max="12281" width="14.7109375" style="163" customWidth="1"/>
    <col min="12282" max="12282" width="11.7109375" style="163" customWidth="1"/>
    <col min="12283" max="12283" width="14.7109375" style="163" customWidth="1"/>
    <col min="12284" max="12284" width="0.7109375" style="163" customWidth="1"/>
    <col min="12285" max="12285" width="14.7109375" style="163" customWidth="1"/>
    <col min="12286" max="12286" width="11.7109375" style="163" customWidth="1"/>
    <col min="12287" max="12288" width="14.7109375" style="163" customWidth="1"/>
    <col min="12289" max="12289" width="0.7109375" style="163" customWidth="1"/>
    <col min="12290" max="12290" width="14.7109375" style="163" customWidth="1"/>
    <col min="12291" max="12291" width="11.7109375" style="163" customWidth="1"/>
    <col min="12292" max="12293" width="14.7109375" style="163" customWidth="1"/>
    <col min="12294" max="12294" width="0.7109375" style="163" customWidth="1"/>
    <col min="12295" max="12295" width="14.7109375" style="163" customWidth="1"/>
    <col min="12296" max="12296" width="11.7109375" style="163" customWidth="1"/>
    <col min="12297" max="12298" width="14.7109375" style="163" customWidth="1"/>
    <col min="12299" max="12299" width="12" style="163" customWidth="1"/>
    <col min="12300" max="12300" width="13.5703125" style="163" customWidth="1"/>
    <col min="12301" max="12533" width="9.140625" style="163"/>
    <col min="12534" max="12534" width="14" style="163" customWidth="1"/>
    <col min="12535" max="12535" width="34.28515625" style="163" customWidth="1"/>
    <col min="12536" max="12536" width="0.7109375" style="163" customWidth="1"/>
    <col min="12537" max="12537" width="14.7109375" style="163" customWidth="1"/>
    <col min="12538" max="12538" width="11.7109375" style="163" customWidth="1"/>
    <col min="12539" max="12539" width="14.7109375" style="163" customWidth="1"/>
    <col min="12540" max="12540" width="0.7109375" style="163" customWidth="1"/>
    <col min="12541" max="12541" width="14.7109375" style="163" customWidth="1"/>
    <col min="12542" max="12542" width="11.7109375" style="163" customWidth="1"/>
    <col min="12543" max="12544" width="14.7109375" style="163" customWidth="1"/>
    <col min="12545" max="12545" width="0.7109375" style="163" customWidth="1"/>
    <col min="12546" max="12546" width="14.7109375" style="163" customWidth="1"/>
    <col min="12547" max="12547" width="11.7109375" style="163" customWidth="1"/>
    <col min="12548" max="12549" width="14.7109375" style="163" customWidth="1"/>
    <col min="12550" max="12550" width="0.7109375" style="163" customWidth="1"/>
    <col min="12551" max="12551" width="14.7109375" style="163" customWidth="1"/>
    <col min="12552" max="12552" width="11.7109375" style="163" customWidth="1"/>
    <col min="12553" max="12554" width="14.7109375" style="163" customWidth="1"/>
    <col min="12555" max="12555" width="12" style="163" customWidth="1"/>
    <col min="12556" max="12556" width="13.5703125" style="163" customWidth="1"/>
    <col min="12557" max="12789" width="9.140625" style="163"/>
    <col min="12790" max="12790" width="14" style="163" customWidth="1"/>
    <col min="12791" max="12791" width="34.28515625" style="163" customWidth="1"/>
    <col min="12792" max="12792" width="0.7109375" style="163" customWidth="1"/>
    <col min="12793" max="12793" width="14.7109375" style="163" customWidth="1"/>
    <col min="12794" max="12794" width="11.7109375" style="163" customWidth="1"/>
    <col min="12795" max="12795" width="14.7109375" style="163" customWidth="1"/>
    <col min="12796" max="12796" width="0.7109375" style="163" customWidth="1"/>
    <col min="12797" max="12797" width="14.7109375" style="163" customWidth="1"/>
    <col min="12798" max="12798" width="11.7109375" style="163" customWidth="1"/>
    <col min="12799" max="12800" width="14.7109375" style="163" customWidth="1"/>
    <col min="12801" max="12801" width="0.7109375" style="163" customWidth="1"/>
    <col min="12802" max="12802" width="14.7109375" style="163" customWidth="1"/>
    <col min="12803" max="12803" width="11.7109375" style="163" customWidth="1"/>
    <col min="12804" max="12805" width="14.7109375" style="163" customWidth="1"/>
    <col min="12806" max="12806" width="0.7109375" style="163" customWidth="1"/>
    <col min="12807" max="12807" width="14.7109375" style="163" customWidth="1"/>
    <col min="12808" max="12808" width="11.7109375" style="163" customWidth="1"/>
    <col min="12809" max="12810" width="14.7109375" style="163" customWidth="1"/>
    <col min="12811" max="12811" width="12" style="163" customWidth="1"/>
    <col min="12812" max="12812" width="13.5703125" style="163" customWidth="1"/>
    <col min="12813" max="13045" width="9.140625" style="163"/>
    <col min="13046" max="13046" width="14" style="163" customWidth="1"/>
    <col min="13047" max="13047" width="34.28515625" style="163" customWidth="1"/>
    <col min="13048" max="13048" width="0.7109375" style="163" customWidth="1"/>
    <col min="13049" max="13049" width="14.7109375" style="163" customWidth="1"/>
    <col min="13050" max="13050" width="11.7109375" style="163" customWidth="1"/>
    <col min="13051" max="13051" width="14.7109375" style="163" customWidth="1"/>
    <col min="13052" max="13052" width="0.7109375" style="163" customWidth="1"/>
    <col min="13053" max="13053" width="14.7109375" style="163" customWidth="1"/>
    <col min="13054" max="13054" width="11.7109375" style="163" customWidth="1"/>
    <col min="13055" max="13056" width="14.7109375" style="163" customWidth="1"/>
    <col min="13057" max="13057" width="0.7109375" style="163" customWidth="1"/>
    <col min="13058" max="13058" width="14.7109375" style="163" customWidth="1"/>
    <col min="13059" max="13059" width="11.7109375" style="163" customWidth="1"/>
    <col min="13060" max="13061" width="14.7109375" style="163" customWidth="1"/>
    <col min="13062" max="13062" width="0.7109375" style="163" customWidth="1"/>
    <col min="13063" max="13063" width="14.7109375" style="163" customWidth="1"/>
    <col min="13064" max="13064" width="11.7109375" style="163" customWidth="1"/>
    <col min="13065" max="13066" width="14.7109375" style="163" customWidth="1"/>
    <col min="13067" max="13067" width="12" style="163" customWidth="1"/>
    <col min="13068" max="13068" width="13.5703125" style="163" customWidth="1"/>
    <col min="13069" max="13301" width="9.140625" style="163"/>
    <col min="13302" max="13302" width="14" style="163" customWidth="1"/>
    <col min="13303" max="13303" width="34.28515625" style="163" customWidth="1"/>
    <col min="13304" max="13304" width="0.7109375" style="163" customWidth="1"/>
    <col min="13305" max="13305" width="14.7109375" style="163" customWidth="1"/>
    <col min="13306" max="13306" width="11.7109375" style="163" customWidth="1"/>
    <col min="13307" max="13307" width="14.7109375" style="163" customWidth="1"/>
    <col min="13308" max="13308" width="0.7109375" style="163" customWidth="1"/>
    <col min="13309" max="13309" width="14.7109375" style="163" customWidth="1"/>
    <col min="13310" max="13310" width="11.7109375" style="163" customWidth="1"/>
    <col min="13311" max="13312" width="14.7109375" style="163" customWidth="1"/>
    <col min="13313" max="13313" width="0.7109375" style="163" customWidth="1"/>
    <col min="13314" max="13314" width="14.7109375" style="163" customWidth="1"/>
    <col min="13315" max="13315" width="11.7109375" style="163" customWidth="1"/>
    <col min="13316" max="13317" width="14.7109375" style="163" customWidth="1"/>
    <col min="13318" max="13318" width="0.7109375" style="163" customWidth="1"/>
    <col min="13319" max="13319" width="14.7109375" style="163" customWidth="1"/>
    <col min="13320" max="13320" width="11.7109375" style="163" customWidth="1"/>
    <col min="13321" max="13322" width="14.7109375" style="163" customWidth="1"/>
    <col min="13323" max="13323" width="12" style="163" customWidth="1"/>
    <col min="13324" max="13324" width="13.5703125" style="163" customWidth="1"/>
    <col min="13325" max="13557" width="9.140625" style="163"/>
    <col min="13558" max="13558" width="14" style="163" customWidth="1"/>
    <col min="13559" max="13559" width="34.28515625" style="163" customWidth="1"/>
    <col min="13560" max="13560" width="0.7109375" style="163" customWidth="1"/>
    <col min="13561" max="13561" width="14.7109375" style="163" customWidth="1"/>
    <col min="13562" max="13562" width="11.7109375" style="163" customWidth="1"/>
    <col min="13563" max="13563" width="14.7109375" style="163" customWidth="1"/>
    <col min="13564" max="13564" width="0.7109375" style="163" customWidth="1"/>
    <col min="13565" max="13565" width="14.7109375" style="163" customWidth="1"/>
    <col min="13566" max="13566" width="11.7109375" style="163" customWidth="1"/>
    <col min="13567" max="13568" width="14.7109375" style="163" customWidth="1"/>
    <col min="13569" max="13569" width="0.7109375" style="163" customWidth="1"/>
    <col min="13570" max="13570" width="14.7109375" style="163" customWidth="1"/>
    <col min="13571" max="13571" width="11.7109375" style="163" customWidth="1"/>
    <col min="13572" max="13573" width="14.7109375" style="163" customWidth="1"/>
    <col min="13574" max="13574" width="0.7109375" style="163" customWidth="1"/>
    <col min="13575" max="13575" width="14.7109375" style="163" customWidth="1"/>
    <col min="13576" max="13576" width="11.7109375" style="163" customWidth="1"/>
    <col min="13577" max="13578" width="14.7109375" style="163" customWidth="1"/>
    <col min="13579" max="13579" width="12" style="163" customWidth="1"/>
    <col min="13580" max="13580" width="13.5703125" style="163" customWidth="1"/>
    <col min="13581" max="13813" width="9.140625" style="163"/>
    <col min="13814" max="13814" width="14" style="163" customWidth="1"/>
    <col min="13815" max="13815" width="34.28515625" style="163" customWidth="1"/>
    <col min="13816" max="13816" width="0.7109375" style="163" customWidth="1"/>
    <col min="13817" max="13817" width="14.7109375" style="163" customWidth="1"/>
    <col min="13818" max="13818" width="11.7109375" style="163" customWidth="1"/>
    <col min="13819" max="13819" width="14.7109375" style="163" customWidth="1"/>
    <col min="13820" max="13820" width="0.7109375" style="163" customWidth="1"/>
    <col min="13821" max="13821" width="14.7109375" style="163" customWidth="1"/>
    <col min="13822" max="13822" width="11.7109375" style="163" customWidth="1"/>
    <col min="13823" max="13824" width="14.7109375" style="163" customWidth="1"/>
    <col min="13825" max="13825" width="0.7109375" style="163" customWidth="1"/>
    <col min="13826" max="13826" width="14.7109375" style="163" customWidth="1"/>
    <col min="13827" max="13827" width="11.7109375" style="163" customWidth="1"/>
    <col min="13828" max="13829" width="14.7109375" style="163" customWidth="1"/>
    <col min="13830" max="13830" width="0.7109375" style="163" customWidth="1"/>
    <col min="13831" max="13831" width="14.7109375" style="163" customWidth="1"/>
    <col min="13832" max="13832" width="11.7109375" style="163" customWidth="1"/>
    <col min="13833" max="13834" width="14.7109375" style="163" customWidth="1"/>
    <col min="13835" max="13835" width="12" style="163" customWidth="1"/>
    <col min="13836" max="13836" width="13.5703125" style="163" customWidth="1"/>
    <col min="13837" max="14069" width="9.140625" style="163"/>
    <col min="14070" max="14070" width="14" style="163" customWidth="1"/>
    <col min="14071" max="14071" width="34.28515625" style="163" customWidth="1"/>
    <col min="14072" max="14072" width="0.7109375" style="163" customWidth="1"/>
    <col min="14073" max="14073" width="14.7109375" style="163" customWidth="1"/>
    <col min="14074" max="14074" width="11.7109375" style="163" customWidth="1"/>
    <col min="14075" max="14075" width="14.7109375" style="163" customWidth="1"/>
    <col min="14076" max="14076" width="0.7109375" style="163" customWidth="1"/>
    <col min="14077" max="14077" width="14.7109375" style="163" customWidth="1"/>
    <col min="14078" max="14078" width="11.7109375" style="163" customWidth="1"/>
    <col min="14079" max="14080" width="14.7109375" style="163" customWidth="1"/>
    <col min="14081" max="14081" width="0.7109375" style="163" customWidth="1"/>
    <col min="14082" max="14082" width="14.7109375" style="163" customWidth="1"/>
    <col min="14083" max="14083" width="11.7109375" style="163" customWidth="1"/>
    <col min="14084" max="14085" width="14.7109375" style="163" customWidth="1"/>
    <col min="14086" max="14086" width="0.7109375" style="163" customWidth="1"/>
    <col min="14087" max="14087" width="14.7109375" style="163" customWidth="1"/>
    <col min="14088" max="14088" width="11.7109375" style="163" customWidth="1"/>
    <col min="14089" max="14090" width="14.7109375" style="163" customWidth="1"/>
    <col min="14091" max="14091" width="12" style="163" customWidth="1"/>
    <col min="14092" max="14092" width="13.5703125" style="163" customWidth="1"/>
    <col min="14093" max="14325" width="9.140625" style="163"/>
    <col min="14326" max="14326" width="14" style="163" customWidth="1"/>
    <col min="14327" max="14327" width="34.28515625" style="163" customWidth="1"/>
    <col min="14328" max="14328" width="0.7109375" style="163" customWidth="1"/>
    <col min="14329" max="14329" width="14.7109375" style="163" customWidth="1"/>
    <col min="14330" max="14330" width="11.7109375" style="163" customWidth="1"/>
    <col min="14331" max="14331" width="14.7109375" style="163" customWidth="1"/>
    <col min="14332" max="14332" width="0.7109375" style="163" customWidth="1"/>
    <col min="14333" max="14333" width="14.7109375" style="163" customWidth="1"/>
    <col min="14334" max="14334" width="11.7109375" style="163" customWidth="1"/>
    <col min="14335" max="14336" width="14.7109375" style="163" customWidth="1"/>
    <col min="14337" max="14337" width="0.7109375" style="163" customWidth="1"/>
    <col min="14338" max="14338" width="14.7109375" style="163" customWidth="1"/>
    <col min="14339" max="14339" width="11.7109375" style="163" customWidth="1"/>
    <col min="14340" max="14341" width="14.7109375" style="163" customWidth="1"/>
    <col min="14342" max="14342" width="0.7109375" style="163" customWidth="1"/>
    <col min="14343" max="14343" width="14.7109375" style="163" customWidth="1"/>
    <col min="14344" max="14344" width="11.7109375" style="163" customWidth="1"/>
    <col min="14345" max="14346" width="14.7109375" style="163" customWidth="1"/>
    <col min="14347" max="14347" width="12" style="163" customWidth="1"/>
    <col min="14348" max="14348" width="13.5703125" style="163" customWidth="1"/>
    <col min="14349" max="14581" width="9.140625" style="163"/>
    <col min="14582" max="14582" width="14" style="163" customWidth="1"/>
    <col min="14583" max="14583" width="34.28515625" style="163" customWidth="1"/>
    <col min="14584" max="14584" width="0.7109375" style="163" customWidth="1"/>
    <col min="14585" max="14585" width="14.7109375" style="163" customWidth="1"/>
    <col min="14586" max="14586" width="11.7109375" style="163" customWidth="1"/>
    <col min="14587" max="14587" width="14.7109375" style="163" customWidth="1"/>
    <col min="14588" max="14588" width="0.7109375" style="163" customWidth="1"/>
    <col min="14589" max="14589" width="14.7109375" style="163" customWidth="1"/>
    <col min="14590" max="14590" width="11.7109375" style="163" customWidth="1"/>
    <col min="14591" max="14592" width="14.7109375" style="163" customWidth="1"/>
    <col min="14593" max="14593" width="0.7109375" style="163" customWidth="1"/>
    <col min="14594" max="14594" width="14.7109375" style="163" customWidth="1"/>
    <col min="14595" max="14595" width="11.7109375" style="163" customWidth="1"/>
    <col min="14596" max="14597" width="14.7109375" style="163" customWidth="1"/>
    <col min="14598" max="14598" width="0.7109375" style="163" customWidth="1"/>
    <col min="14599" max="14599" width="14.7109375" style="163" customWidth="1"/>
    <col min="14600" max="14600" width="11.7109375" style="163" customWidth="1"/>
    <col min="14601" max="14602" width="14.7109375" style="163" customWidth="1"/>
    <col min="14603" max="14603" width="12" style="163" customWidth="1"/>
    <col min="14604" max="14604" width="13.5703125" style="163" customWidth="1"/>
    <col min="14605" max="14837" width="9.140625" style="163"/>
    <col min="14838" max="14838" width="14" style="163" customWidth="1"/>
    <col min="14839" max="14839" width="34.28515625" style="163" customWidth="1"/>
    <col min="14840" max="14840" width="0.7109375" style="163" customWidth="1"/>
    <col min="14841" max="14841" width="14.7109375" style="163" customWidth="1"/>
    <col min="14842" max="14842" width="11.7109375" style="163" customWidth="1"/>
    <col min="14843" max="14843" width="14.7109375" style="163" customWidth="1"/>
    <col min="14844" max="14844" width="0.7109375" style="163" customWidth="1"/>
    <col min="14845" max="14845" width="14.7109375" style="163" customWidth="1"/>
    <col min="14846" max="14846" width="11.7109375" style="163" customWidth="1"/>
    <col min="14847" max="14848" width="14.7109375" style="163" customWidth="1"/>
    <col min="14849" max="14849" width="0.7109375" style="163" customWidth="1"/>
    <col min="14850" max="14850" width="14.7109375" style="163" customWidth="1"/>
    <col min="14851" max="14851" width="11.7109375" style="163" customWidth="1"/>
    <col min="14852" max="14853" width="14.7109375" style="163" customWidth="1"/>
    <col min="14854" max="14854" width="0.7109375" style="163" customWidth="1"/>
    <col min="14855" max="14855" width="14.7109375" style="163" customWidth="1"/>
    <col min="14856" max="14856" width="11.7109375" style="163" customWidth="1"/>
    <col min="14857" max="14858" width="14.7109375" style="163" customWidth="1"/>
    <col min="14859" max="14859" width="12" style="163" customWidth="1"/>
    <col min="14860" max="14860" width="13.5703125" style="163" customWidth="1"/>
    <col min="14861" max="15093" width="9.140625" style="163"/>
    <col min="15094" max="15094" width="14" style="163" customWidth="1"/>
    <col min="15095" max="15095" width="34.28515625" style="163" customWidth="1"/>
    <col min="15096" max="15096" width="0.7109375" style="163" customWidth="1"/>
    <col min="15097" max="15097" width="14.7109375" style="163" customWidth="1"/>
    <col min="15098" max="15098" width="11.7109375" style="163" customWidth="1"/>
    <col min="15099" max="15099" width="14.7109375" style="163" customWidth="1"/>
    <col min="15100" max="15100" width="0.7109375" style="163" customWidth="1"/>
    <col min="15101" max="15101" width="14.7109375" style="163" customWidth="1"/>
    <col min="15102" max="15102" width="11.7109375" style="163" customWidth="1"/>
    <col min="15103" max="15104" width="14.7109375" style="163" customWidth="1"/>
    <col min="15105" max="15105" width="0.7109375" style="163" customWidth="1"/>
    <col min="15106" max="15106" width="14.7109375" style="163" customWidth="1"/>
    <col min="15107" max="15107" width="11.7109375" style="163" customWidth="1"/>
    <col min="15108" max="15109" width="14.7109375" style="163" customWidth="1"/>
    <col min="15110" max="15110" width="0.7109375" style="163" customWidth="1"/>
    <col min="15111" max="15111" width="14.7109375" style="163" customWidth="1"/>
    <col min="15112" max="15112" width="11.7109375" style="163" customWidth="1"/>
    <col min="15113" max="15114" width="14.7109375" style="163" customWidth="1"/>
    <col min="15115" max="15115" width="12" style="163" customWidth="1"/>
    <col min="15116" max="15116" width="13.5703125" style="163" customWidth="1"/>
    <col min="15117" max="15349" width="9.140625" style="163"/>
    <col min="15350" max="15350" width="14" style="163" customWidth="1"/>
    <col min="15351" max="15351" width="34.28515625" style="163" customWidth="1"/>
    <col min="15352" max="15352" width="0.7109375" style="163" customWidth="1"/>
    <col min="15353" max="15353" width="14.7109375" style="163" customWidth="1"/>
    <col min="15354" max="15354" width="11.7109375" style="163" customWidth="1"/>
    <col min="15355" max="15355" width="14.7109375" style="163" customWidth="1"/>
    <col min="15356" max="15356" width="0.7109375" style="163" customWidth="1"/>
    <col min="15357" max="15357" width="14.7109375" style="163" customWidth="1"/>
    <col min="15358" max="15358" width="11.7109375" style="163" customWidth="1"/>
    <col min="15359" max="15360" width="14.7109375" style="163" customWidth="1"/>
    <col min="15361" max="15361" width="0.7109375" style="163" customWidth="1"/>
    <col min="15362" max="15362" width="14.7109375" style="163" customWidth="1"/>
    <col min="15363" max="15363" width="11.7109375" style="163" customWidth="1"/>
    <col min="15364" max="15365" width="14.7109375" style="163" customWidth="1"/>
    <col min="15366" max="15366" width="0.7109375" style="163" customWidth="1"/>
    <col min="15367" max="15367" width="14.7109375" style="163" customWidth="1"/>
    <col min="15368" max="15368" width="11.7109375" style="163" customWidth="1"/>
    <col min="15369" max="15370" width="14.7109375" style="163" customWidth="1"/>
    <col min="15371" max="15371" width="12" style="163" customWidth="1"/>
    <col min="15372" max="15372" width="13.5703125" style="163" customWidth="1"/>
    <col min="15373" max="15605" width="9.140625" style="163"/>
    <col min="15606" max="15606" width="14" style="163" customWidth="1"/>
    <col min="15607" max="15607" width="34.28515625" style="163" customWidth="1"/>
    <col min="15608" max="15608" width="0.7109375" style="163" customWidth="1"/>
    <col min="15609" max="15609" width="14.7109375" style="163" customWidth="1"/>
    <col min="15610" max="15610" width="11.7109375" style="163" customWidth="1"/>
    <col min="15611" max="15611" width="14.7109375" style="163" customWidth="1"/>
    <col min="15612" max="15612" width="0.7109375" style="163" customWidth="1"/>
    <col min="15613" max="15613" width="14.7109375" style="163" customWidth="1"/>
    <col min="15614" max="15614" width="11.7109375" style="163" customWidth="1"/>
    <col min="15615" max="15616" width="14.7109375" style="163" customWidth="1"/>
    <col min="15617" max="15617" width="0.7109375" style="163" customWidth="1"/>
    <col min="15618" max="15618" width="14.7109375" style="163" customWidth="1"/>
    <col min="15619" max="15619" width="11.7109375" style="163" customWidth="1"/>
    <col min="15620" max="15621" width="14.7109375" style="163" customWidth="1"/>
    <col min="15622" max="15622" width="0.7109375" style="163" customWidth="1"/>
    <col min="15623" max="15623" width="14.7109375" style="163" customWidth="1"/>
    <col min="15624" max="15624" width="11.7109375" style="163" customWidth="1"/>
    <col min="15625" max="15626" width="14.7109375" style="163" customWidth="1"/>
    <col min="15627" max="15627" width="12" style="163" customWidth="1"/>
    <col min="15628" max="15628" width="13.5703125" style="163" customWidth="1"/>
    <col min="15629" max="15861" width="9.140625" style="163"/>
    <col min="15862" max="15862" width="14" style="163" customWidth="1"/>
    <col min="15863" max="15863" width="34.28515625" style="163" customWidth="1"/>
    <col min="15864" max="15864" width="0.7109375" style="163" customWidth="1"/>
    <col min="15865" max="15865" width="14.7109375" style="163" customWidth="1"/>
    <col min="15866" max="15866" width="11.7109375" style="163" customWidth="1"/>
    <col min="15867" max="15867" width="14.7109375" style="163" customWidth="1"/>
    <col min="15868" max="15868" width="0.7109375" style="163" customWidth="1"/>
    <col min="15869" max="15869" width="14.7109375" style="163" customWidth="1"/>
    <col min="15870" max="15870" width="11.7109375" style="163" customWidth="1"/>
    <col min="15871" max="15872" width="14.7109375" style="163" customWidth="1"/>
    <col min="15873" max="15873" width="0.7109375" style="163" customWidth="1"/>
    <col min="15874" max="15874" width="14.7109375" style="163" customWidth="1"/>
    <col min="15875" max="15875" width="11.7109375" style="163" customWidth="1"/>
    <col min="15876" max="15877" width="14.7109375" style="163" customWidth="1"/>
    <col min="15878" max="15878" width="0.7109375" style="163" customWidth="1"/>
    <col min="15879" max="15879" width="14.7109375" style="163" customWidth="1"/>
    <col min="15880" max="15880" width="11.7109375" style="163" customWidth="1"/>
    <col min="15881" max="15882" width="14.7109375" style="163" customWidth="1"/>
    <col min="15883" max="15883" width="12" style="163" customWidth="1"/>
    <col min="15884" max="15884" width="13.5703125" style="163" customWidth="1"/>
    <col min="15885" max="16117" width="9.140625" style="163"/>
    <col min="16118" max="16118" width="14" style="163" customWidth="1"/>
    <col min="16119" max="16119" width="34.28515625" style="163" customWidth="1"/>
    <col min="16120" max="16120" width="0.7109375" style="163" customWidth="1"/>
    <col min="16121" max="16121" width="14.7109375" style="163" customWidth="1"/>
    <col min="16122" max="16122" width="11.7109375" style="163" customWidth="1"/>
    <col min="16123" max="16123" width="14.7109375" style="163" customWidth="1"/>
    <col min="16124" max="16124" width="0.7109375" style="163" customWidth="1"/>
    <col min="16125" max="16125" width="14.7109375" style="163" customWidth="1"/>
    <col min="16126" max="16126" width="11.7109375" style="163" customWidth="1"/>
    <col min="16127" max="16128" width="14.7109375" style="163" customWidth="1"/>
    <col min="16129" max="16129" width="0.7109375" style="163" customWidth="1"/>
    <col min="16130" max="16130" width="14.7109375" style="163" customWidth="1"/>
    <col min="16131" max="16131" width="11.7109375" style="163" customWidth="1"/>
    <col min="16132" max="16133" width="14.7109375" style="163" customWidth="1"/>
    <col min="16134" max="16134" width="0.7109375" style="163" customWidth="1"/>
    <col min="16135" max="16135" width="14.7109375" style="163" customWidth="1"/>
    <col min="16136" max="16136" width="11.7109375" style="163" customWidth="1"/>
    <col min="16137" max="16138" width="14.7109375" style="163" customWidth="1"/>
    <col min="16139" max="16139" width="12" style="163" customWidth="1"/>
    <col min="16140" max="16140" width="13.5703125" style="163" customWidth="1"/>
    <col min="16141" max="16384" width="9.140625" style="163"/>
  </cols>
  <sheetData>
    <row r="1" spans="1:12" ht="27" customHeight="1" x14ac:dyDescent="0.35">
      <c r="D1" s="866">
        <v>2016</v>
      </c>
      <c r="F1" s="866">
        <v>2017</v>
      </c>
      <c r="H1" s="866">
        <v>2018</v>
      </c>
      <c r="J1" s="866">
        <v>2019</v>
      </c>
    </row>
    <row r="2" spans="1:12" ht="28.5" customHeight="1" x14ac:dyDescent="0.2">
      <c r="A2" s="425" t="s">
        <v>272</v>
      </c>
      <c r="B2" s="162" t="s">
        <v>1</v>
      </c>
      <c r="D2" s="162" t="s">
        <v>2</v>
      </c>
      <c r="F2" s="162" t="s">
        <v>2</v>
      </c>
      <c r="H2" s="162" t="s">
        <v>2</v>
      </c>
      <c r="J2" s="162" t="s">
        <v>2</v>
      </c>
      <c r="K2" s="711" t="s">
        <v>340</v>
      </c>
      <c r="L2" s="711" t="s">
        <v>6</v>
      </c>
    </row>
    <row r="3" spans="1:12" ht="21" customHeight="1" x14ac:dyDescent="0.25">
      <c r="A3" s="165"/>
      <c r="B3" s="166" t="s">
        <v>7</v>
      </c>
      <c r="D3" s="167">
        <f>SUM(D4:D49)</f>
        <v>10204012.01</v>
      </c>
      <c r="F3" s="167">
        <f>SUM(F4:F49)</f>
        <v>14700000</v>
      </c>
      <c r="H3" s="167">
        <f>SUM(H4:H49)</f>
        <v>15399999.02</v>
      </c>
      <c r="J3" s="167">
        <f>SUM(J4:J49)</f>
        <v>16545163</v>
      </c>
      <c r="K3" s="612"/>
      <c r="L3" s="612"/>
    </row>
    <row r="4" spans="1:12" ht="15" customHeight="1" x14ac:dyDescent="0.2">
      <c r="A4" s="613">
        <v>580020998</v>
      </c>
      <c r="B4" s="614" t="s">
        <v>1960</v>
      </c>
      <c r="D4" s="236">
        <v>340145</v>
      </c>
      <c r="F4" s="236">
        <v>274462</v>
      </c>
      <c r="H4" s="236">
        <v>54892.01</v>
      </c>
      <c r="J4" s="236"/>
      <c r="K4" s="506" t="s">
        <v>53</v>
      </c>
      <c r="L4" s="506" t="s">
        <v>53</v>
      </c>
    </row>
    <row r="5" spans="1:12" ht="15" customHeight="1" x14ac:dyDescent="0.2">
      <c r="A5" s="613">
        <v>580099810</v>
      </c>
      <c r="B5" s="614" t="s">
        <v>1940</v>
      </c>
      <c r="D5" s="236">
        <v>306808</v>
      </c>
      <c r="F5" s="236">
        <v>500000</v>
      </c>
      <c r="H5" s="236">
        <v>495584</v>
      </c>
      <c r="J5" s="236">
        <v>500000</v>
      </c>
      <c r="K5" s="506" t="s">
        <v>1961</v>
      </c>
      <c r="L5" s="506" t="s">
        <v>12</v>
      </c>
    </row>
    <row r="6" spans="1:12" ht="15" customHeight="1" x14ac:dyDescent="0.2">
      <c r="A6" s="613">
        <v>580292167</v>
      </c>
      <c r="B6" s="614" t="s">
        <v>1943</v>
      </c>
      <c r="D6" s="236">
        <v>136777</v>
      </c>
      <c r="F6" s="236">
        <v>185447</v>
      </c>
      <c r="H6" s="236">
        <v>233216</v>
      </c>
      <c r="J6" s="236">
        <v>269200</v>
      </c>
      <c r="K6" s="506" t="s">
        <v>944</v>
      </c>
      <c r="L6" s="506" t="s">
        <v>136</v>
      </c>
    </row>
    <row r="7" spans="1:12" x14ac:dyDescent="0.2">
      <c r="A7" s="613">
        <v>580024560</v>
      </c>
      <c r="B7" s="614" t="s">
        <v>1941</v>
      </c>
      <c r="D7" s="236">
        <v>153419</v>
      </c>
      <c r="F7" s="236">
        <v>89015</v>
      </c>
      <c r="H7" s="236">
        <v>145760</v>
      </c>
      <c r="J7" s="236">
        <v>240863</v>
      </c>
      <c r="K7" s="506" t="s">
        <v>53</v>
      </c>
      <c r="L7" s="506" t="s">
        <v>53</v>
      </c>
    </row>
    <row r="8" spans="1:12" ht="17.100000000000001" customHeight="1" x14ac:dyDescent="0.2">
      <c r="A8" s="613">
        <v>510058738</v>
      </c>
      <c r="B8" s="614" t="s">
        <v>1962</v>
      </c>
      <c r="D8" s="236">
        <v>486997</v>
      </c>
      <c r="F8" s="236">
        <v>726953</v>
      </c>
      <c r="H8" s="236">
        <v>699648</v>
      </c>
      <c r="J8" s="236">
        <v>687168</v>
      </c>
      <c r="K8" s="506" t="s">
        <v>53</v>
      </c>
      <c r="L8" s="506" t="s">
        <v>53</v>
      </c>
    </row>
    <row r="9" spans="1:12" ht="17.100000000000001" customHeight="1" x14ac:dyDescent="0.2">
      <c r="A9" s="613">
        <v>580004059</v>
      </c>
      <c r="B9" s="614" t="s">
        <v>1953</v>
      </c>
      <c r="D9" s="236">
        <v>262979</v>
      </c>
      <c r="F9" s="236">
        <v>350000</v>
      </c>
      <c r="H9" s="236">
        <v>350000</v>
      </c>
      <c r="J9" s="236">
        <v>347126</v>
      </c>
      <c r="K9" s="506" t="s">
        <v>1963</v>
      </c>
      <c r="L9" s="506" t="s">
        <v>12</v>
      </c>
    </row>
    <row r="10" spans="1:12" ht="17.100000000000001" customHeight="1" x14ac:dyDescent="0.2">
      <c r="A10" s="613">
        <v>580228856</v>
      </c>
      <c r="B10" s="614" t="s">
        <v>1934</v>
      </c>
      <c r="D10" s="236">
        <v>228889</v>
      </c>
      <c r="F10" s="236">
        <v>300000</v>
      </c>
      <c r="H10" s="236">
        <v>300000</v>
      </c>
      <c r="J10" s="236">
        <v>300000</v>
      </c>
      <c r="K10" s="506" t="s">
        <v>1964</v>
      </c>
      <c r="L10" s="506" t="s">
        <v>282</v>
      </c>
    </row>
    <row r="11" spans="1:12" ht="17.100000000000001" customHeight="1" x14ac:dyDescent="0.2">
      <c r="A11" s="613">
        <v>580284800</v>
      </c>
      <c r="B11" s="614" t="s">
        <v>1932</v>
      </c>
      <c r="D11" s="236">
        <v>136359</v>
      </c>
      <c r="F11" s="236">
        <v>207701</v>
      </c>
      <c r="H11" s="236">
        <v>153048</v>
      </c>
      <c r="J11" s="236">
        <v>240863</v>
      </c>
      <c r="K11" s="506" t="s">
        <v>53</v>
      </c>
      <c r="L11" s="506" t="s">
        <v>53</v>
      </c>
    </row>
    <row r="12" spans="1:12" ht="17.100000000000001" customHeight="1" x14ac:dyDescent="0.2">
      <c r="A12" s="613">
        <v>580035236</v>
      </c>
      <c r="B12" s="614" t="s">
        <v>1955</v>
      </c>
      <c r="D12" s="236">
        <v>170449</v>
      </c>
      <c r="F12" s="236">
        <v>240000</v>
      </c>
      <c r="H12" s="236">
        <v>240000</v>
      </c>
      <c r="J12" s="236">
        <v>304621</v>
      </c>
      <c r="K12" s="506" t="s">
        <v>300</v>
      </c>
      <c r="L12" s="506" t="s">
        <v>282</v>
      </c>
    </row>
    <row r="13" spans="1:12" ht="25.5" x14ac:dyDescent="0.2">
      <c r="A13" s="613">
        <v>580111573</v>
      </c>
      <c r="B13" s="614" t="s">
        <v>1939</v>
      </c>
      <c r="D13" s="236">
        <v>258109</v>
      </c>
      <c r="F13" s="236">
        <v>380000</v>
      </c>
      <c r="H13" s="236">
        <v>466432</v>
      </c>
      <c r="J13" s="236">
        <v>495895</v>
      </c>
      <c r="K13" s="506" t="s">
        <v>53</v>
      </c>
      <c r="L13" s="506" t="s">
        <v>53</v>
      </c>
    </row>
    <row r="14" spans="1:12" ht="25.5" x14ac:dyDescent="0.2">
      <c r="A14" s="613">
        <v>580024503</v>
      </c>
      <c r="B14" s="614" t="s">
        <v>1949</v>
      </c>
      <c r="D14" s="236">
        <v>452908</v>
      </c>
      <c r="F14" s="236">
        <v>615685</v>
      </c>
      <c r="H14" s="236">
        <v>655920</v>
      </c>
      <c r="J14" s="236">
        <v>602158</v>
      </c>
      <c r="K14" s="506" t="s">
        <v>53</v>
      </c>
      <c r="L14" s="506" t="s">
        <v>53</v>
      </c>
    </row>
    <row r="15" spans="1:12" ht="25.5" x14ac:dyDescent="0.2">
      <c r="A15" s="613">
        <v>580151728</v>
      </c>
      <c r="B15" s="614" t="s">
        <v>1936</v>
      </c>
      <c r="D15" s="236">
        <v>45158</v>
      </c>
      <c r="F15" s="236">
        <v>103850</v>
      </c>
      <c r="H15" s="236">
        <v>87456</v>
      </c>
      <c r="J15" s="236">
        <v>134600</v>
      </c>
      <c r="K15" s="506" t="s">
        <v>53</v>
      </c>
      <c r="L15" s="506" t="s">
        <v>53</v>
      </c>
    </row>
    <row r="16" spans="1:12" ht="15" customHeight="1" x14ac:dyDescent="0.2">
      <c r="A16" s="613">
        <v>580140143</v>
      </c>
      <c r="B16" s="614" t="s">
        <v>1938</v>
      </c>
      <c r="D16" s="236">
        <v>399338</v>
      </c>
      <c r="F16" s="236">
        <v>697282</v>
      </c>
      <c r="H16" s="236">
        <v>699648</v>
      </c>
      <c r="J16" s="236">
        <v>644663</v>
      </c>
      <c r="K16" s="506" t="s">
        <v>685</v>
      </c>
      <c r="L16" s="506" t="s">
        <v>32</v>
      </c>
    </row>
    <row r="17" spans="1:12" x14ac:dyDescent="0.2">
      <c r="A17" s="613">
        <v>580010015</v>
      </c>
      <c r="B17" s="614" t="s">
        <v>1946</v>
      </c>
      <c r="D17" s="236">
        <v>482127</v>
      </c>
      <c r="F17" s="236">
        <f>192851+378327</f>
        <v>571178</v>
      </c>
      <c r="H17" s="236">
        <v>539312</v>
      </c>
      <c r="J17" s="236">
        <v>637579</v>
      </c>
      <c r="K17" s="506" t="s">
        <v>53</v>
      </c>
      <c r="L17" s="506" t="s">
        <v>53</v>
      </c>
    </row>
    <row r="18" spans="1:12" ht="17.25" customHeight="1" x14ac:dyDescent="0.2">
      <c r="A18" s="613">
        <v>580144327</v>
      </c>
      <c r="B18" s="614" t="s">
        <v>1937</v>
      </c>
      <c r="D18" s="236">
        <v>277589</v>
      </c>
      <c r="F18" s="236">
        <v>370000</v>
      </c>
      <c r="H18" s="236">
        <v>350000</v>
      </c>
      <c r="J18" s="236">
        <v>375463</v>
      </c>
      <c r="K18" s="506" t="s">
        <v>1484</v>
      </c>
      <c r="L18" s="506" t="s">
        <v>282</v>
      </c>
    </row>
    <row r="19" spans="1:12" ht="17.25" customHeight="1" x14ac:dyDescent="0.2">
      <c r="A19" s="613">
        <v>580104263</v>
      </c>
      <c r="B19" s="614" t="s">
        <v>1952</v>
      </c>
      <c r="D19" s="236">
        <v>76720.009999999995</v>
      </c>
      <c r="F19" s="236"/>
      <c r="H19" s="236"/>
      <c r="J19" s="236"/>
      <c r="K19" s="506" t="s">
        <v>53</v>
      </c>
      <c r="L19" s="506" t="s">
        <v>53</v>
      </c>
    </row>
    <row r="20" spans="1:12" ht="17.25" customHeight="1" x14ac:dyDescent="0.2">
      <c r="A20" s="613">
        <v>580018653</v>
      </c>
      <c r="B20" s="614" t="s">
        <v>1965</v>
      </c>
      <c r="D20" s="236">
        <v>129481</v>
      </c>
      <c r="F20" s="236">
        <v>250000</v>
      </c>
      <c r="H20" s="236">
        <v>245000</v>
      </c>
      <c r="J20" s="236">
        <v>269200</v>
      </c>
      <c r="K20" s="506" t="s">
        <v>53</v>
      </c>
      <c r="L20" s="506" t="s">
        <v>53</v>
      </c>
    </row>
    <row r="21" spans="1:12" ht="19.5" customHeight="1" x14ac:dyDescent="0.2">
      <c r="A21" s="613">
        <v>580070035</v>
      </c>
      <c r="B21" s="614" t="s">
        <v>1950</v>
      </c>
      <c r="D21" s="236">
        <v>230258</v>
      </c>
      <c r="F21" s="236"/>
      <c r="H21" s="236"/>
      <c r="J21" s="236"/>
      <c r="K21" s="506" t="s">
        <v>53</v>
      </c>
      <c r="L21" s="506" t="s">
        <v>53</v>
      </c>
    </row>
    <row r="22" spans="1:12" ht="15" customHeight="1" x14ac:dyDescent="0.2">
      <c r="A22" s="613">
        <v>580088706</v>
      </c>
      <c r="B22" s="614" t="s">
        <v>1945</v>
      </c>
      <c r="D22" s="236">
        <v>224019</v>
      </c>
      <c r="F22" s="236">
        <v>300000</v>
      </c>
      <c r="H22" s="236">
        <v>300000</v>
      </c>
      <c r="J22" s="236">
        <v>350000</v>
      </c>
      <c r="K22" s="506" t="s">
        <v>1530</v>
      </c>
      <c r="L22" s="506" t="s">
        <v>12</v>
      </c>
    </row>
    <row r="23" spans="1:12" ht="15" customHeight="1" x14ac:dyDescent="0.2">
      <c r="A23" s="613">
        <v>580009546</v>
      </c>
      <c r="B23" s="614" t="s">
        <v>1947</v>
      </c>
      <c r="D23" s="236">
        <v>482127</v>
      </c>
      <c r="F23" s="236">
        <v>712118</v>
      </c>
      <c r="H23" s="236">
        <v>728800</v>
      </c>
      <c r="J23" s="236">
        <v>673000</v>
      </c>
      <c r="K23" s="506" t="s">
        <v>53</v>
      </c>
      <c r="L23" s="506" t="s">
        <v>53</v>
      </c>
    </row>
    <row r="24" spans="1:12" ht="25.5" x14ac:dyDescent="0.2">
      <c r="A24" s="613">
        <v>580020022</v>
      </c>
      <c r="B24" s="614" t="s">
        <v>1942</v>
      </c>
      <c r="D24" s="236">
        <v>189929</v>
      </c>
      <c r="F24" s="236">
        <v>252208</v>
      </c>
      <c r="H24" s="236">
        <v>250000</v>
      </c>
      <c r="J24" s="236">
        <v>275000</v>
      </c>
      <c r="K24" s="506" t="s">
        <v>53</v>
      </c>
      <c r="L24" s="506" t="s">
        <v>53</v>
      </c>
    </row>
    <row r="25" spans="1:12" ht="25.5" x14ac:dyDescent="0.2">
      <c r="A25" s="613">
        <v>580185544</v>
      </c>
      <c r="B25" s="614" t="s">
        <v>1944</v>
      </c>
      <c r="D25" s="236">
        <v>394468</v>
      </c>
      <c r="F25" s="236">
        <v>474745</v>
      </c>
      <c r="H25" s="236">
        <v>553888</v>
      </c>
      <c r="J25" s="236">
        <v>488810</v>
      </c>
      <c r="K25" s="506" t="s">
        <v>53</v>
      </c>
      <c r="L25" s="506" t="s">
        <v>53</v>
      </c>
    </row>
    <row r="26" spans="1:12" ht="16.5" customHeight="1" x14ac:dyDescent="0.2">
      <c r="A26" s="613">
        <v>580254845</v>
      </c>
      <c r="B26" s="614" t="s">
        <v>1933</v>
      </c>
      <c r="D26" s="236">
        <v>379858</v>
      </c>
      <c r="F26" s="236">
        <v>500000</v>
      </c>
      <c r="H26" s="236">
        <v>500000</v>
      </c>
      <c r="J26" s="236">
        <v>602158</v>
      </c>
      <c r="K26" s="506" t="s">
        <v>1966</v>
      </c>
      <c r="L26" s="506" t="s">
        <v>12</v>
      </c>
    </row>
    <row r="27" spans="1:12" ht="25.5" customHeight="1" x14ac:dyDescent="0.2">
      <c r="A27" s="613">
        <v>580317535</v>
      </c>
      <c r="B27" s="614" t="s">
        <v>1967</v>
      </c>
      <c r="D27" s="236">
        <v>399338</v>
      </c>
      <c r="F27" s="236">
        <v>593431</v>
      </c>
      <c r="H27" s="236">
        <v>600000</v>
      </c>
      <c r="J27" s="236">
        <v>644663</v>
      </c>
      <c r="K27" s="506" t="s">
        <v>732</v>
      </c>
      <c r="L27" s="506" t="s">
        <v>32</v>
      </c>
    </row>
    <row r="28" spans="1:12" ht="23.25" customHeight="1" x14ac:dyDescent="0.2">
      <c r="A28" s="613">
        <v>580228625</v>
      </c>
      <c r="B28" s="614" t="s">
        <v>1935</v>
      </c>
      <c r="D28" s="236">
        <v>194799</v>
      </c>
      <c r="F28" s="236">
        <v>220000</v>
      </c>
      <c r="H28" s="236">
        <v>205663</v>
      </c>
      <c r="J28" s="236">
        <v>226695</v>
      </c>
      <c r="K28" s="506" t="s">
        <v>293</v>
      </c>
      <c r="L28" s="506" t="s">
        <v>282</v>
      </c>
    </row>
    <row r="29" spans="1:12" ht="25.5" x14ac:dyDescent="0.2">
      <c r="A29" s="613">
        <v>580268563</v>
      </c>
      <c r="B29" s="614" t="s">
        <v>1951</v>
      </c>
      <c r="D29" s="236">
        <v>413948</v>
      </c>
      <c r="F29" s="236">
        <v>519252</v>
      </c>
      <c r="H29" s="236">
        <v>583040</v>
      </c>
      <c r="J29" s="236">
        <v>552568</v>
      </c>
      <c r="K29" s="506" t="s">
        <v>53</v>
      </c>
      <c r="L29" s="506" t="s">
        <v>53</v>
      </c>
    </row>
    <row r="30" spans="1:12" ht="25.5" x14ac:dyDescent="0.2">
      <c r="A30" s="613">
        <v>580008589</v>
      </c>
      <c r="B30" s="615" t="s">
        <v>1969</v>
      </c>
      <c r="D30" s="236">
        <v>185059</v>
      </c>
      <c r="F30" s="236">
        <v>200000</v>
      </c>
      <c r="H30" s="236">
        <v>350000</v>
      </c>
      <c r="J30" s="236">
        <v>389631</v>
      </c>
      <c r="K30" s="506" t="s">
        <v>329</v>
      </c>
      <c r="L30" s="506" t="s">
        <v>136</v>
      </c>
    </row>
    <row r="31" spans="1:12" ht="18.75" customHeight="1" x14ac:dyDescent="0.2">
      <c r="A31" s="108">
        <v>580270163</v>
      </c>
      <c r="B31" s="315" t="s">
        <v>1927</v>
      </c>
      <c r="D31" s="236">
        <v>413948</v>
      </c>
      <c r="F31" s="236">
        <v>500000</v>
      </c>
      <c r="H31" s="236">
        <v>481008</v>
      </c>
      <c r="J31" s="236">
        <v>439221</v>
      </c>
      <c r="K31" s="506" t="s">
        <v>53</v>
      </c>
      <c r="L31" s="506" t="s">
        <v>53</v>
      </c>
    </row>
    <row r="32" spans="1:12" ht="21" customHeight="1" x14ac:dyDescent="0.2">
      <c r="A32" s="108">
        <v>580176808</v>
      </c>
      <c r="B32" s="315" t="s">
        <v>1930</v>
      </c>
      <c r="D32" s="236">
        <v>204539</v>
      </c>
      <c r="F32" s="236">
        <v>300000</v>
      </c>
      <c r="H32" s="236">
        <v>250000</v>
      </c>
      <c r="J32" s="236">
        <v>318789</v>
      </c>
      <c r="K32" s="506" t="s">
        <v>685</v>
      </c>
      <c r="L32" s="506" t="s">
        <v>32</v>
      </c>
    </row>
    <row r="33" spans="1:12" ht="23.25" customHeight="1" x14ac:dyDescent="0.2">
      <c r="A33" s="613">
        <v>580461754</v>
      </c>
      <c r="B33" s="614" t="s">
        <v>1925</v>
      </c>
      <c r="D33" s="236">
        <v>462648</v>
      </c>
      <c r="F33" s="236">
        <v>675028</v>
      </c>
      <c r="H33" s="236">
        <v>663208</v>
      </c>
      <c r="J33" s="236">
        <v>637579</v>
      </c>
      <c r="K33" s="506" t="s">
        <v>329</v>
      </c>
      <c r="L33" s="506" t="s">
        <v>136</v>
      </c>
    </row>
    <row r="34" spans="1:12" ht="23.25" customHeight="1" x14ac:dyDescent="0.2">
      <c r="A34" s="613">
        <v>580213973</v>
      </c>
      <c r="B34" s="614" t="s">
        <v>1926</v>
      </c>
      <c r="D34" s="236">
        <v>194799</v>
      </c>
      <c r="F34" s="236">
        <v>313502</v>
      </c>
      <c r="H34" s="236">
        <v>335248</v>
      </c>
      <c r="J34" s="236">
        <v>446305</v>
      </c>
      <c r="K34" s="506" t="s">
        <v>1970</v>
      </c>
      <c r="L34" s="506" t="s">
        <v>282</v>
      </c>
    </row>
    <row r="35" spans="1:12" ht="23.25" customHeight="1" x14ac:dyDescent="0.2">
      <c r="A35" s="613">
        <v>580010536</v>
      </c>
      <c r="B35" s="614" t="s">
        <v>1929</v>
      </c>
      <c r="D35" s="236">
        <v>272719</v>
      </c>
      <c r="F35" s="236">
        <v>474745</v>
      </c>
      <c r="H35" s="236">
        <v>430000</v>
      </c>
      <c r="J35" s="236">
        <v>403800</v>
      </c>
      <c r="K35" s="506" t="s">
        <v>53</v>
      </c>
      <c r="L35" s="506" t="s">
        <v>53</v>
      </c>
    </row>
    <row r="36" spans="1:12" ht="23.25" customHeight="1" x14ac:dyDescent="0.2">
      <c r="A36" s="613">
        <v>580041101</v>
      </c>
      <c r="B36" s="614" t="s">
        <v>1928</v>
      </c>
      <c r="D36" s="236">
        <v>214279</v>
      </c>
      <c r="F36" s="236">
        <f>85712+218422</f>
        <v>304134</v>
      </c>
      <c r="H36" s="236">
        <v>284232</v>
      </c>
      <c r="J36" s="236">
        <v>318789</v>
      </c>
      <c r="K36" s="506" t="s">
        <v>329</v>
      </c>
      <c r="L36" s="506" t="s">
        <v>136</v>
      </c>
    </row>
    <row r="37" spans="1:12" ht="24" customHeight="1" x14ac:dyDescent="0.2">
      <c r="A37" s="613">
        <v>580365443</v>
      </c>
      <c r="B37" s="614" t="s">
        <v>1971</v>
      </c>
      <c r="D37" s="236">
        <v>199669</v>
      </c>
      <c r="F37" s="236">
        <v>289298</v>
      </c>
      <c r="H37" s="236">
        <v>57860.01</v>
      </c>
      <c r="J37" s="236">
        <v>300000</v>
      </c>
      <c r="K37" s="506" t="s">
        <v>53</v>
      </c>
      <c r="L37" s="506" t="s">
        <v>53</v>
      </c>
    </row>
    <row r="38" spans="1:12" ht="24" customHeight="1" x14ac:dyDescent="0.2">
      <c r="A38" s="613">
        <v>580120129</v>
      </c>
      <c r="B38" s="614" t="s">
        <v>2388</v>
      </c>
      <c r="D38" s="236">
        <v>189929</v>
      </c>
      <c r="F38" s="236">
        <v>252208</v>
      </c>
      <c r="H38" s="236">
        <v>247792</v>
      </c>
      <c r="J38" s="236">
        <v>247947</v>
      </c>
      <c r="K38" s="506" t="s">
        <v>53</v>
      </c>
      <c r="L38" s="506" t="s">
        <v>53</v>
      </c>
    </row>
    <row r="39" spans="1:12" ht="24" customHeight="1" x14ac:dyDescent="0.2">
      <c r="A39" s="613">
        <v>580477883</v>
      </c>
      <c r="B39" s="614" t="s">
        <v>2386</v>
      </c>
      <c r="D39" s="236">
        <v>112009</v>
      </c>
      <c r="F39" s="236"/>
      <c r="H39" s="236"/>
      <c r="J39" s="236"/>
      <c r="K39" s="506" t="s">
        <v>2387</v>
      </c>
      <c r="L39" s="506" t="s">
        <v>136</v>
      </c>
    </row>
    <row r="40" spans="1:12" ht="24" customHeight="1" x14ac:dyDescent="0.2">
      <c r="A40" s="613">
        <v>580412278</v>
      </c>
      <c r="B40" s="614" t="s">
        <v>2385</v>
      </c>
      <c r="D40" s="236">
        <v>121749</v>
      </c>
      <c r="F40" s="236">
        <v>163194</v>
      </c>
      <c r="H40" s="236">
        <v>116608</v>
      </c>
      <c r="J40" s="236">
        <v>148768</v>
      </c>
      <c r="K40" s="506" t="s">
        <v>1964</v>
      </c>
      <c r="L40" s="506" t="s">
        <v>32</v>
      </c>
    </row>
    <row r="41" spans="1:12" ht="26.25" customHeight="1" x14ac:dyDescent="0.2">
      <c r="A41" s="872" t="s">
        <v>2447</v>
      </c>
      <c r="B41" s="892" t="s">
        <v>2448</v>
      </c>
      <c r="D41" s="236">
        <v>180000</v>
      </c>
      <c r="F41" s="236">
        <v>289298</v>
      </c>
      <c r="H41" s="236">
        <v>335248</v>
      </c>
      <c r="J41" s="236">
        <v>297537</v>
      </c>
      <c r="K41" s="506" t="s">
        <v>461</v>
      </c>
      <c r="L41" s="506" t="s">
        <v>12</v>
      </c>
    </row>
    <row r="42" spans="1:12" ht="26.25" customHeight="1" x14ac:dyDescent="0.2">
      <c r="A42" s="872">
        <v>580314847</v>
      </c>
      <c r="B42" s="892" t="s">
        <v>3005</v>
      </c>
      <c r="D42" s="236"/>
      <c r="F42" s="236">
        <v>250000</v>
      </c>
      <c r="H42" s="236">
        <v>233216</v>
      </c>
      <c r="J42" s="236">
        <v>233779</v>
      </c>
      <c r="K42" s="506" t="s">
        <v>1409</v>
      </c>
      <c r="L42" s="506" t="s">
        <v>32</v>
      </c>
    </row>
    <row r="43" spans="1:12" ht="26.25" customHeight="1" x14ac:dyDescent="0.2">
      <c r="A43" s="872">
        <v>580007433</v>
      </c>
      <c r="B43" s="892" t="s">
        <v>3006</v>
      </c>
      <c r="D43" s="236"/>
      <c r="F43" s="236">
        <v>150000</v>
      </c>
      <c r="H43" s="236">
        <v>400000</v>
      </c>
      <c r="J43" s="236">
        <v>502979</v>
      </c>
      <c r="K43" s="506" t="s">
        <v>53</v>
      </c>
      <c r="L43" s="506" t="s">
        <v>53</v>
      </c>
    </row>
    <row r="44" spans="1:12" ht="26.25" customHeight="1" x14ac:dyDescent="0.2">
      <c r="A44" s="872">
        <v>580544427</v>
      </c>
      <c r="B44" s="892" t="s">
        <v>3007</v>
      </c>
      <c r="D44" s="236"/>
      <c r="F44" s="236">
        <v>593431</v>
      </c>
      <c r="H44" s="236">
        <v>655920</v>
      </c>
      <c r="J44" s="236">
        <v>673000</v>
      </c>
      <c r="K44" s="506" t="s">
        <v>329</v>
      </c>
      <c r="L44" s="506" t="s">
        <v>136</v>
      </c>
    </row>
    <row r="45" spans="1:12" ht="26.25" customHeight="1" x14ac:dyDescent="0.2">
      <c r="A45" s="872">
        <v>580548808</v>
      </c>
      <c r="B45" s="892" t="s">
        <v>3008</v>
      </c>
      <c r="D45" s="236"/>
      <c r="F45" s="236">
        <v>229955</v>
      </c>
      <c r="H45" s="236">
        <v>218640</v>
      </c>
      <c r="J45" s="236">
        <v>148768</v>
      </c>
      <c r="K45" s="506" t="s">
        <v>53</v>
      </c>
      <c r="L45" s="506" t="s">
        <v>53</v>
      </c>
    </row>
    <row r="46" spans="1:12" ht="26.25" customHeight="1" x14ac:dyDescent="0.2">
      <c r="A46" s="872" t="s">
        <v>3155</v>
      </c>
      <c r="B46" s="892" t="s">
        <v>3156</v>
      </c>
      <c r="D46" s="236"/>
      <c r="F46" s="236"/>
      <c r="H46" s="236">
        <v>276944</v>
      </c>
      <c r="J46" s="236">
        <v>262116</v>
      </c>
      <c r="K46" s="506" t="s">
        <v>53</v>
      </c>
      <c r="L46" s="506" t="s">
        <v>53</v>
      </c>
    </row>
    <row r="47" spans="1:12" ht="26.25" customHeight="1" x14ac:dyDescent="0.2">
      <c r="A47" s="872" t="s">
        <v>3157</v>
      </c>
      <c r="B47" s="892" t="s">
        <v>3158</v>
      </c>
      <c r="D47" s="236"/>
      <c r="F47" s="236"/>
      <c r="H47" s="236">
        <v>327960</v>
      </c>
      <c r="J47" s="236">
        <v>354210</v>
      </c>
      <c r="K47" s="506" t="s">
        <v>2365</v>
      </c>
      <c r="L47" s="506" t="s">
        <v>12</v>
      </c>
    </row>
    <row r="48" spans="1:12" ht="26.25" customHeight="1" x14ac:dyDescent="0.2">
      <c r="A48" s="872">
        <v>580528560</v>
      </c>
      <c r="B48" s="892" t="s">
        <v>3268</v>
      </c>
      <c r="D48" s="236"/>
      <c r="F48" s="236"/>
      <c r="H48" s="236"/>
      <c r="J48" s="236">
        <v>219610</v>
      </c>
      <c r="K48" s="506" t="s">
        <v>53</v>
      </c>
      <c r="L48" s="506" t="s">
        <v>53</v>
      </c>
    </row>
    <row r="49" spans="1:12" ht="26.25" customHeight="1" x14ac:dyDescent="0.2">
      <c r="A49" s="872" t="s">
        <v>2449</v>
      </c>
      <c r="B49" s="892" t="s">
        <v>2450</v>
      </c>
      <c r="D49" s="236">
        <v>199669</v>
      </c>
      <c r="F49" s="236">
        <v>281880</v>
      </c>
      <c r="H49" s="236">
        <v>298808</v>
      </c>
      <c r="J49" s="236">
        <v>340042</v>
      </c>
      <c r="K49" s="506" t="s">
        <v>1534</v>
      </c>
      <c r="L49" s="506" t="s">
        <v>53</v>
      </c>
    </row>
    <row r="52" spans="1:12" x14ac:dyDescent="0.2">
      <c r="D52" s="867"/>
      <c r="F52" s="867"/>
      <c r="H52" s="867"/>
      <c r="J52" s="867"/>
    </row>
  </sheetData>
  <pageMargins left="0.23622047244094491" right="0.6692913385826772" top="1.4960629921259843" bottom="0.39370078740157483" header="1.0236220472440944" footer="0.15748031496062992"/>
  <pageSetup paperSize="9" scale="83" fitToHeight="2" orientation="landscape" r:id="rId1"/>
  <headerFooter alignWithMargins="0">
    <oddHeader>&amp;L&amp;D&amp;C&amp;"Arial,מודגש"מינהל תרבות&amp;"Arial,רגיל"
&amp;"Arial,מודגש"&amp;12תקציב על שינוייו 2016-2019  בש"ח בהתאם להחלטת ועדת התמיכות&amp;R&amp;"Arial,מודגש"&amp;11תקנה 42-02-34- מכוני מחקר תורניים</oddHeader>
    <oddFooter>&amp;L&amp;F&amp;C&amp;P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4"/>
  <sheetViews>
    <sheetView rightToLeft="1" topLeftCell="B1" zoomScaleNormal="100" workbookViewId="0">
      <pane xSplit="2" ySplit="2" topLeftCell="I69" activePane="bottomRight" state="frozen"/>
      <selection activeCell="S19" sqref="S19"/>
      <selection pane="topRight" activeCell="S19" sqref="S19"/>
      <selection pane="bottomLeft" activeCell="S19" sqref="S19"/>
      <selection pane="bottomRight" activeCell="X1" sqref="X1:Y1048576"/>
    </sheetView>
  </sheetViews>
  <sheetFormatPr defaultColWidth="2.140625" defaultRowHeight="12.75" x14ac:dyDescent="0.2"/>
  <cols>
    <col min="1" max="1" width="1.140625" style="154" customWidth="1"/>
    <col min="2" max="2" width="11.42578125" style="155" customWidth="1"/>
    <col min="3" max="3" width="34.85546875" style="156" customWidth="1"/>
    <col min="4" max="4" width="0.7109375" style="616" customWidth="1"/>
    <col min="5" max="5" width="12.5703125" style="158" customWidth="1"/>
    <col min="6" max="7" width="10.42578125" style="158" customWidth="1"/>
    <col min="8" max="8" width="13" style="158" customWidth="1"/>
    <col min="9" max="9" width="0.7109375" style="616" customWidth="1"/>
    <col min="10" max="10" width="12.5703125" style="158" customWidth="1"/>
    <col min="11" max="12" width="10.42578125" style="158" customWidth="1"/>
    <col min="13" max="13" width="13" style="158" customWidth="1"/>
    <col min="14" max="14" width="0.7109375" style="616" customWidth="1"/>
    <col min="15" max="15" width="12.5703125" style="158" customWidth="1"/>
    <col min="16" max="16" width="11.42578125" style="158" bestFit="1" customWidth="1"/>
    <col min="17" max="17" width="10.42578125" style="158" customWidth="1"/>
    <col min="18" max="18" width="13" style="158" customWidth="1"/>
    <col min="19" max="19" width="0.7109375" style="616" customWidth="1"/>
    <col min="20" max="20" width="12.5703125" style="158" customWidth="1"/>
    <col min="21" max="21" width="11.42578125" style="158" bestFit="1" customWidth="1"/>
    <col min="22" max="22" width="10.42578125" style="158" customWidth="1"/>
    <col min="23" max="23" width="13" style="158" customWidth="1"/>
    <col min="24" max="24" width="9.85546875" style="158" hidden="1" customWidth="1"/>
    <col min="25" max="25" width="12.42578125" style="158" hidden="1" customWidth="1"/>
    <col min="26" max="16384" width="2.140625" style="158"/>
  </cols>
  <sheetData>
    <row r="1" spans="1:25" ht="22.5" customHeight="1" x14ac:dyDescent="0.35">
      <c r="D1" s="675"/>
      <c r="E1" s="1071">
        <v>2016</v>
      </c>
      <c r="F1" s="1071"/>
      <c r="G1" s="1071"/>
      <c r="H1" s="1071"/>
      <c r="I1" s="675"/>
      <c r="J1" s="1071">
        <v>2017</v>
      </c>
      <c r="K1" s="1071"/>
      <c r="L1" s="1071"/>
      <c r="M1" s="1071"/>
      <c r="N1" s="675"/>
      <c r="O1" s="1071">
        <v>2018</v>
      </c>
      <c r="P1" s="1071"/>
      <c r="Q1" s="1071"/>
      <c r="R1" s="1071"/>
      <c r="S1" s="675"/>
      <c r="T1" s="1071">
        <v>2019</v>
      </c>
      <c r="U1" s="1071"/>
      <c r="V1" s="1071"/>
      <c r="W1" s="1071"/>
      <c r="X1" s="179"/>
    </row>
    <row r="2" spans="1:25" s="163" customFormat="1" ht="51" customHeight="1" x14ac:dyDescent="0.2">
      <c r="A2" s="159" t="s">
        <v>383</v>
      </c>
      <c r="B2" s="160" t="s">
        <v>272</v>
      </c>
      <c r="C2" s="160" t="s">
        <v>1</v>
      </c>
      <c r="D2" s="201"/>
      <c r="E2" s="160" t="s">
        <v>1390</v>
      </c>
      <c r="F2" s="160" t="s">
        <v>392</v>
      </c>
      <c r="G2" s="160" t="s">
        <v>393</v>
      </c>
      <c r="H2" s="160" t="s">
        <v>341</v>
      </c>
      <c r="I2" s="201"/>
      <c r="J2" s="160" t="s">
        <v>1390</v>
      </c>
      <c r="K2" s="160" t="s">
        <v>392</v>
      </c>
      <c r="L2" s="160" t="s">
        <v>393</v>
      </c>
      <c r="M2" s="160" t="s">
        <v>341</v>
      </c>
      <c r="N2" s="201"/>
      <c r="O2" s="160" t="s">
        <v>1390</v>
      </c>
      <c r="P2" s="160" t="s">
        <v>392</v>
      </c>
      <c r="Q2" s="160" t="s">
        <v>393</v>
      </c>
      <c r="R2" s="160" t="s">
        <v>341</v>
      </c>
      <c r="S2" s="201"/>
      <c r="T2" s="160" t="s">
        <v>1390</v>
      </c>
      <c r="U2" s="160" t="s">
        <v>392</v>
      </c>
      <c r="V2" s="160" t="s">
        <v>393</v>
      </c>
      <c r="W2" s="160" t="s">
        <v>341</v>
      </c>
      <c r="X2" s="162" t="s">
        <v>340</v>
      </c>
      <c r="Y2" s="162" t="s">
        <v>6</v>
      </c>
    </row>
    <row r="3" spans="1:25" s="668" customFormat="1" ht="43.5" customHeight="1" x14ac:dyDescent="0.2">
      <c r="A3" s="673"/>
      <c r="B3" s="672"/>
      <c r="C3" s="958" t="s">
        <v>3230</v>
      </c>
      <c r="D3" s="671"/>
      <c r="E3" s="669"/>
      <c r="F3" s="670"/>
      <c r="G3" s="670"/>
      <c r="H3" s="669"/>
      <c r="I3" s="671"/>
      <c r="J3" s="669"/>
      <c r="K3" s="670"/>
      <c r="L3" s="670"/>
      <c r="M3" s="669"/>
      <c r="N3" s="671"/>
      <c r="O3" s="669">
        <f t="shared" ref="O3:Q3" si="0">O4+O70</f>
        <v>22209475.039999999</v>
      </c>
      <c r="P3" s="669">
        <f t="shared" si="0"/>
        <v>5681047.4383370765</v>
      </c>
      <c r="Q3" s="669">
        <f t="shared" si="0"/>
        <v>591069</v>
      </c>
      <c r="R3" s="669">
        <f>R4+R70</f>
        <v>28481591.478337076</v>
      </c>
      <c r="S3" s="671"/>
      <c r="T3" s="669">
        <f t="shared" ref="T3:W3" si="1">T4+T70</f>
        <v>27174319</v>
      </c>
      <c r="U3" s="669">
        <f t="shared" si="1"/>
        <v>4773342</v>
      </c>
      <c r="V3" s="669">
        <f t="shared" si="1"/>
        <v>721319</v>
      </c>
      <c r="W3" s="669">
        <f t="shared" si="1"/>
        <v>32668980</v>
      </c>
      <c r="X3" s="669"/>
      <c r="Y3" s="669"/>
    </row>
    <row r="4" spans="1:25" s="668" customFormat="1" ht="43.5" customHeight="1" x14ac:dyDescent="0.2">
      <c r="A4" s="673"/>
      <c r="B4" s="672" t="s">
        <v>7</v>
      </c>
      <c r="C4" s="958" t="s">
        <v>3161</v>
      </c>
      <c r="D4" s="671"/>
      <c r="E4" s="669">
        <f>E5+E52</f>
        <v>22463732</v>
      </c>
      <c r="F4" s="670">
        <f>F5+F52</f>
        <v>6941924.831527181</v>
      </c>
      <c r="G4" s="670">
        <f>G5+G52</f>
        <v>365925.33182766155</v>
      </c>
      <c r="H4" s="669">
        <f>H5+H52</f>
        <v>29771582.16335484</v>
      </c>
      <c r="I4" s="671"/>
      <c r="J4" s="669">
        <f>J5+J52</f>
        <v>23055164</v>
      </c>
      <c r="K4" s="670">
        <f>K5+K52</f>
        <v>5481196</v>
      </c>
      <c r="L4" s="670">
        <f>L5+L52</f>
        <v>596095</v>
      </c>
      <c r="M4" s="669">
        <f>M5+M52</f>
        <v>29132455</v>
      </c>
      <c r="N4" s="671"/>
      <c r="O4" s="669">
        <f>O5+O52</f>
        <v>20549683</v>
      </c>
      <c r="P4" s="669">
        <f t="shared" ref="P4:R4" si="2">P5+P52</f>
        <v>5545918.8969984101</v>
      </c>
      <c r="Q4" s="669">
        <f t="shared" si="2"/>
        <v>591069</v>
      </c>
      <c r="R4" s="669">
        <f t="shared" si="2"/>
        <v>26686670.896998409</v>
      </c>
      <c r="S4" s="671"/>
      <c r="T4" s="669">
        <f t="shared" ref="T4:W4" si="3">T5+T52</f>
        <v>23748423</v>
      </c>
      <c r="U4" s="669">
        <f t="shared" si="3"/>
        <v>4661845</v>
      </c>
      <c r="V4" s="669">
        <f t="shared" si="3"/>
        <v>721319</v>
      </c>
      <c r="W4" s="669">
        <f t="shared" si="3"/>
        <v>29131587</v>
      </c>
      <c r="X4" s="669"/>
      <c r="Y4" s="669"/>
    </row>
    <row r="5" spans="1:25" s="664" customFormat="1" ht="20.25" customHeight="1" x14ac:dyDescent="0.2">
      <c r="A5" s="667"/>
      <c r="B5" s="1119" t="s">
        <v>8</v>
      </c>
      <c r="C5" s="1119"/>
      <c r="D5" s="666"/>
      <c r="E5" s="665">
        <f>SUM(E7:E50)</f>
        <v>21727324</v>
      </c>
      <c r="F5" s="665">
        <f>SUM(F7:F50)</f>
        <v>6941924.831527181</v>
      </c>
      <c r="G5" s="665">
        <f>SUM(G7:G50)</f>
        <v>365925.33182766155</v>
      </c>
      <c r="H5" s="665">
        <f>SUM(H7:H50)</f>
        <v>29035174.16335484</v>
      </c>
      <c r="I5" s="666"/>
      <c r="J5" s="665">
        <f>SUM(J7:J50)</f>
        <v>22358033</v>
      </c>
      <c r="K5" s="665">
        <f>SUM(K7:K50)</f>
        <v>5481196</v>
      </c>
      <c r="L5" s="665">
        <f>SUM(L7:L50)</f>
        <v>596095</v>
      </c>
      <c r="M5" s="665">
        <f>SUM(M7:M50)</f>
        <v>28435324</v>
      </c>
      <c r="N5" s="666"/>
      <c r="O5" s="665">
        <f>SUM(O7:O50)</f>
        <v>20025408</v>
      </c>
      <c r="P5" s="665">
        <f>SUM(P7:P50)</f>
        <v>5545918.8969984101</v>
      </c>
      <c r="Q5" s="665">
        <f>SUM(Q7:Q50)</f>
        <v>591069</v>
      </c>
      <c r="R5" s="665">
        <f>SUM(R7:R50)</f>
        <v>26162395.896998409</v>
      </c>
      <c r="S5" s="666"/>
      <c r="T5" s="665">
        <f>SUM(T7:T50)</f>
        <v>23574523</v>
      </c>
      <c r="U5" s="665">
        <f>SUM(U7:U50)</f>
        <v>4661845</v>
      </c>
      <c r="V5" s="665">
        <f>SUM(V7:V50)</f>
        <v>721319</v>
      </c>
      <c r="W5" s="665">
        <f>SUM(W7:W50)</f>
        <v>28957687</v>
      </c>
      <c r="X5" s="665"/>
      <c r="Y5" s="665"/>
    </row>
    <row r="6" spans="1:25" s="661" customFormat="1" ht="20.25" customHeight="1" x14ac:dyDescent="0.25">
      <c r="A6" s="663"/>
      <c r="B6" s="1120" t="s">
        <v>2021</v>
      </c>
      <c r="C6" s="1118"/>
      <c r="D6" s="662"/>
      <c r="I6" s="662"/>
      <c r="N6" s="662"/>
      <c r="S6" s="662"/>
    </row>
    <row r="7" spans="1:25" s="164" customFormat="1" ht="36" customHeight="1" x14ac:dyDescent="0.2">
      <c r="A7" s="164">
        <v>1</v>
      </c>
      <c r="B7" s="645">
        <v>580042901</v>
      </c>
      <c r="C7" s="505" t="s">
        <v>2020</v>
      </c>
      <c r="D7" s="660"/>
      <c r="E7" s="164">
        <v>2480693</v>
      </c>
      <c r="H7" s="164">
        <f t="shared" ref="H7:H18" si="4">SUM(E7:G7)</f>
        <v>2480693</v>
      </c>
      <c r="I7" s="660"/>
      <c r="J7" s="164">
        <v>2452919</v>
      </c>
      <c r="M7" s="164">
        <f t="shared" ref="M7:M18" si="5">SUM(J7:L7)</f>
        <v>2452919</v>
      </c>
      <c r="N7" s="660"/>
      <c r="O7" s="164">
        <v>2451226</v>
      </c>
      <c r="R7" s="164">
        <f t="shared" ref="R7:R18" si="6">SUM(O7:Q7)</f>
        <v>2451226</v>
      </c>
      <c r="S7" s="660"/>
      <c r="T7" s="164">
        <v>2454663</v>
      </c>
      <c r="U7" s="849"/>
      <c r="W7" s="164">
        <f t="shared" ref="W7:W16" si="7">SUM(T7:V7)</f>
        <v>2454663</v>
      </c>
      <c r="X7" s="164" t="s">
        <v>408</v>
      </c>
      <c r="Y7" s="164" t="s">
        <v>136</v>
      </c>
    </row>
    <row r="8" spans="1:25" s="164" customFormat="1" ht="30.75" customHeight="1" x14ac:dyDescent="0.2">
      <c r="A8" s="164">
        <v>2</v>
      </c>
      <c r="B8" s="620">
        <v>580101152</v>
      </c>
      <c r="C8" s="505" t="s">
        <v>2019</v>
      </c>
      <c r="D8" s="660"/>
      <c r="E8" s="164">
        <v>1265921</v>
      </c>
      <c r="H8" s="164">
        <f t="shared" si="4"/>
        <v>1265921</v>
      </c>
      <c r="I8" s="660"/>
      <c r="J8" s="164">
        <v>1371458</v>
      </c>
      <c r="M8" s="164">
        <f t="shared" si="5"/>
        <v>1371458</v>
      </c>
      <c r="N8" s="660"/>
      <c r="O8" s="164">
        <f>1369274+24305</f>
        <v>1393579</v>
      </c>
      <c r="R8" s="164">
        <f t="shared" si="6"/>
        <v>1393579</v>
      </c>
      <c r="S8" s="660"/>
      <c r="T8" s="164">
        <v>1352446</v>
      </c>
      <c r="U8" s="849"/>
      <c r="W8" s="164">
        <f t="shared" si="7"/>
        <v>1352446</v>
      </c>
      <c r="X8" s="164" t="s">
        <v>73</v>
      </c>
      <c r="Y8" s="164" t="s">
        <v>136</v>
      </c>
    </row>
    <row r="9" spans="1:25" s="164" customFormat="1" ht="25.5" x14ac:dyDescent="0.2">
      <c r="A9" s="164">
        <v>4</v>
      </c>
      <c r="B9" s="620">
        <v>580101152</v>
      </c>
      <c r="C9" s="505" t="s">
        <v>2018</v>
      </c>
      <c r="D9" s="660"/>
      <c r="E9" s="164">
        <v>1497904</v>
      </c>
      <c r="F9" s="849">
        <v>1137740.7974430583</v>
      </c>
      <c r="H9" s="164">
        <f t="shared" si="4"/>
        <v>2635644.7974430583</v>
      </c>
      <c r="I9" s="660"/>
      <c r="J9" s="164">
        <v>1602685</v>
      </c>
      <c r="K9" s="849">
        <v>901773</v>
      </c>
      <c r="M9" s="164">
        <f t="shared" si="5"/>
        <v>2504458</v>
      </c>
      <c r="N9" s="660"/>
      <c r="O9" s="164">
        <f>1527007+79308</f>
        <v>1606315</v>
      </c>
      <c r="P9" s="849">
        <v>989276.64618100435</v>
      </c>
      <c r="R9" s="164">
        <f t="shared" si="6"/>
        <v>2595591.6461810041</v>
      </c>
      <c r="S9" s="660"/>
      <c r="T9" s="164">
        <v>1563661</v>
      </c>
      <c r="U9" s="849">
        <v>833001</v>
      </c>
      <c r="W9" s="164">
        <f t="shared" si="7"/>
        <v>2396662</v>
      </c>
      <c r="X9" s="164" t="s">
        <v>53</v>
      </c>
      <c r="Y9" s="164" t="s">
        <v>53</v>
      </c>
    </row>
    <row r="10" spans="1:25" s="164" customFormat="1" ht="21" customHeight="1" x14ac:dyDescent="0.2">
      <c r="A10" s="164">
        <v>3</v>
      </c>
      <c r="B10" s="640">
        <v>580352482</v>
      </c>
      <c r="C10" s="505" t="s">
        <v>2017</v>
      </c>
      <c r="D10" s="660"/>
      <c r="E10" s="164">
        <v>1163014</v>
      </c>
      <c r="F10" s="849">
        <v>898945.71136733994</v>
      </c>
      <c r="H10" s="164">
        <f t="shared" si="4"/>
        <v>2061959.7113673398</v>
      </c>
      <c r="I10" s="660"/>
      <c r="J10" s="164">
        <v>1179275</v>
      </c>
      <c r="K10" s="849">
        <v>700162</v>
      </c>
      <c r="M10" s="164">
        <f t="shared" si="5"/>
        <v>1879437</v>
      </c>
      <c r="N10" s="660"/>
      <c r="O10" s="164">
        <v>1179275</v>
      </c>
      <c r="P10" s="849">
        <v>727921.71694693842</v>
      </c>
      <c r="R10" s="164">
        <f t="shared" si="6"/>
        <v>1907196.7169469385</v>
      </c>
      <c r="S10" s="660"/>
      <c r="T10" s="164">
        <v>1537785</v>
      </c>
      <c r="U10" s="849">
        <v>643309</v>
      </c>
      <c r="W10" s="164">
        <f t="shared" si="7"/>
        <v>2181094</v>
      </c>
      <c r="X10" s="164" t="s">
        <v>53</v>
      </c>
      <c r="Y10" s="164" t="s">
        <v>53</v>
      </c>
    </row>
    <row r="11" spans="1:25" s="170" customFormat="1" ht="25.5" x14ac:dyDescent="0.2">
      <c r="A11" s="170">
        <v>5</v>
      </c>
      <c r="B11" s="620">
        <v>580234524</v>
      </c>
      <c r="C11" s="505" t="s">
        <v>1453</v>
      </c>
      <c r="D11" s="659"/>
      <c r="E11" s="164">
        <v>1649041</v>
      </c>
      <c r="H11" s="164">
        <f t="shared" si="4"/>
        <v>1649041</v>
      </c>
      <c r="I11" s="659"/>
      <c r="J11" s="164">
        <f>1706163+40163</f>
        <v>1746326</v>
      </c>
      <c r="M11" s="164">
        <f t="shared" si="5"/>
        <v>1746326</v>
      </c>
      <c r="N11" s="659"/>
      <c r="O11" s="164">
        <v>1704340</v>
      </c>
      <c r="R11" s="164">
        <f t="shared" si="6"/>
        <v>1704340</v>
      </c>
      <c r="S11" s="659"/>
      <c r="T11" s="164">
        <v>1709776</v>
      </c>
      <c r="U11" s="849"/>
      <c r="W11" s="164">
        <f t="shared" si="7"/>
        <v>1709776</v>
      </c>
      <c r="X11" s="164" t="s">
        <v>73</v>
      </c>
      <c r="Y11" s="164" t="s">
        <v>136</v>
      </c>
    </row>
    <row r="12" spans="1:25" s="176" customFormat="1" ht="20.25" customHeight="1" x14ac:dyDescent="0.2">
      <c r="A12" s="175"/>
      <c r="B12" s="620">
        <v>580415446</v>
      </c>
      <c r="C12" s="658" t="s">
        <v>2016</v>
      </c>
      <c r="D12" s="628"/>
      <c r="E12" s="164">
        <v>220000</v>
      </c>
      <c r="F12" s="164"/>
      <c r="G12" s="164"/>
      <c r="H12" s="164">
        <f t="shared" si="4"/>
        <v>220000</v>
      </c>
      <c r="I12" s="628"/>
      <c r="J12" s="164">
        <v>223076</v>
      </c>
      <c r="K12" s="164"/>
      <c r="L12" s="164"/>
      <c r="M12" s="164">
        <f t="shared" si="5"/>
        <v>223076</v>
      </c>
      <c r="N12" s="628"/>
      <c r="O12" s="164">
        <v>247803</v>
      </c>
      <c r="P12" s="164"/>
      <c r="Q12" s="164"/>
      <c r="R12" s="164">
        <f t="shared" si="6"/>
        <v>247803</v>
      </c>
      <c r="S12" s="628"/>
      <c r="T12" s="164">
        <v>278798</v>
      </c>
      <c r="U12" s="849"/>
      <c r="V12" s="164"/>
      <c r="W12" s="164">
        <f t="shared" si="7"/>
        <v>278798</v>
      </c>
      <c r="X12" s="164" t="s">
        <v>434</v>
      </c>
      <c r="Y12" s="164" t="s">
        <v>9</v>
      </c>
    </row>
    <row r="13" spans="1:25" s="176" customFormat="1" ht="47.25" customHeight="1" x14ac:dyDescent="0.2">
      <c r="A13" s="175"/>
      <c r="B13" s="620">
        <v>580398832</v>
      </c>
      <c r="C13" s="658" t="s">
        <v>2015</v>
      </c>
      <c r="D13" s="628"/>
      <c r="E13" s="164">
        <v>320992</v>
      </c>
      <c r="F13" s="164"/>
      <c r="G13" s="164"/>
      <c r="H13" s="164">
        <f t="shared" si="4"/>
        <v>320992</v>
      </c>
      <c r="I13" s="628"/>
      <c r="J13" s="164">
        <v>325480</v>
      </c>
      <c r="K13" s="164"/>
      <c r="L13" s="164"/>
      <c r="M13" s="164">
        <f t="shared" si="5"/>
        <v>325480</v>
      </c>
      <c r="N13" s="628"/>
      <c r="O13" s="164">
        <v>325480</v>
      </c>
      <c r="P13" s="164"/>
      <c r="Q13" s="164"/>
      <c r="R13" s="164">
        <f t="shared" si="6"/>
        <v>325480</v>
      </c>
      <c r="S13" s="628"/>
      <c r="T13" s="164">
        <v>324351</v>
      </c>
      <c r="U13" s="849"/>
      <c r="V13" s="164"/>
      <c r="W13" s="164">
        <f t="shared" si="7"/>
        <v>324351</v>
      </c>
      <c r="X13" s="164" t="s">
        <v>2014</v>
      </c>
      <c r="Y13" s="164" t="s">
        <v>136</v>
      </c>
    </row>
    <row r="14" spans="1:25" s="176" customFormat="1" ht="33" customHeight="1" x14ac:dyDescent="0.2">
      <c r="A14" s="175"/>
      <c r="B14" s="620">
        <v>580408896</v>
      </c>
      <c r="C14" s="658" t="s">
        <v>2013</v>
      </c>
      <c r="D14" s="628"/>
      <c r="E14" s="164">
        <v>100000</v>
      </c>
      <c r="F14" s="164"/>
      <c r="G14" s="164"/>
      <c r="H14" s="164">
        <f t="shared" si="4"/>
        <v>100000</v>
      </c>
      <c r="I14" s="628"/>
      <c r="J14" s="164">
        <v>78953</v>
      </c>
      <c r="K14" s="164"/>
      <c r="L14" s="164"/>
      <c r="M14" s="164">
        <f t="shared" si="5"/>
        <v>78953</v>
      </c>
      <c r="N14" s="628"/>
      <c r="O14" s="164">
        <v>106331</v>
      </c>
      <c r="P14" s="164"/>
      <c r="Q14" s="164"/>
      <c r="R14" s="164">
        <f t="shared" si="6"/>
        <v>106331</v>
      </c>
      <c r="S14" s="628"/>
      <c r="T14" s="164">
        <v>120000</v>
      </c>
      <c r="U14" s="849"/>
      <c r="V14" s="164"/>
      <c r="W14" s="164">
        <f t="shared" si="7"/>
        <v>120000</v>
      </c>
      <c r="X14" s="164" t="s">
        <v>73</v>
      </c>
      <c r="Y14" s="164" t="s">
        <v>136</v>
      </c>
    </row>
    <row r="15" spans="1:25" s="176" customFormat="1" ht="23.25" customHeight="1" x14ac:dyDescent="0.2">
      <c r="A15" s="175"/>
      <c r="B15" s="620">
        <v>580450823</v>
      </c>
      <c r="C15" s="658" t="s">
        <v>2012</v>
      </c>
      <c r="D15" s="628"/>
      <c r="E15" s="164">
        <v>1670161</v>
      </c>
      <c r="F15" s="164"/>
      <c r="G15" s="849">
        <v>365925.33182766155</v>
      </c>
      <c r="H15" s="164">
        <f t="shared" si="4"/>
        <v>2036086.3318276615</v>
      </c>
      <c r="I15" s="628"/>
      <c r="J15" s="164">
        <f>1675647+5839+24</f>
        <v>1681510</v>
      </c>
      <c r="K15" s="164"/>
      <c r="L15" s="849">
        <v>596095</v>
      </c>
      <c r="M15" s="164">
        <f t="shared" si="5"/>
        <v>2277605</v>
      </c>
      <c r="N15" s="628"/>
      <c r="O15" s="164">
        <v>1705492</v>
      </c>
      <c r="P15" s="164"/>
      <c r="Q15" s="849">
        <v>591069</v>
      </c>
      <c r="R15" s="164">
        <f t="shared" si="6"/>
        <v>2296561</v>
      </c>
      <c r="S15" s="628"/>
      <c r="T15" s="164">
        <v>1706371</v>
      </c>
      <c r="U15" s="849"/>
      <c r="V15" s="849">
        <v>721319</v>
      </c>
      <c r="W15" s="164">
        <f t="shared" si="7"/>
        <v>2427690</v>
      </c>
      <c r="X15" s="164" t="s">
        <v>400</v>
      </c>
      <c r="Y15" s="164" t="s">
        <v>32</v>
      </c>
    </row>
    <row r="16" spans="1:25" s="176" customFormat="1" ht="23.25" customHeight="1" x14ac:dyDescent="0.2">
      <c r="A16" s="175"/>
      <c r="B16" s="620">
        <v>580546067</v>
      </c>
      <c r="C16" s="658" t="s">
        <v>2060</v>
      </c>
      <c r="D16" s="628"/>
      <c r="E16" s="164">
        <v>110623</v>
      </c>
      <c r="F16" s="164"/>
      <c r="G16" s="890"/>
      <c r="H16" s="164">
        <f t="shared" si="4"/>
        <v>110623</v>
      </c>
      <c r="I16" s="628"/>
      <c r="J16" s="164">
        <v>112170</v>
      </c>
      <c r="K16" s="164"/>
      <c r="L16" s="890"/>
      <c r="M16" s="164">
        <f t="shared" si="5"/>
        <v>112170</v>
      </c>
      <c r="N16" s="628"/>
      <c r="O16" s="164">
        <v>123880</v>
      </c>
      <c r="P16" s="164"/>
      <c r="Q16" s="890"/>
      <c r="R16" s="164">
        <f t="shared" si="6"/>
        <v>123880</v>
      </c>
      <c r="S16" s="628"/>
      <c r="T16" s="164">
        <v>233908</v>
      </c>
      <c r="U16" s="849"/>
      <c r="V16" s="890"/>
      <c r="W16" s="164">
        <f t="shared" si="7"/>
        <v>233908</v>
      </c>
      <c r="X16" s="164" t="s">
        <v>408</v>
      </c>
      <c r="Y16" s="164" t="s">
        <v>136</v>
      </c>
    </row>
    <row r="17" spans="1:25" s="176" customFormat="1" ht="23.25" customHeight="1" x14ac:dyDescent="0.2">
      <c r="A17" s="175"/>
      <c r="B17" s="171">
        <v>580490811</v>
      </c>
      <c r="C17" s="436" t="s">
        <v>472</v>
      </c>
      <c r="D17" s="628"/>
      <c r="E17" s="164">
        <v>52339</v>
      </c>
      <c r="F17" s="164"/>
      <c r="G17" s="890"/>
      <c r="H17" s="164">
        <f t="shared" ref="H17" si="8">SUM(E17:G17)</f>
        <v>52339</v>
      </c>
      <c r="I17" s="628"/>
      <c r="J17" s="164">
        <v>41323</v>
      </c>
      <c r="K17" s="164"/>
      <c r="L17" s="890"/>
      <c r="M17" s="164">
        <f t="shared" ref="M17" si="9">SUM(J17:L17)</f>
        <v>41323</v>
      </c>
      <c r="N17" s="628"/>
      <c r="O17" s="164">
        <v>56293</v>
      </c>
      <c r="P17" s="164"/>
      <c r="Q17" s="890"/>
      <c r="R17" s="164">
        <f t="shared" ref="R17" si="10">SUM(O17:Q17)</f>
        <v>56293</v>
      </c>
      <c r="S17" s="628"/>
      <c r="T17" s="164">
        <v>62327</v>
      </c>
      <c r="U17" s="849"/>
      <c r="V17" s="890"/>
      <c r="W17" s="164">
        <f t="shared" ref="W17" si="11">SUM(T17:V17)</f>
        <v>62327</v>
      </c>
      <c r="X17" s="164" t="s">
        <v>43</v>
      </c>
      <c r="Y17" s="164" t="s">
        <v>9</v>
      </c>
    </row>
    <row r="18" spans="1:25" s="176" customFormat="1" ht="23.25" customHeight="1" x14ac:dyDescent="0.2">
      <c r="A18" s="175"/>
      <c r="B18" s="171" t="s">
        <v>3159</v>
      </c>
      <c r="C18" s="436" t="s">
        <v>3160</v>
      </c>
      <c r="D18" s="628"/>
      <c r="E18" s="164">
        <v>52339</v>
      </c>
      <c r="F18" s="164"/>
      <c r="G18" s="890"/>
      <c r="H18" s="164">
        <f t="shared" si="4"/>
        <v>52339</v>
      </c>
      <c r="I18" s="628"/>
      <c r="J18" s="164">
        <v>41323</v>
      </c>
      <c r="K18" s="164"/>
      <c r="L18" s="890"/>
      <c r="M18" s="164">
        <f t="shared" si="5"/>
        <v>41323</v>
      </c>
      <c r="N18" s="628"/>
      <c r="O18" s="164">
        <v>125349</v>
      </c>
      <c r="P18" s="164"/>
      <c r="Q18" s="890"/>
      <c r="R18" s="164">
        <f t="shared" si="6"/>
        <v>125349</v>
      </c>
      <c r="S18" s="628"/>
      <c r="T18" s="164">
        <v>208523</v>
      </c>
      <c r="U18" s="849">
        <v>68379</v>
      </c>
      <c r="V18" s="890"/>
      <c r="W18" s="164">
        <f t="shared" ref="W18" si="12">SUM(T18:V18)</f>
        <v>276902</v>
      </c>
      <c r="X18" s="164" t="s">
        <v>53</v>
      </c>
      <c r="Y18" s="164" t="s">
        <v>53</v>
      </c>
    </row>
    <row r="19" spans="1:25" s="642" customFormat="1" ht="18" x14ac:dyDescent="0.25">
      <c r="A19" s="657"/>
      <c r="B19" s="647" t="s">
        <v>2011</v>
      </c>
      <c r="C19" s="656"/>
      <c r="D19" s="625"/>
      <c r="E19" s="643"/>
      <c r="F19" s="643"/>
      <c r="G19" s="643"/>
      <c r="H19" s="643"/>
      <c r="I19" s="625"/>
      <c r="J19" s="643"/>
      <c r="K19" s="643"/>
      <c r="L19" s="643"/>
      <c r="M19" s="643"/>
      <c r="N19" s="625"/>
      <c r="O19" s="643"/>
      <c r="P19" s="643"/>
      <c r="Q19" s="643"/>
      <c r="R19" s="643"/>
      <c r="S19" s="625"/>
      <c r="T19" s="643"/>
      <c r="U19" s="643"/>
      <c r="V19" s="643"/>
      <c r="W19" s="643"/>
      <c r="X19" s="643"/>
      <c r="Y19" s="643"/>
    </row>
    <row r="20" spans="1:25" s="637" customFormat="1" ht="25.5" x14ac:dyDescent="0.2">
      <c r="A20" s="401">
        <v>7</v>
      </c>
      <c r="B20" s="620">
        <v>580079887</v>
      </c>
      <c r="C20" s="505" t="s">
        <v>1065</v>
      </c>
      <c r="D20" s="625"/>
      <c r="E20" s="164">
        <v>866028</v>
      </c>
      <c r="F20" s="401"/>
      <c r="G20" s="890"/>
      <c r="H20" s="164">
        <f t="shared" ref="H20:H33" si="13">SUM(E20:G20)</f>
        <v>866028</v>
      </c>
      <c r="I20" s="625"/>
      <c r="J20" s="164">
        <v>890901</v>
      </c>
      <c r="K20" s="401"/>
      <c r="L20" s="890"/>
      <c r="M20" s="164">
        <f t="shared" ref="M20:M33" si="14">SUM(J20:L20)</f>
        <v>890901</v>
      </c>
      <c r="N20" s="625"/>
      <c r="O20" s="1114" t="s">
        <v>3163</v>
      </c>
      <c r="P20" s="1115"/>
      <c r="Q20" s="1116"/>
      <c r="R20" s="164">
        <f t="shared" ref="R20:R33" si="15">SUM(O20:Q20)</f>
        <v>0</v>
      </c>
      <c r="S20" s="625"/>
      <c r="T20" s="1114" t="s">
        <v>3163</v>
      </c>
      <c r="U20" s="1115"/>
      <c r="V20" s="1116"/>
      <c r="W20" s="164">
        <f t="shared" ref="W20:W33" si="16">SUM(T20:V20)</f>
        <v>0</v>
      </c>
      <c r="X20" s="164" t="s">
        <v>400</v>
      </c>
      <c r="Y20" s="164" t="s">
        <v>32</v>
      </c>
    </row>
    <row r="21" spans="1:25" s="401" customFormat="1" ht="25.5" customHeight="1" x14ac:dyDescent="0.2">
      <c r="A21" s="401">
        <v>8</v>
      </c>
      <c r="B21" s="620">
        <v>580280550</v>
      </c>
      <c r="C21" s="505" t="s">
        <v>2010</v>
      </c>
      <c r="D21" s="648"/>
      <c r="E21" s="164">
        <v>438467</v>
      </c>
      <c r="H21" s="164">
        <f t="shared" si="13"/>
        <v>438467</v>
      </c>
      <c r="I21" s="648"/>
      <c r="J21" s="164">
        <f>250486+204167</f>
        <v>454653</v>
      </c>
      <c r="M21" s="164">
        <f t="shared" si="14"/>
        <v>454653</v>
      </c>
      <c r="N21" s="648"/>
      <c r="O21" s="1114" t="s">
        <v>3163</v>
      </c>
      <c r="P21" s="1115"/>
      <c r="Q21" s="1116"/>
      <c r="R21" s="164">
        <f t="shared" si="15"/>
        <v>0</v>
      </c>
      <c r="S21" s="648"/>
      <c r="T21" s="1114" t="s">
        <v>3163</v>
      </c>
      <c r="U21" s="1115"/>
      <c r="V21" s="1116"/>
      <c r="W21" s="164">
        <f t="shared" si="16"/>
        <v>0</v>
      </c>
      <c r="X21" s="164" t="s">
        <v>1059</v>
      </c>
      <c r="Y21" s="164" t="s">
        <v>9</v>
      </c>
    </row>
    <row r="22" spans="1:25" s="401" customFormat="1" ht="24.75" customHeight="1" x14ac:dyDescent="0.2">
      <c r="A22" s="401">
        <v>10</v>
      </c>
      <c r="B22" s="620">
        <v>580049591</v>
      </c>
      <c r="C22" s="505" t="s">
        <v>2389</v>
      </c>
      <c r="D22" s="648"/>
      <c r="E22" s="164">
        <v>82625</v>
      </c>
      <c r="F22" s="849">
        <v>59135.601227519204</v>
      </c>
      <c r="H22" s="164">
        <f t="shared" si="13"/>
        <v>141760.60122751922</v>
      </c>
      <c r="I22" s="648"/>
      <c r="J22" s="164">
        <v>84998</v>
      </c>
      <c r="K22" s="849">
        <v>49742</v>
      </c>
      <c r="M22" s="164">
        <f t="shared" si="14"/>
        <v>134740</v>
      </c>
      <c r="N22" s="648"/>
      <c r="O22" s="1114" t="s">
        <v>3163</v>
      </c>
      <c r="P22" s="1115"/>
      <c r="Q22" s="1116"/>
      <c r="R22" s="164">
        <f t="shared" si="15"/>
        <v>0</v>
      </c>
      <c r="S22" s="648"/>
      <c r="T22" s="1114" t="s">
        <v>3163</v>
      </c>
      <c r="U22" s="1115"/>
      <c r="V22" s="1116"/>
      <c r="W22" s="164">
        <f t="shared" si="16"/>
        <v>0</v>
      </c>
      <c r="X22" s="164" t="s">
        <v>53</v>
      </c>
      <c r="Y22" s="164" t="s">
        <v>53</v>
      </c>
    </row>
    <row r="23" spans="1:25" s="618" customFormat="1" ht="17.25" customHeight="1" x14ac:dyDescent="0.2">
      <c r="A23" s="621"/>
      <c r="B23" s="620">
        <v>580321016</v>
      </c>
      <c r="C23" s="505" t="s">
        <v>2009</v>
      </c>
      <c r="D23" s="619"/>
      <c r="E23" s="164">
        <v>81234</v>
      </c>
      <c r="F23" s="849">
        <v>62590.8005999405</v>
      </c>
      <c r="G23" s="401"/>
      <c r="H23" s="164">
        <f t="shared" si="13"/>
        <v>143824.8005999405</v>
      </c>
      <c r="I23" s="619"/>
      <c r="J23" s="841">
        <v>157750</v>
      </c>
      <c r="K23" s="849">
        <v>48905</v>
      </c>
      <c r="L23" s="401"/>
      <c r="M23" s="164">
        <f t="shared" si="14"/>
        <v>206655</v>
      </c>
      <c r="N23" s="619"/>
      <c r="O23" s="1114" t="s">
        <v>3385</v>
      </c>
      <c r="P23" s="1115"/>
      <c r="Q23" s="1116"/>
      <c r="R23" s="164">
        <f t="shared" si="15"/>
        <v>0</v>
      </c>
      <c r="S23" s="619"/>
      <c r="T23" s="1114"/>
      <c r="U23" s="1115"/>
      <c r="V23" s="1116"/>
      <c r="W23" s="164">
        <f t="shared" si="16"/>
        <v>0</v>
      </c>
      <c r="X23" s="164" t="s">
        <v>2008</v>
      </c>
      <c r="Y23" s="164" t="s">
        <v>53</v>
      </c>
    </row>
    <row r="24" spans="1:25" s="618" customFormat="1" ht="25.5" x14ac:dyDescent="0.2">
      <c r="A24" s="621"/>
      <c r="B24" s="620">
        <v>511757114</v>
      </c>
      <c r="C24" s="505" t="s">
        <v>2007</v>
      </c>
      <c r="D24" s="619"/>
      <c r="E24" s="164">
        <v>43378</v>
      </c>
      <c r="F24" s="653"/>
      <c r="G24" s="401"/>
      <c r="H24" s="164">
        <f t="shared" si="13"/>
        <v>43378</v>
      </c>
      <c r="I24" s="619"/>
      <c r="J24" s="164">
        <f>13908+30716</f>
        <v>44624</v>
      </c>
      <c r="K24" s="653"/>
      <c r="L24" s="401"/>
      <c r="M24" s="164">
        <f t="shared" si="14"/>
        <v>44624</v>
      </c>
      <c r="N24" s="619"/>
      <c r="O24" s="1114"/>
      <c r="P24" s="1115"/>
      <c r="Q24" s="1116"/>
      <c r="R24" s="164">
        <f t="shared" si="15"/>
        <v>0</v>
      </c>
      <c r="S24" s="619"/>
      <c r="T24" s="1114"/>
      <c r="U24" s="1115"/>
      <c r="V24" s="1116"/>
      <c r="W24" s="164">
        <f t="shared" si="16"/>
        <v>0</v>
      </c>
      <c r="X24" s="230" t="s">
        <v>461</v>
      </c>
      <c r="Y24" s="230" t="s">
        <v>12</v>
      </c>
    </row>
    <row r="25" spans="1:25" s="618" customFormat="1" ht="25.5" x14ac:dyDescent="0.2">
      <c r="A25" s="621"/>
      <c r="B25" s="620">
        <v>580051415</v>
      </c>
      <c r="C25" s="655" t="s">
        <v>2006</v>
      </c>
      <c r="D25" s="619"/>
      <c r="E25" s="164">
        <v>225382</v>
      </c>
      <c r="F25" s="653"/>
      <c r="G25" s="401"/>
      <c r="H25" s="164">
        <f t="shared" si="13"/>
        <v>225382</v>
      </c>
      <c r="I25" s="619"/>
      <c r="J25" s="164">
        <v>231855</v>
      </c>
      <c r="K25" s="653"/>
      <c r="L25" s="401"/>
      <c r="M25" s="164">
        <f t="shared" si="14"/>
        <v>231855</v>
      </c>
      <c r="N25" s="619"/>
      <c r="O25" s="1114"/>
      <c r="P25" s="1115"/>
      <c r="Q25" s="1116"/>
      <c r="R25" s="164">
        <f t="shared" si="15"/>
        <v>0</v>
      </c>
      <c r="S25" s="619"/>
      <c r="T25" s="1114"/>
      <c r="U25" s="1115"/>
      <c r="V25" s="1116"/>
      <c r="W25" s="164">
        <f t="shared" si="16"/>
        <v>0</v>
      </c>
      <c r="X25" s="164" t="s">
        <v>1076</v>
      </c>
      <c r="Y25" s="164" t="s">
        <v>9</v>
      </c>
    </row>
    <row r="26" spans="1:25" s="618" customFormat="1" ht="23.25" customHeight="1" x14ac:dyDescent="0.2">
      <c r="A26" s="621"/>
      <c r="B26" s="620">
        <v>580012284</v>
      </c>
      <c r="C26" s="505" t="s">
        <v>2005</v>
      </c>
      <c r="D26" s="619"/>
      <c r="E26" s="164">
        <v>9199</v>
      </c>
      <c r="F26" s="653"/>
      <c r="G26" s="401"/>
      <c r="H26" s="164">
        <f t="shared" si="13"/>
        <v>9199</v>
      </c>
      <c r="I26" s="619"/>
      <c r="J26" s="164">
        <v>9463</v>
      </c>
      <c r="K26" s="653"/>
      <c r="L26" s="401"/>
      <c r="M26" s="164">
        <f t="shared" si="14"/>
        <v>9463</v>
      </c>
      <c r="N26" s="619"/>
      <c r="O26" s="1114" t="s">
        <v>3163</v>
      </c>
      <c r="P26" s="1115"/>
      <c r="Q26" s="1116"/>
      <c r="R26" s="164">
        <f t="shared" si="15"/>
        <v>0</v>
      </c>
      <c r="S26" s="619"/>
      <c r="T26" s="1114" t="s">
        <v>3163</v>
      </c>
      <c r="U26" s="1115"/>
      <c r="V26" s="1116"/>
      <c r="W26" s="164">
        <f t="shared" si="16"/>
        <v>0</v>
      </c>
      <c r="X26" s="164" t="s">
        <v>1509</v>
      </c>
      <c r="Y26" s="164" t="s">
        <v>9</v>
      </c>
    </row>
    <row r="27" spans="1:25" s="618" customFormat="1" ht="21" customHeight="1" x14ac:dyDescent="0.2">
      <c r="A27" s="621"/>
      <c r="B27" s="651">
        <v>580049955</v>
      </c>
      <c r="C27" s="505" t="s">
        <v>1064</v>
      </c>
      <c r="D27" s="619"/>
      <c r="E27" s="164">
        <v>13943</v>
      </c>
      <c r="F27" s="653"/>
      <c r="G27" s="401"/>
      <c r="H27" s="164">
        <f t="shared" si="13"/>
        <v>13943</v>
      </c>
      <c r="I27" s="619"/>
      <c r="J27" s="164"/>
      <c r="K27" s="653"/>
      <c r="L27" s="401"/>
      <c r="M27" s="164">
        <f t="shared" si="14"/>
        <v>0</v>
      </c>
      <c r="N27" s="619"/>
      <c r="O27" s="1114"/>
      <c r="P27" s="1115"/>
      <c r="Q27" s="1116"/>
      <c r="R27" s="164">
        <f t="shared" si="15"/>
        <v>0</v>
      </c>
      <c r="S27" s="619"/>
      <c r="T27" s="1114"/>
      <c r="U27" s="1115"/>
      <c r="V27" s="1116"/>
      <c r="W27" s="164">
        <f t="shared" si="16"/>
        <v>0</v>
      </c>
      <c r="X27" s="164" t="s">
        <v>73</v>
      </c>
      <c r="Y27" s="164" t="s">
        <v>136</v>
      </c>
    </row>
    <row r="28" spans="1:25" s="618" customFormat="1" ht="35.25" customHeight="1" x14ac:dyDescent="0.2">
      <c r="A28" s="621"/>
      <c r="B28" s="651">
        <v>580255875</v>
      </c>
      <c r="C28" s="505" t="s">
        <v>2004</v>
      </c>
      <c r="D28" s="619"/>
      <c r="E28" s="164">
        <v>45425</v>
      </c>
      <c r="F28" s="653"/>
      <c r="G28" s="401"/>
      <c r="H28" s="164">
        <f t="shared" si="13"/>
        <v>45425</v>
      </c>
      <c r="I28" s="619"/>
      <c r="J28" s="164">
        <v>46729</v>
      </c>
      <c r="K28" s="653"/>
      <c r="L28" s="401"/>
      <c r="M28" s="164">
        <f t="shared" si="14"/>
        <v>46729</v>
      </c>
      <c r="N28" s="619"/>
      <c r="O28" s="1114" t="s">
        <v>3163</v>
      </c>
      <c r="P28" s="1115"/>
      <c r="Q28" s="1116"/>
      <c r="R28" s="164">
        <f t="shared" si="15"/>
        <v>0</v>
      </c>
      <c r="S28" s="619"/>
      <c r="T28" s="1114" t="s">
        <v>3163</v>
      </c>
      <c r="U28" s="1115"/>
      <c r="V28" s="1116"/>
      <c r="W28" s="164">
        <f t="shared" si="16"/>
        <v>0</v>
      </c>
      <c r="X28" s="164" t="s">
        <v>658</v>
      </c>
      <c r="Y28" s="654" t="s">
        <v>9</v>
      </c>
    </row>
    <row r="29" spans="1:25" s="618" customFormat="1" ht="35.25" customHeight="1" x14ac:dyDescent="0.2">
      <c r="A29" s="621"/>
      <c r="B29" s="651">
        <v>580215333</v>
      </c>
      <c r="C29" s="505" t="s">
        <v>2003</v>
      </c>
      <c r="D29" s="619"/>
      <c r="E29" s="164">
        <v>75760</v>
      </c>
      <c r="F29" s="653"/>
      <c r="G29" s="401"/>
      <c r="H29" s="164">
        <f t="shared" si="13"/>
        <v>75760</v>
      </c>
      <c r="I29" s="619"/>
      <c r="J29" s="164">
        <v>77936</v>
      </c>
      <c r="K29" s="653"/>
      <c r="L29" s="401"/>
      <c r="M29" s="164">
        <f t="shared" si="14"/>
        <v>77936</v>
      </c>
      <c r="N29" s="619"/>
      <c r="O29" s="1114" t="s">
        <v>3163</v>
      </c>
      <c r="P29" s="1115"/>
      <c r="Q29" s="1116"/>
      <c r="R29" s="164">
        <f t="shared" si="15"/>
        <v>0</v>
      </c>
      <c r="S29" s="619"/>
      <c r="T29" s="1114" t="s">
        <v>3163</v>
      </c>
      <c r="U29" s="1115"/>
      <c r="V29" s="1116"/>
      <c r="W29" s="164">
        <f t="shared" si="16"/>
        <v>0</v>
      </c>
      <c r="X29" s="164" t="s">
        <v>73</v>
      </c>
      <c r="Y29" s="164" t="s">
        <v>136</v>
      </c>
    </row>
    <row r="30" spans="1:25" s="618" customFormat="1" ht="25.5" customHeight="1" x14ac:dyDescent="0.2">
      <c r="A30" s="621"/>
      <c r="B30" s="651">
        <v>580420263</v>
      </c>
      <c r="C30" s="505" t="s">
        <v>2999</v>
      </c>
      <c r="D30" s="619"/>
      <c r="E30" s="164">
        <v>130179</v>
      </c>
      <c r="F30" s="849">
        <v>125979.91160606249</v>
      </c>
      <c r="G30" s="401"/>
      <c r="H30" s="164">
        <f t="shared" si="13"/>
        <v>256158.91160606249</v>
      </c>
      <c r="I30" s="619"/>
      <c r="J30" s="164">
        <v>133918</v>
      </c>
      <c r="K30" s="849">
        <v>78371</v>
      </c>
      <c r="L30" s="401"/>
      <c r="M30" s="164">
        <f t="shared" si="14"/>
        <v>212289</v>
      </c>
      <c r="N30" s="619"/>
      <c r="O30" s="1114" t="s">
        <v>3163</v>
      </c>
      <c r="P30" s="1115"/>
      <c r="Q30" s="1116"/>
      <c r="R30" s="164">
        <f t="shared" si="15"/>
        <v>0</v>
      </c>
      <c r="S30" s="619"/>
      <c r="T30" s="1114" t="s">
        <v>3163</v>
      </c>
      <c r="U30" s="1115"/>
      <c r="V30" s="1116"/>
      <c r="W30" s="164">
        <f t="shared" si="16"/>
        <v>0</v>
      </c>
      <c r="X30" s="164" t="s">
        <v>73</v>
      </c>
      <c r="Y30" s="164" t="s">
        <v>136</v>
      </c>
    </row>
    <row r="31" spans="1:25" s="618" customFormat="1" ht="25.5" x14ac:dyDescent="0.2">
      <c r="A31" s="621"/>
      <c r="B31" s="108">
        <v>510513435</v>
      </c>
      <c r="C31" s="505" t="s">
        <v>2001</v>
      </c>
      <c r="D31" s="619"/>
      <c r="E31" s="164">
        <v>104890</v>
      </c>
      <c r="F31" s="653"/>
      <c r="G31" s="401"/>
      <c r="H31" s="164">
        <f t="shared" si="13"/>
        <v>104890</v>
      </c>
      <c r="I31" s="619"/>
      <c r="J31" s="164">
        <v>107903</v>
      </c>
      <c r="K31" s="653"/>
      <c r="L31" s="401"/>
      <c r="M31" s="164">
        <f t="shared" si="14"/>
        <v>107903</v>
      </c>
      <c r="N31" s="619"/>
      <c r="O31" s="1114" t="s">
        <v>3163</v>
      </c>
      <c r="P31" s="1115"/>
      <c r="Q31" s="1116"/>
      <c r="R31" s="164">
        <f t="shared" si="15"/>
        <v>0</v>
      </c>
      <c r="S31" s="619"/>
      <c r="T31" s="1114" t="s">
        <v>3163</v>
      </c>
      <c r="U31" s="1115"/>
      <c r="V31" s="1116"/>
      <c r="W31" s="164">
        <f t="shared" si="16"/>
        <v>0</v>
      </c>
      <c r="X31" s="164" t="s">
        <v>672</v>
      </c>
      <c r="Y31" s="164" t="s">
        <v>32</v>
      </c>
    </row>
    <row r="32" spans="1:25" s="637" customFormat="1" ht="24" customHeight="1" x14ac:dyDescent="0.2">
      <c r="A32" s="618"/>
      <c r="B32" s="620">
        <v>510729544</v>
      </c>
      <c r="C32" s="436" t="s">
        <v>2000</v>
      </c>
      <c r="D32" s="625"/>
      <c r="E32" s="164">
        <v>190767</v>
      </c>
      <c r="F32" s="401"/>
      <c r="G32" s="401"/>
      <c r="H32" s="164">
        <f t="shared" si="13"/>
        <v>190767</v>
      </c>
      <c r="I32" s="625"/>
      <c r="J32" s="164">
        <v>187649</v>
      </c>
      <c r="K32" s="849">
        <v>114846</v>
      </c>
      <c r="L32" s="401"/>
      <c r="M32" s="164">
        <f t="shared" si="14"/>
        <v>302495</v>
      </c>
      <c r="N32" s="625"/>
      <c r="O32" s="164">
        <v>286832</v>
      </c>
      <c r="P32" s="849">
        <v>115828.60847840924</v>
      </c>
      <c r="Q32" s="401"/>
      <c r="R32" s="164">
        <f t="shared" si="15"/>
        <v>402660.60847840924</v>
      </c>
      <c r="S32" s="625"/>
      <c r="T32" s="164">
        <v>469021</v>
      </c>
      <c r="U32" s="849">
        <v>156470</v>
      </c>
      <c r="V32" s="401"/>
      <c r="W32" s="164">
        <f t="shared" si="16"/>
        <v>625491</v>
      </c>
      <c r="X32" s="164" t="s">
        <v>53</v>
      </c>
      <c r="Y32" s="164" t="s">
        <v>53</v>
      </c>
    </row>
    <row r="33" spans="1:25" s="618" customFormat="1" ht="25.5" x14ac:dyDescent="0.2">
      <c r="A33" s="621"/>
      <c r="B33" s="652">
        <v>580037745</v>
      </c>
      <c r="C33" s="505" t="s">
        <v>1999</v>
      </c>
      <c r="D33" s="619"/>
      <c r="E33" s="164">
        <v>89788</v>
      </c>
      <c r="F33" s="401"/>
      <c r="G33" s="401"/>
      <c r="H33" s="164">
        <f t="shared" si="13"/>
        <v>89788</v>
      </c>
      <c r="I33" s="619"/>
      <c r="J33" s="164">
        <f>12993+47812</f>
        <v>60805</v>
      </c>
      <c r="K33" s="401"/>
      <c r="L33" s="401"/>
      <c r="M33" s="164">
        <f t="shared" si="14"/>
        <v>60805</v>
      </c>
      <c r="N33" s="619"/>
      <c r="O33" s="1114" t="s">
        <v>3163</v>
      </c>
      <c r="P33" s="1115"/>
      <c r="Q33" s="1116"/>
      <c r="R33" s="164">
        <f t="shared" si="15"/>
        <v>0</v>
      </c>
      <c r="S33" s="619"/>
      <c r="T33" s="1114" t="s">
        <v>3163</v>
      </c>
      <c r="U33" s="1115"/>
      <c r="V33" s="1116"/>
      <c r="W33" s="164">
        <f t="shared" si="16"/>
        <v>0</v>
      </c>
      <c r="X33" s="164" t="s">
        <v>43</v>
      </c>
      <c r="Y33" s="164" t="s">
        <v>9</v>
      </c>
    </row>
    <row r="34" spans="1:25" s="642" customFormat="1" ht="18" x14ac:dyDescent="0.25">
      <c r="A34" s="644"/>
      <c r="B34" s="647" t="s">
        <v>1998</v>
      </c>
      <c r="C34" s="646"/>
      <c r="D34" s="625"/>
      <c r="E34" s="643"/>
      <c r="F34" s="643"/>
      <c r="G34" s="643"/>
      <c r="H34" s="643"/>
      <c r="I34" s="625"/>
      <c r="J34" s="643"/>
      <c r="K34" s="643"/>
      <c r="L34" s="643"/>
      <c r="M34" s="643"/>
      <c r="N34" s="625"/>
      <c r="O34" s="643"/>
      <c r="P34" s="643"/>
      <c r="Q34" s="643"/>
      <c r="R34" s="643"/>
      <c r="S34" s="625"/>
      <c r="T34" s="643"/>
      <c r="U34" s="643"/>
      <c r="V34" s="643"/>
      <c r="W34" s="643"/>
      <c r="X34" s="643"/>
      <c r="Y34" s="643"/>
    </row>
    <row r="35" spans="1:25" s="637" customFormat="1" ht="20.25" customHeight="1" x14ac:dyDescent="0.2">
      <c r="A35" s="649">
        <v>13</v>
      </c>
      <c r="B35" s="650">
        <v>580139061</v>
      </c>
      <c r="C35" s="505" t="s">
        <v>1997</v>
      </c>
      <c r="D35" s="625"/>
      <c r="E35" s="164">
        <v>628630</v>
      </c>
      <c r="F35" s="849">
        <v>330000</v>
      </c>
      <c r="G35" s="401"/>
      <c r="H35" s="164">
        <f>SUM(E35:G35)</f>
        <v>958630</v>
      </c>
      <c r="I35" s="625"/>
      <c r="J35" s="164">
        <v>650000</v>
      </c>
      <c r="K35" s="849">
        <v>378450</v>
      </c>
      <c r="L35" s="401"/>
      <c r="M35" s="164">
        <f>SUM(J35:L35)</f>
        <v>1028450</v>
      </c>
      <c r="N35" s="625"/>
      <c r="O35" s="164">
        <v>650000</v>
      </c>
      <c r="P35" s="849">
        <v>401220.33962859388</v>
      </c>
      <c r="Q35" s="401"/>
      <c r="R35" s="164">
        <f>SUM(O35:Q35)</f>
        <v>1051220.339628594</v>
      </c>
      <c r="S35" s="625"/>
      <c r="T35" s="164">
        <v>728945</v>
      </c>
      <c r="U35" s="849">
        <v>354583</v>
      </c>
      <c r="V35" s="401"/>
      <c r="W35" s="164">
        <f>SUM(T35:V35)</f>
        <v>1083528</v>
      </c>
      <c r="X35" s="164" t="s">
        <v>53</v>
      </c>
      <c r="Y35" s="164" t="s">
        <v>53</v>
      </c>
    </row>
    <row r="36" spans="1:25" s="401" customFormat="1" ht="30.75" customHeight="1" x14ac:dyDescent="0.2">
      <c r="A36" s="401">
        <v>14</v>
      </c>
      <c r="B36" s="620">
        <v>580085371</v>
      </c>
      <c r="C36" s="505" t="s">
        <v>1996</v>
      </c>
      <c r="D36" s="648"/>
      <c r="E36" s="164">
        <v>912924</v>
      </c>
      <c r="H36" s="164">
        <f>SUM(E36:G36)</f>
        <v>912924</v>
      </c>
      <c r="I36" s="648"/>
      <c r="J36" s="164">
        <v>765444</v>
      </c>
      <c r="M36" s="164">
        <f>SUM(J36:L36)</f>
        <v>765444</v>
      </c>
      <c r="N36" s="648"/>
      <c r="O36" s="164">
        <v>723894</v>
      </c>
      <c r="P36" s="849"/>
      <c r="R36" s="164">
        <f>SUM(O36:Q36)</f>
        <v>723894</v>
      </c>
      <c r="S36" s="648"/>
      <c r="T36" s="164">
        <v>753448</v>
      </c>
      <c r="U36" s="849"/>
      <c r="W36" s="164">
        <f>SUM(T36:V36)</f>
        <v>753448</v>
      </c>
      <c r="X36" s="164" t="s">
        <v>73</v>
      </c>
      <c r="Y36" s="164" t="s">
        <v>136</v>
      </c>
    </row>
    <row r="37" spans="1:25" s="401" customFormat="1" ht="25.5" x14ac:dyDescent="0.2">
      <c r="A37" s="649"/>
      <c r="B37" s="641">
        <v>580150761</v>
      </c>
      <c r="C37" s="505" t="s">
        <v>1995</v>
      </c>
      <c r="D37" s="648"/>
      <c r="E37" s="164">
        <v>183970</v>
      </c>
      <c r="F37" s="849">
        <v>91082.009283260631</v>
      </c>
      <c r="H37" s="164">
        <f>SUM(E37:G37)</f>
        <v>275052.00928326062</v>
      </c>
      <c r="I37" s="648"/>
      <c r="J37" s="164">
        <v>424556</v>
      </c>
      <c r="K37" s="849">
        <v>110754</v>
      </c>
      <c r="M37" s="164">
        <f>SUM(J37:L37)</f>
        <v>535310</v>
      </c>
      <c r="N37" s="648"/>
      <c r="O37" s="164">
        <v>350000</v>
      </c>
      <c r="P37" s="849">
        <v>250000</v>
      </c>
      <c r="R37" s="164">
        <f>SUM(O37:Q37)</f>
        <v>600000</v>
      </c>
      <c r="S37" s="648"/>
      <c r="T37" s="164">
        <v>654965</v>
      </c>
      <c r="U37" s="849">
        <v>190929</v>
      </c>
      <c r="W37" s="164">
        <f>SUM(T37:V37)</f>
        <v>845894</v>
      </c>
      <c r="X37" s="164" t="s">
        <v>53</v>
      </c>
      <c r="Y37" s="164" t="s">
        <v>53</v>
      </c>
    </row>
    <row r="38" spans="1:25" s="401" customFormat="1" ht="29.25" customHeight="1" x14ac:dyDescent="0.2">
      <c r="A38" s="649"/>
      <c r="B38" s="641">
        <v>580103471</v>
      </c>
      <c r="C38" s="436" t="s">
        <v>1994</v>
      </c>
      <c r="D38" s="648"/>
      <c r="E38" s="164"/>
      <c r="H38" s="164">
        <f>SUM(E38:G38)</f>
        <v>0</v>
      </c>
      <c r="I38" s="648"/>
      <c r="J38" s="164"/>
      <c r="M38" s="164">
        <f>SUM(J38:L38)</f>
        <v>0</v>
      </c>
      <c r="N38" s="648"/>
      <c r="O38" s="164"/>
      <c r="R38" s="164">
        <f>SUM(O38:Q38)</f>
        <v>0</v>
      </c>
      <c r="S38" s="648"/>
      <c r="T38" s="164"/>
      <c r="U38" s="849"/>
      <c r="W38" s="164">
        <f>SUM(T38:V38)</f>
        <v>0</v>
      </c>
      <c r="X38" s="164" t="s">
        <v>294</v>
      </c>
      <c r="Y38" s="164" t="s">
        <v>9</v>
      </c>
    </row>
    <row r="39" spans="1:25" s="642" customFormat="1" ht="18" x14ac:dyDescent="0.25">
      <c r="A39" s="644"/>
      <c r="B39" s="647" t="s">
        <v>1993</v>
      </c>
      <c r="C39" s="646"/>
      <c r="D39" s="625"/>
      <c r="I39" s="625"/>
      <c r="N39" s="625"/>
      <c r="S39" s="625"/>
    </row>
    <row r="40" spans="1:25" s="637" customFormat="1" ht="18.75" customHeight="1" x14ac:dyDescent="0.2">
      <c r="A40" s="401">
        <v>17</v>
      </c>
      <c r="B40" s="645">
        <v>580162220</v>
      </c>
      <c r="C40" s="505" t="s">
        <v>1992</v>
      </c>
      <c r="D40" s="625"/>
      <c r="E40" s="164">
        <v>2339888</v>
      </c>
      <c r="F40" s="849">
        <f>1604173+527427</f>
        <v>2131600</v>
      </c>
      <c r="G40" s="401"/>
      <c r="H40" s="164">
        <f>SUM(E40:G40)</f>
        <v>4471488</v>
      </c>
      <c r="I40" s="625"/>
      <c r="J40" s="164">
        <f>1653860+564317</f>
        <v>2218177</v>
      </c>
      <c r="K40" s="849">
        <f>1062021+346646</f>
        <v>1408667</v>
      </c>
      <c r="L40" s="401"/>
      <c r="M40" s="164">
        <f>SUM(J40:L40)</f>
        <v>3626844</v>
      </c>
      <c r="N40" s="625"/>
      <c r="O40" s="164">
        <f>1561678+472258</f>
        <v>2033936</v>
      </c>
      <c r="P40" s="849">
        <v>1369196.5066097425</v>
      </c>
      <c r="Q40" s="401"/>
      <c r="R40" s="164">
        <f>SUM(O40:Q40)</f>
        <v>3403132.5066097425</v>
      </c>
      <c r="S40" s="625"/>
      <c r="T40" s="164">
        <f>2029118+652421</f>
        <v>2681539</v>
      </c>
      <c r="U40" s="849">
        <f>851914+257622</f>
        <v>1109536</v>
      </c>
      <c r="V40" s="401"/>
      <c r="W40" s="164">
        <f>SUM(T40:V40)</f>
        <v>3791075</v>
      </c>
      <c r="X40" s="164" t="s">
        <v>53</v>
      </c>
      <c r="Y40" s="164" t="s">
        <v>53</v>
      </c>
    </row>
    <row r="41" spans="1:25" s="637" customFormat="1" ht="25.5" x14ac:dyDescent="0.2">
      <c r="A41" s="401">
        <v>18</v>
      </c>
      <c r="B41" s="620">
        <v>580201309</v>
      </c>
      <c r="C41" s="505" t="s">
        <v>1991</v>
      </c>
      <c r="D41" s="625"/>
      <c r="E41" s="164">
        <v>1506412</v>
      </c>
      <c r="F41" s="849">
        <f>932787+272063</f>
        <v>1204850</v>
      </c>
      <c r="G41" s="401"/>
      <c r="H41" s="164">
        <f>SUM(E41:G41)</f>
        <v>2711262</v>
      </c>
      <c r="I41" s="625"/>
      <c r="J41" s="164">
        <f>1072319+390839</f>
        <v>1463158</v>
      </c>
      <c r="K41" s="849">
        <f>679005+227891</f>
        <v>906896</v>
      </c>
      <c r="L41" s="401"/>
      <c r="M41" s="164">
        <f>SUM(J41:L41)</f>
        <v>2370054</v>
      </c>
      <c r="N41" s="625"/>
      <c r="O41" s="164">
        <f>978344+331242</f>
        <v>1309586</v>
      </c>
      <c r="P41" s="849">
        <f>661901.835954145+241250</f>
        <v>903151.83595414495</v>
      </c>
      <c r="Q41" s="401"/>
      <c r="R41" s="164">
        <f>SUM(O41:Q41)</f>
        <v>2212737.8359541451</v>
      </c>
      <c r="S41" s="625"/>
      <c r="T41" s="164">
        <f>1264094+419414</f>
        <v>1683508</v>
      </c>
      <c r="U41" s="849">
        <f>533699+180697</f>
        <v>714396</v>
      </c>
      <c r="V41" s="401"/>
      <c r="W41" s="164">
        <f>SUM(T41:V41)</f>
        <v>2397904</v>
      </c>
      <c r="X41" s="164" t="s">
        <v>53</v>
      </c>
      <c r="Y41" s="164" t="s">
        <v>53</v>
      </c>
    </row>
    <row r="42" spans="1:25" s="637" customFormat="1" ht="24" customHeight="1" x14ac:dyDescent="0.2">
      <c r="A42" s="401"/>
      <c r="B42" s="620">
        <v>513720755</v>
      </c>
      <c r="C42" s="505" t="s">
        <v>1990</v>
      </c>
      <c r="D42" s="625"/>
      <c r="E42" s="164">
        <v>558481</v>
      </c>
      <c r="F42" s="401"/>
      <c r="G42" s="401"/>
      <c r="H42" s="164">
        <f>SUM(E42:G42)</f>
        <v>558481</v>
      </c>
      <c r="I42" s="625"/>
      <c r="J42" s="164">
        <f>582234+194844</f>
        <v>777078</v>
      </c>
      <c r="K42" s="401"/>
      <c r="L42" s="401"/>
      <c r="M42" s="164">
        <f>SUM(J42:L42)</f>
        <v>777078</v>
      </c>
      <c r="N42" s="625"/>
      <c r="O42" s="164">
        <f>778574+217862</f>
        <v>996436</v>
      </c>
      <c r="P42" s="849"/>
      <c r="Q42" s="401"/>
      <c r="R42" s="164">
        <f>SUM(O42:Q42)</f>
        <v>996436</v>
      </c>
      <c r="S42" s="625"/>
      <c r="T42" s="164">
        <f>1200183+232032</f>
        <v>1432215</v>
      </c>
      <c r="U42" s="849"/>
      <c r="V42" s="401"/>
      <c r="W42" s="164">
        <f>SUM(T42:V42)</f>
        <v>1432215</v>
      </c>
      <c r="X42" s="164" t="s">
        <v>73</v>
      </c>
      <c r="Y42" s="164" t="s">
        <v>136</v>
      </c>
    </row>
    <row r="43" spans="1:25" s="637" customFormat="1" ht="24" customHeight="1" x14ac:dyDescent="0.2">
      <c r="A43" s="401"/>
      <c r="B43" s="620">
        <v>580347086</v>
      </c>
      <c r="C43" s="505" t="s">
        <v>2057</v>
      </c>
      <c r="D43" s="625"/>
      <c r="E43" s="164">
        <v>480000</v>
      </c>
      <c r="F43" s="401"/>
      <c r="G43" s="401"/>
      <c r="H43" s="164">
        <f>SUM(E43:G43)</f>
        <v>480000</v>
      </c>
      <c r="I43" s="625"/>
      <c r="J43" s="164">
        <v>601587</v>
      </c>
      <c r="K43" s="401"/>
      <c r="L43" s="401"/>
      <c r="M43" s="164">
        <f>SUM(J43:L43)</f>
        <v>601587</v>
      </c>
      <c r="N43" s="625"/>
      <c r="O43" s="164">
        <f>642770</f>
        <v>642770</v>
      </c>
      <c r="P43" s="849"/>
      <c r="Q43" s="401"/>
      <c r="R43" s="164">
        <f>SUM(O43:Q43)</f>
        <v>642770</v>
      </c>
      <c r="S43" s="625"/>
      <c r="T43" s="164">
        <f>850000+150000</f>
        <v>1000000</v>
      </c>
      <c r="U43" s="849"/>
      <c r="V43" s="401"/>
      <c r="W43" s="164">
        <f>SUM(T43:V43)</f>
        <v>1000000</v>
      </c>
      <c r="X43" s="164" t="s">
        <v>1968</v>
      </c>
      <c r="Y43" s="164" t="s">
        <v>32</v>
      </c>
    </row>
    <row r="44" spans="1:25" s="642" customFormat="1" ht="18" x14ac:dyDescent="0.25">
      <c r="A44" s="644"/>
      <c r="B44" s="1117" t="s">
        <v>1989</v>
      </c>
      <c r="C44" s="1118"/>
      <c r="D44" s="625"/>
      <c r="E44" s="643"/>
      <c r="F44" s="643"/>
      <c r="G44" s="643"/>
      <c r="H44" s="643"/>
      <c r="I44" s="625"/>
      <c r="J44" s="643"/>
      <c r="K44" s="643"/>
      <c r="L44" s="643"/>
      <c r="M44" s="643"/>
      <c r="N44" s="625"/>
      <c r="O44" s="643"/>
      <c r="P44" s="643"/>
      <c r="Q44" s="643"/>
      <c r="R44" s="643"/>
      <c r="S44" s="625"/>
      <c r="T44" s="643"/>
      <c r="U44" s="643"/>
      <c r="V44" s="643"/>
      <c r="W44" s="643"/>
      <c r="X44" s="643"/>
      <c r="Y44" s="643"/>
    </row>
    <row r="45" spans="1:25" s="637" customFormat="1" ht="22.5" customHeight="1" x14ac:dyDescent="0.2">
      <c r="A45" s="401">
        <v>20</v>
      </c>
      <c r="B45" s="641">
        <v>580150761</v>
      </c>
      <c r="C45" s="505" t="s">
        <v>1173</v>
      </c>
      <c r="D45" s="625"/>
      <c r="E45" s="164">
        <v>1300000</v>
      </c>
      <c r="F45" s="849">
        <v>900000</v>
      </c>
      <c r="G45" s="401"/>
      <c r="H45" s="164">
        <f t="shared" ref="H45:H50" si="17">SUM(E45:G45)</f>
        <v>2200000</v>
      </c>
      <c r="I45" s="625"/>
      <c r="J45" s="164">
        <v>1278749</v>
      </c>
      <c r="K45" s="849">
        <v>782630</v>
      </c>
      <c r="L45" s="401"/>
      <c r="M45" s="164">
        <f t="shared" ref="M45:M50" si="18">SUM(J45:L45)</f>
        <v>2061379</v>
      </c>
      <c r="N45" s="625"/>
      <c r="O45" s="164">
        <v>1083829</v>
      </c>
      <c r="P45" s="849">
        <v>789323.24319957639</v>
      </c>
      <c r="Q45" s="401"/>
      <c r="R45" s="164">
        <f t="shared" ref="R45:R50" si="19">SUM(O45:Q45)</f>
        <v>1873152.2431995764</v>
      </c>
      <c r="S45" s="625"/>
      <c r="T45" s="164">
        <v>1017640</v>
      </c>
      <c r="U45" s="849">
        <v>591242</v>
      </c>
      <c r="V45" s="401"/>
      <c r="W45" s="164">
        <f t="shared" ref="W45:W50" si="20">SUM(T45:V45)</f>
        <v>1608882</v>
      </c>
      <c r="X45" s="164" t="s">
        <v>53</v>
      </c>
      <c r="Y45" s="164" t="s">
        <v>53</v>
      </c>
    </row>
    <row r="46" spans="1:25" s="637" customFormat="1" hidden="1" x14ac:dyDescent="0.2">
      <c r="A46" s="639">
        <v>23</v>
      </c>
      <c r="B46" s="620">
        <v>520044330</v>
      </c>
      <c r="C46" s="505" t="s">
        <v>1988</v>
      </c>
      <c r="D46" s="625"/>
      <c r="E46" s="164"/>
      <c r="F46" s="401"/>
      <c r="G46" s="401"/>
      <c r="H46" s="164">
        <f t="shared" si="17"/>
        <v>0</v>
      </c>
      <c r="I46" s="625"/>
      <c r="J46" s="164"/>
      <c r="K46" s="401"/>
      <c r="L46" s="401"/>
      <c r="M46" s="164">
        <f t="shared" si="18"/>
        <v>0</v>
      </c>
      <c r="N46" s="625"/>
      <c r="O46" s="164"/>
      <c r="P46" s="401"/>
      <c r="Q46" s="401"/>
      <c r="R46" s="164">
        <f t="shared" si="19"/>
        <v>0</v>
      </c>
      <c r="S46" s="625"/>
      <c r="T46" s="164"/>
      <c r="U46" s="401"/>
      <c r="V46" s="401"/>
      <c r="W46" s="164">
        <f t="shared" si="20"/>
        <v>0</v>
      </c>
      <c r="X46" s="164"/>
      <c r="Y46" s="164"/>
    </row>
    <row r="47" spans="1:25" s="637" customFormat="1" ht="25.5" hidden="1" x14ac:dyDescent="0.2">
      <c r="A47" s="639">
        <v>25</v>
      </c>
      <c r="B47" s="620">
        <v>580074490</v>
      </c>
      <c r="C47" s="505" t="s">
        <v>1987</v>
      </c>
      <c r="D47" s="625"/>
      <c r="E47" s="164"/>
      <c r="F47" s="401"/>
      <c r="G47" s="401"/>
      <c r="H47" s="164">
        <f t="shared" si="17"/>
        <v>0</v>
      </c>
      <c r="I47" s="625"/>
      <c r="J47" s="164"/>
      <c r="K47" s="401"/>
      <c r="L47" s="401"/>
      <c r="M47" s="164">
        <f t="shared" si="18"/>
        <v>0</v>
      </c>
      <c r="N47" s="625"/>
      <c r="O47" s="164"/>
      <c r="P47" s="401"/>
      <c r="Q47" s="401"/>
      <c r="R47" s="164">
        <f t="shared" si="19"/>
        <v>0</v>
      </c>
      <c r="S47" s="625"/>
      <c r="T47" s="164"/>
      <c r="U47" s="401"/>
      <c r="V47" s="401"/>
      <c r="W47" s="164">
        <f t="shared" si="20"/>
        <v>0</v>
      </c>
      <c r="X47" s="164"/>
      <c r="Y47" s="164"/>
    </row>
    <row r="48" spans="1:25" s="638" customFormat="1" ht="18" customHeight="1" x14ac:dyDescent="0.2">
      <c r="A48" s="639">
        <v>21</v>
      </c>
      <c r="B48" s="620">
        <v>580145696</v>
      </c>
      <c r="C48" s="505" t="s">
        <v>1986</v>
      </c>
      <c r="D48" s="625"/>
      <c r="E48" s="164">
        <v>380000</v>
      </c>
      <c r="F48" s="639"/>
      <c r="G48" s="639"/>
      <c r="H48" s="164">
        <f t="shared" si="17"/>
        <v>380000</v>
      </c>
      <c r="I48" s="625"/>
      <c r="J48" s="164">
        <v>373788</v>
      </c>
      <c r="K48" s="639"/>
      <c r="L48" s="639"/>
      <c r="M48" s="164">
        <f t="shared" si="18"/>
        <v>373788</v>
      </c>
      <c r="N48" s="625"/>
      <c r="O48" s="164">
        <v>432200</v>
      </c>
      <c r="P48" s="639"/>
      <c r="Q48" s="639"/>
      <c r="R48" s="164">
        <f t="shared" si="19"/>
        <v>432200</v>
      </c>
      <c r="S48" s="625"/>
      <c r="T48" s="164">
        <v>726353</v>
      </c>
      <c r="U48" s="639"/>
      <c r="V48" s="639"/>
      <c r="W48" s="164">
        <f t="shared" si="20"/>
        <v>726353</v>
      </c>
      <c r="X48" s="164" t="s">
        <v>9</v>
      </c>
      <c r="Y48" s="164" t="s">
        <v>9</v>
      </c>
    </row>
    <row r="49" spans="1:25" s="637" customFormat="1" ht="24" customHeight="1" x14ac:dyDescent="0.2">
      <c r="A49" s="401"/>
      <c r="B49" s="620">
        <v>513720755</v>
      </c>
      <c r="C49" s="505" t="s">
        <v>1985</v>
      </c>
      <c r="D49" s="625"/>
      <c r="E49" s="164">
        <v>376927</v>
      </c>
      <c r="F49" s="401"/>
      <c r="G49" s="401"/>
      <c r="H49" s="164">
        <f t="shared" si="17"/>
        <v>376927</v>
      </c>
      <c r="I49" s="625"/>
      <c r="J49" s="164">
        <v>370766</v>
      </c>
      <c r="K49" s="401"/>
      <c r="L49" s="401"/>
      <c r="M49" s="164">
        <f t="shared" si="18"/>
        <v>370766</v>
      </c>
      <c r="N49" s="625"/>
      <c r="O49" s="164">
        <v>370846</v>
      </c>
      <c r="P49" s="401"/>
      <c r="Q49" s="401"/>
      <c r="R49" s="164">
        <f t="shared" si="19"/>
        <v>370846</v>
      </c>
      <c r="S49" s="625"/>
      <c r="T49" s="164">
        <v>620948</v>
      </c>
      <c r="U49" s="401"/>
      <c r="V49" s="401"/>
      <c r="W49" s="164">
        <f t="shared" si="20"/>
        <v>620948</v>
      </c>
      <c r="X49" s="164" t="s">
        <v>73</v>
      </c>
      <c r="Y49" s="164" t="s">
        <v>136</v>
      </c>
    </row>
    <row r="50" spans="1:25" s="637" customFormat="1" ht="43.5" customHeight="1" x14ac:dyDescent="0.2">
      <c r="A50" s="401"/>
      <c r="B50" s="620">
        <v>580365849</v>
      </c>
      <c r="C50" s="505" t="s">
        <v>1984</v>
      </c>
      <c r="D50" s="625"/>
      <c r="E50" s="164">
        <v>80000</v>
      </c>
      <c r="F50" s="401"/>
      <c r="G50" s="401"/>
      <c r="H50" s="164">
        <f t="shared" si="17"/>
        <v>80000</v>
      </c>
      <c r="I50" s="625"/>
      <c r="J50" s="164">
        <v>89048</v>
      </c>
      <c r="K50" s="401"/>
      <c r="L50" s="401"/>
      <c r="M50" s="164">
        <f t="shared" si="18"/>
        <v>89048</v>
      </c>
      <c r="N50" s="625"/>
      <c r="O50" s="164">
        <v>119716</v>
      </c>
      <c r="P50" s="401"/>
      <c r="Q50" s="401"/>
      <c r="R50" s="164">
        <f t="shared" si="19"/>
        <v>119716</v>
      </c>
      <c r="S50" s="625"/>
      <c r="T50" s="164">
        <v>253332</v>
      </c>
      <c r="U50" s="401"/>
      <c r="V50" s="401"/>
      <c r="W50" s="164">
        <f t="shared" si="20"/>
        <v>253332</v>
      </c>
      <c r="X50" s="164" t="s">
        <v>1983</v>
      </c>
      <c r="Y50" s="164" t="s">
        <v>136</v>
      </c>
    </row>
    <row r="51" spans="1:25" s="633" customFormat="1" ht="15" x14ac:dyDescent="0.25">
      <c r="B51" s="636"/>
      <c r="C51" s="635"/>
      <c r="D51" s="625"/>
      <c r="E51" s="634"/>
      <c r="F51" s="634"/>
      <c r="G51" s="634"/>
      <c r="H51" s="634"/>
      <c r="I51" s="625"/>
      <c r="J51" s="634"/>
      <c r="K51" s="634"/>
      <c r="L51" s="634"/>
      <c r="M51" s="634"/>
      <c r="N51" s="625"/>
      <c r="O51" s="634"/>
      <c r="P51" s="634"/>
      <c r="Q51" s="634"/>
      <c r="R51" s="634"/>
      <c r="S51" s="625"/>
      <c r="T51" s="634"/>
      <c r="U51" s="634"/>
      <c r="V51" s="634"/>
      <c r="W51" s="634"/>
      <c r="X51" s="634"/>
      <c r="Y51" s="634"/>
    </row>
    <row r="52" spans="1:25" s="629" customFormat="1" ht="21.75" customHeight="1" x14ac:dyDescent="0.3">
      <c r="A52" s="632"/>
      <c r="B52" s="631" t="s">
        <v>475</v>
      </c>
      <c r="D52" s="625"/>
      <c r="E52" s="630">
        <f>SUM(E54:E68)</f>
        <v>736408</v>
      </c>
      <c r="F52" s="630">
        <f>SUM(F54:F64)</f>
        <v>0</v>
      </c>
      <c r="G52" s="630">
        <f>SUM(G54:G64)</f>
        <v>0</v>
      </c>
      <c r="H52" s="630">
        <f>SUM(H54:H68)</f>
        <v>736408</v>
      </c>
      <c r="I52" s="625"/>
      <c r="J52" s="630">
        <f>SUM(J54:J68)</f>
        <v>697131</v>
      </c>
      <c r="K52" s="630">
        <f>SUM(K54:K64)</f>
        <v>0</v>
      </c>
      <c r="L52" s="630">
        <f>SUM(L54:L64)</f>
        <v>0</v>
      </c>
      <c r="M52" s="630">
        <f>SUM(M54:M68)</f>
        <v>697131</v>
      </c>
      <c r="N52" s="625"/>
      <c r="O52" s="630">
        <f>SUM(O54:O68)</f>
        <v>524275</v>
      </c>
      <c r="P52" s="630">
        <f>SUM(P54:P64)</f>
        <v>0</v>
      </c>
      <c r="Q52" s="630">
        <f>SUM(Q54:Q64)</f>
        <v>0</v>
      </c>
      <c r="R52" s="630">
        <f>SUM(R54:R68)</f>
        <v>524275</v>
      </c>
      <c r="S52" s="625"/>
      <c r="T52" s="630">
        <f>SUM(T54:T68)</f>
        <v>173900</v>
      </c>
      <c r="U52" s="630">
        <f>SUM(U54:U64)</f>
        <v>0</v>
      </c>
      <c r="V52" s="630">
        <f>SUM(V54:V64)</f>
        <v>0</v>
      </c>
      <c r="W52" s="630">
        <f>SUM(W54:W68)</f>
        <v>173900</v>
      </c>
      <c r="X52" s="630"/>
      <c r="Y52" s="630"/>
    </row>
    <row r="53" spans="1:25" s="623" customFormat="1" ht="15" x14ac:dyDescent="0.25">
      <c r="B53" s="627" t="s">
        <v>1982</v>
      </c>
      <c r="C53" s="626"/>
      <c r="D53" s="625"/>
      <c r="E53" s="624"/>
      <c r="F53" s="624"/>
      <c r="G53" s="624"/>
      <c r="H53" s="624"/>
      <c r="I53" s="625"/>
      <c r="J53" s="624"/>
      <c r="K53" s="624"/>
      <c r="L53" s="624"/>
      <c r="M53" s="624"/>
      <c r="N53" s="625"/>
      <c r="O53" s="624"/>
      <c r="P53" s="624"/>
      <c r="Q53" s="624"/>
      <c r="R53" s="624"/>
      <c r="S53" s="625"/>
      <c r="T53" s="624"/>
      <c r="U53" s="624"/>
      <c r="V53" s="624"/>
      <c r="W53" s="624"/>
      <c r="X53" s="624"/>
      <c r="Y53" s="624"/>
    </row>
    <row r="54" spans="1:25" s="176" customFormat="1" ht="25.5" x14ac:dyDescent="0.2">
      <c r="A54" s="175"/>
      <c r="B54" s="620">
        <v>500266002</v>
      </c>
      <c r="C54" s="505" t="s">
        <v>1981</v>
      </c>
      <c r="D54" s="628"/>
      <c r="E54" s="164">
        <v>138974</v>
      </c>
      <c r="F54" s="164"/>
      <c r="G54" s="164"/>
      <c r="H54" s="164">
        <f>SUM(E54:G54)</f>
        <v>138974</v>
      </c>
      <c r="I54" s="628"/>
      <c r="J54" s="164">
        <v>109724</v>
      </c>
      <c r="K54" s="164"/>
      <c r="L54" s="164"/>
      <c r="M54" s="164">
        <f>SUM(J54:L54)</f>
        <v>109724</v>
      </c>
      <c r="N54" s="628"/>
      <c r="O54" s="164">
        <v>150115</v>
      </c>
      <c r="P54" s="164"/>
      <c r="Q54" s="164"/>
      <c r="R54" s="164">
        <f>SUM(O54:Q54)</f>
        <v>150115</v>
      </c>
      <c r="S54" s="628"/>
      <c r="T54" s="164">
        <v>173900</v>
      </c>
      <c r="U54" s="164"/>
      <c r="V54" s="164"/>
      <c r="W54" s="164">
        <f>SUM(T54:V54)</f>
        <v>173900</v>
      </c>
      <c r="X54" s="164" t="s">
        <v>426</v>
      </c>
      <c r="Y54" s="164" t="s">
        <v>136</v>
      </c>
    </row>
    <row r="55" spans="1:25" s="623" customFormat="1" ht="15" x14ac:dyDescent="0.25">
      <c r="B55" s="627" t="s">
        <v>1980</v>
      </c>
      <c r="C55" s="626"/>
      <c r="D55" s="625"/>
      <c r="E55" s="624"/>
      <c r="F55" s="624"/>
      <c r="G55" s="624"/>
      <c r="H55" s="624"/>
      <c r="I55" s="625"/>
      <c r="J55" s="624"/>
      <c r="K55" s="624"/>
      <c r="L55" s="624"/>
      <c r="M55" s="624"/>
      <c r="N55" s="625"/>
      <c r="O55" s="624"/>
      <c r="P55" s="624"/>
      <c r="Q55" s="624"/>
      <c r="R55" s="624"/>
      <c r="S55" s="625"/>
      <c r="T55" s="624"/>
      <c r="U55" s="624"/>
      <c r="V55" s="624"/>
      <c r="W55" s="624"/>
      <c r="X55" s="624"/>
      <c r="Y55" s="624"/>
    </row>
    <row r="56" spans="1:25" s="618" customFormat="1" ht="21.75" customHeight="1" x14ac:dyDescent="0.2">
      <c r="A56" s="621"/>
      <c r="B56" s="622">
        <v>500262381</v>
      </c>
      <c r="C56" s="505" t="s">
        <v>1979</v>
      </c>
      <c r="D56" s="619"/>
      <c r="E56" s="164"/>
      <c r="F56" s="401"/>
      <c r="G56" s="401"/>
      <c r="H56" s="164">
        <f t="shared" ref="H56:H63" si="21">SUM(E56:G56)</f>
        <v>0</v>
      </c>
      <c r="I56" s="619"/>
      <c r="J56" s="164">
        <v>9464</v>
      </c>
      <c r="K56" s="401"/>
      <c r="L56" s="401"/>
      <c r="M56" s="164">
        <f t="shared" ref="M56:M63" si="22">SUM(J56:L56)</f>
        <v>9464</v>
      </c>
      <c r="N56" s="619"/>
      <c r="O56" s="164"/>
      <c r="P56" s="401"/>
      <c r="Q56" s="401"/>
      <c r="R56" s="164">
        <f t="shared" ref="R56:R63" si="23">SUM(O56:Q56)</f>
        <v>0</v>
      </c>
      <c r="S56" s="619"/>
      <c r="T56" s="164"/>
      <c r="U56" s="401"/>
      <c r="V56" s="401"/>
      <c r="W56" s="164">
        <f t="shared" ref="W56:W63" si="24">SUM(T56:V56)</f>
        <v>0</v>
      </c>
      <c r="X56" s="164" t="s">
        <v>2328</v>
      </c>
      <c r="Y56" s="164" t="s">
        <v>32</v>
      </c>
    </row>
    <row r="57" spans="1:25" s="618" customFormat="1" ht="25.5" x14ac:dyDescent="0.2">
      <c r="A57" s="621"/>
      <c r="B57" s="622">
        <v>500223094</v>
      </c>
      <c r="C57" s="505" t="s">
        <v>1978</v>
      </c>
      <c r="D57" s="619"/>
      <c r="E57" s="164">
        <v>35388</v>
      </c>
      <c r="F57" s="401"/>
      <c r="G57" s="401"/>
      <c r="H57" s="164">
        <f t="shared" si="21"/>
        <v>35388</v>
      </c>
      <c r="I57" s="619"/>
      <c r="J57" s="164">
        <v>36404</v>
      </c>
      <c r="K57" s="401"/>
      <c r="L57" s="401"/>
      <c r="M57" s="164">
        <f t="shared" si="22"/>
        <v>36404</v>
      </c>
      <c r="N57" s="619"/>
      <c r="O57" s="1114" t="s">
        <v>3163</v>
      </c>
      <c r="P57" s="1115"/>
      <c r="Q57" s="1116"/>
      <c r="R57" s="164">
        <f t="shared" si="23"/>
        <v>0</v>
      </c>
      <c r="S57" s="619"/>
      <c r="T57" s="1114" t="s">
        <v>3163</v>
      </c>
      <c r="U57" s="1115"/>
      <c r="V57" s="1116"/>
      <c r="W57" s="164">
        <f t="shared" si="24"/>
        <v>0</v>
      </c>
      <c r="X57" s="164" t="s">
        <v>2325</v>
      </c>
      <c r="Y57" s="164" t="s">
        <v>9</v>
      </c>
    </row>
    <row r="58" spans="1:25" s="618" customFormat="1" ht="37.5" customHeight="1" x14ac:dyDescent="0.2">
      <c r="A58" s="621"/>
      <c r="B58" s="620">
        <v>500221015</v>
      </c>
      <c r="C58" s="505" t="s">
        <v>1977</v>
      </c>
      <c r="D58" s="619"/>
      <c r="E58" s="164">
        <v>82625</v>
      </c>
      <c r="F58" s="401"/>
      <c r="G58" s="401"/>
      <c r="H58" s="164">
        <f t="shared" si="21"/>
        <v>82625</v>
      </c>
      <c r="I58" s="619"/>
      <c r="J58" s="164">
        <v>84998</v>
      </c>
      <c r="K58" s="401"/>
      <c r="L58" s="401"/>
      <c r="M58" s="164">
        <f t="shared" si="22"/>
        <v>84998</v>
      </c>
      <c r="N58" s="619"/>
      <c r="O58" s="164"/>
      <c r="P58" s="401"/>
      <c r="Q58" s="401"/>
      <c r="R58" s="164">
        <f t="shared" si="23"/>
        <v>0</v>
      </c>
      <c r="S58" s="619"/>
      <c r="T58" s="164"/>
      <c r="U58" s="401"/>
      <c r="V58" s="401"/>
      <c r="W58" s="164">
        <f t="shared" si="24"/>
        <v>0</v>
      </c>
      <c r="X58" s="164" t="s">
        <v>2333</v>
      </c>
      <c r="Y58" s="164" t="s">
        <v>9</v>
      </c>
    </row>
    <row r="59" spans="1:25" s="618" customFormat="1" ht="27" customHeight="1" x14ac:dyDescent="0.2">
      <c r="A59" s="621"/>
      <c r="B59" s="620">
        <v>500250006</v>
      </c>
      <c r="C59" s="505" t="s">
        <v>1976</v>
      </c>
      <c r="D59" s="619"/>
      <c r="E59" s="164">
        <v>314176</v>
      </c>
      <c r="F59" s="401"/>
      <c r="G59" s="401"/>
      <c r="H59" s="164">
        <f t="shared" si="21"/>
        <v>314176</v>
      </c>
      <c r="I59" s="619"/>
      <c r="J59" s="164">
        <f>14344+268771+14132</f>
        <v>297247</v>
      </c>
      <c r="K59" s="401"/>
      <c r="L59" s="401"/>
      <c r="M59" s="164">
        <f t="shared" si="22"/>
        <v>297247</v>
      </c>
      <c r="N59" s="619"/>
      <c r="O59" s="164">
        <v>374160</v>
      </c>
      <c r="P59" s="401"/>
      <c r="Q59" s="401"/>
      <c r="R59" s="164">
        <f t="shared" si="23"/>
        <v>374160</v>
      </c>
      <c r="S59" s="619"/>
      <c r="T59" s="1114" t="s">
        <v>3163</v>
      </c>
      <c r="U59" s="1115"/>
      <c r="V59" s="1116"/>
      <c r="W59" s="164">
        <f t="shared" si="24"/>
        <v>0</v>
      </c>
      <c r="X59" s="164" t="s">
        <v>73</v>
      </c>
      <c r="Y59" s="164" t="s">
        <v>136</v>
      </c>
    </row>
    <row r="60" spans="1:25" s="618" customFormat="1" ht="27" customHeight="1" x14ac:dyDescent="0.2">
      <c r="A60" s="621"/>
      <c r="B60" s="620">
        <v>500262548</v>
      </c>
      <c r="C60" s="505" t="s">
        <v>1975</v>
      </c>
      <c r="D60" s="619"/>
      <c r="E60" s="164">
        <v>28122</v>
      </c>
      <c r="F60" s="401"/>
      <c r="G60" s="401"/>
      <c r="H60" s="164">
        <f t="shared" si="21"/>
        <v>28122</v>
      </c>
      <c r="I60" s="619"/>
      <c r="J60" s="164"/>
      <c r="K60" s="401"/>
      <c r="L60" s="401"/>
      <c r="M60" s="164">
        <f t="shared" si="22"/>
        <v>0</v>
      </c>
      <c r="N60" s="619"/>
      <c r="O60" s="164"/>
      <c r="P60" s="401"/>
      <c r="Q60" s="401"/>
      <c r="R60" s="164">
        <f t="shared" si="23"/>
        <v>0</v>
      </c>
      <c r="S60" s="619"/>
      <c r="T60" s="164"/>
      <c r="U60" s="401"/>
      <c r="V60" s="401"/>
      <c r="W60" s="164">
        <f t="shared" si="24"/>
        <v>0</v>
      </c>
      <c r="X60" s="164" t="s">
        <v>2334</v>
      </c>
      <c r="Y60" s="164" t="s">
        <v>32</v>
      </c>
    </row>
    <row r="61" spans="1:25" s="618" customFormat="1" ht="27" customHeight="1" x14ac:dyDescent="0.2">
      <c r="A61" s="621"/>
      <c r="B61" s="620">
        <v>500201827</v>
      </c>
      <c r="C61" s="505" t="s">
        <v>1974</v>
      </c>
      <c r="D61" s="619"/>
      <c r="E61" s="164">
        <v>13943</v>
      </c>
      <c r="F61" s="401"/>
      <c r="G61" s="401"/>
      <c r="H61" s="164">
        <f t="shared" si="21"/>
        <v>13943</v>
      </c>
      <c r="I61" s="619"/>
      <c r="J61" s="164">
        <v>4183</v>
      </c>
      <c r="K61" s="401"/>
      <c r="L61" s="401"/>
      <c r="M61" s="164">
        <f t="shared" si="22"/>
        <v>4183</v>
      </c>
      <c r="N61" s="619"/>
      <c r="O61" s="164"/>
      <c r="P61" s="401"/>
      <c r="Q61" s="401"/>
      <c r="R61" s="164">
        <f t="shared" si="23"/>
        <v>0</v>
      </c>
      <c r="S61" s="619"/>
      <c r="T61" s="164"/>
      <c r="U61" s="401"/>
      <c r="V61" s="401"/>
      <c r="W61" s="164">
        <f t="shared" si="24"/>
        <v>0</v>
      </c>
      <c r="X61" s="164" t="s">
        <v>1973</v>
      </c>
      <c r="Y61" s="164" t="s">
        <v>12</v>
      </c>
    </row>
    <row r="62" spans="1:25" s="618" customFormat="1" ht="27" customHeight="1" x14ac:dyDescent="0.2">
      <c r="A62" s="621"/>
      <c r="B62" s="620">
        <v>500224563</v>
      </c>
      <c r="C62" s="505" t="s">
        <v>2247</v>
      </c>
      <c r="D62" s="619"/>
      <c r="E62" s="164">
        <v>15492</v>
      </c>
      <c r="F62" s="401"/>
      <c r="G62" s="401"/>
      <c r="H62" s="164">
        <f t="shared" si="21"/>
        <v>15492</v>
      </c>
      <c r="I62" s="619"/>
      <c r="J62" s="164">
        <v>15937</v>
      </c>
      <c r="K62" s="401"/>
      <c r="L62" s="401"/>
      <c r="M62" s="164">
        <f t="shared" si="22"/>
        <v>15937</v>
      </c>
      <c r="N62" s="619"/>
      <c r="O62" s="164"/>
      <c r="P62" s="401"/>
      <c r="Q62" s="401"/>
      <c r="R62" s="164">
        <f t="shared" si="23"/>
        <v>0</v>
      </c>
      <c r="S62" s="619"/>
      <c r="T62" s="164"/>
      <c r="U62" s="401"/>
      <c r="V62" s="401"/>
      <c r="W62" s="164">
        <f t="shared" si="24"/>
        <v>0</v>
      </c>
      <c r="X62" s="164" t="s">
        <v>1060</v>
      </c>
      <c r="Y62" s="164" t="s">
        <v>9</v>
      </c>
    </row>
    <row r="63" spans="1:25" s="618" customFormat="1" ht="27" customHeight="1" x14ac:dyDescent="0.2">
      <c r="A63" s="621"/>
      <c r="B63" s="893" t="s">
        <v>2390</v>
      </c>
      <c r="C63" s="505" t="s">
        <v>2391</v>
      </c>
      <c r="D63" s="619"/>
      <c r="E63" s="164">
        <v>13943</v>
      </c>
      <c r="F63" s="401"/>
      <c r="G63" s="401"/>
      <c r="H63" s="164">
        <f t="shared" si="21"/>
        <v>13943</v>
      </c>
      <c r="I63" s="619"/>
      <c r="J63" s="164">
        <v>14344</v>
      </c>
      <c r="K63" s="401"/>
      <c r="L63" s="401"/>
      <c r="M63" s="164">
        <f t="shared" si="22"/>
        <v>14344</v>
      </c>
      <c r="N63" s="619"/>
      <c r="O63" s="164"/>
      <c r="P63" s="401"/>
      <c r="Q63" s="401"/>
      <c r="R63" s="164">
        <f t="shared" si="23"/>
        <v>0</v>
      </c>
      <c r="S63" s="619"/>
      <c r="T63" s="164"/>
      <c r="U63" s="401"/>
      <c r="V63" s="401"/>
      <c r="W63" s="164">
        <f t="shared" si="24"/>
        <v>0</v>
      </c>
      <c r="X63" s="164" t="s">
        <v>2392</v>
      </c>
      <c r="Y63" s="164" t="s">
        <v>12</v>
      </c>
    </row>
    <row r="64" spans="1:25" s="618" customFormat="1" ht="27" customHeight="1" x14ac:dyDescent="0.2">
      <c r="A64" s="621"/>
      <c r="B64" s="620">
        <v>500261375</v>
      </c>
      <c r="C64" s="505" t="s">
        <v>1972</v>
      </c>
      <c r="D64" s="619"/>
      <c r="E64" s="164">
        <v>79802</v>
      </c>
      <c r="F64" s="164"/>
      <c r="G64" s="164"/>
      <c r="H64" s="164">
        <f>SUM(E64:G64)</f>
        <v>79802</v>
      </c>
      <c r="I64" s="619"/>
      <c r="J64" s="164">
        <v>82094</v>
      </c>
      <c r="K64" s="164"/>
      <c r="L64" s="164"/>
      <c r="M64" s="164">
        <f>SUM(J64:L64)</f>
        <v>82094</v>
      </c>
      <c r="N64" s="619"/>
      <c r="O64" s="164"/>
      <c r="P64" s="164"/>
      <c r="Q64" s="164"/>
      <c r="R64" s="164">
        <f>SUM(O64:Q64)</f>
        <v>0</v>
      </c>
      <c r="S64" s="619"/>
      <c r="T64" s="164"/>
      <c r="U64" s="164"/>
      <c r="V64" s="164"/>
      <c r="W64" s="164">
        <f>SUM(T64:V64)</f>
        <v>0</v>
      </c>
      <c r="X64" s="164" t="s">
        <v>2335</v>
      </c>
      <c r="Y64" s="164" t="s">
        <v>32</v>
      </c>
    </row>
    <row r="65" spans="1:25" s="618" customFormat="1" ht="27" customHeight="1" x14ac:dyDescent="0.2">
      <c r="B65" s="620">
        <v>500236112</v>
      </c>
      <c r="C65" s="505" t="s">
        <v>2998</v>
      </c>
      <c r="D65" s="619"/>
      <c r="E65" s="164"/>
      <c r="F65" s="164"/>
      <c r="G65" s="164"/>
      <c r="H65" s="164"/>
      <c r="I65" s="619"/>
      <c r="J65" s="164">
        <v>9464</v>
      </c>
      <c r="K65" s="164"/>
      <c r="L65" s="164"/>
      <c r="M65" s="164">
        <f>SUM(J65:L65)</f>
        <v>9464</v>
      </c>
      <c r="N65" s="619"/>
      <c r="O65" s="164"/>
      <c r="P65" s="164"/>
      <c r="Q65" s="164"/>
      <c r="R65" s="164">
        <f>SUM(O65:Q65)</f>
        <v>0</v>
      </c>
      <c r="S65" s="619"/>
      <c r="T65" s="164"/>
      <c r="U65" s="164"/>
      <c r="V65" s="164"/>
      <c r="W65" s="164">
        <f>SUM(T65:V65)</f>
        <v>0</v>
      </c>
      <c r="X65" s="164" t="s">
        <v>1964</v>
      </c>
      <c r="Y65" s="164" t="s">
        <v>282</v>
      </c>
    </row>
    <row r="66" spans="1:25" s="618" customFormat="1" ht="27" customHeight="1" x14ac:dyDescent="0.2">
      <c r="B66" s="620">
        <v>500237508</v>
      </c>
      <c r="C66" s="505" t="s">
        <v>3000</v>
      </c>
      <c r="D66" s="619"/>
      <c r="E66" s="164"/>
      <c r="F66" s="164"/>
      <c r="G66" s="164"/>
      <c r="H66" s="164"/>
      <c r="I66" s="619"/>
      <c r="J66" s="164">
        <v>9464</v>
      </c>
      <c r="K66" s="164"/>
      <c r="L66" s="164"/>
      <c r="M66" s="164">
        <f>SUM(J66:L66)</f>
        <v>9464</v>
      </c>
      <c r="N66" s="619"/>
      <c r="O66" s="164"/>
      <c r="P66" s="164"/>
      <c r="Q66" s="164"/>
      <c r="R66" s="164"/>
      <c r="S66" s="619"/>
      <c r="T66" s="164"/>
      <c r="U66" s="164"/>
      <c r="V66" s="164"/>
      <c r="W66" s="164"/>
      <c r="X66" s="164" t="s">
        <v>1581</v>
      </c>
      <c r="Y66" s="164" t="s">
        <v>282</v>
      </c>
    </row>
    <row r="67" spans="1:25" s="618" customFormat="1" ht="27" customHeight="1" x14ac:dyDescent="0.2">
      <c r="B67" s="620">
        <v>500210265</v>
      </c>
      <c r="C67" s="505" t="s">
        <v>2997</v>
      </c>
      <c r="D67" s="619"/>
      <c r="E67" s="164"/>
      <c r="F67" s="164"/>
      <c r="G67" s="164"/>
      <c r="H67" s="164"/>
      <c r="I67" s="619"/>
      <c r="J67" s="164">
        <v>9464</v>
      </c>
      <c r="K67" s="164"/>
      <c r="L67" s="164"/>
      <c r="M67" s="164">
        <f>SUM(J67:L67)</f>
        <v>9464</v>
      </c>
      <c r="N67" s="619"/>
      <c r="O67" s="164"/>
      <c r="P67" s="164"/>
      <c r="Q67" s="164"/>
      <c r="R67" s="164">
        <f>SUM(O67:Q67)</f>
        <v>0</v>
      </c>
      <c r="S67" s="619"/>
      <c r="T67" s="164"/>
      <c r="U67" s="164"/>
      <c r="V67" s="164"/>
      <c r="W67" s="164">
        <f>SUM(T67:V67)</f>
        <v>0</v>
      </c>
      <c r="X67" s="164" t="s">
        <v>1549</v>
      </c>
      <c r="Y67" s="164" t="s">
        <v>12</v>
      </c>
    </row>
    <row r="68" spans="1:25" s="618" customFormat="1" ht="27" customHeight="1" x14ac:dyDescent="0.2">
      <c r="B68" s="872" t="s">
        <v>2451</v>
      </c>
      <c r="C68" s="892" t="s">
        <v>2452</v>
      </c>
      <c r="D68" s="619"/>
      <c r="E68" s="164">
        <v>13943</v>
      </c>
      <c r="F68" s="401"/>
      <c r="G68" s="401"/>
      <c r="H68" s="164">
        <v>13943</v>
      </c>
      <c r="I68" s="619"/>
      <c r="J68" s="164">
        <v>14344</v>
      </c>
      <c r="K68" s="401"/>
      <c r="L68" s="401"/>
      <c r="M68" s="164">
        <f>SUM(J68:L68)</f>
        <v>14344</v>
      </c>
      <c r="N68" s="619"/>
      <c r="O68" s="164"/>
      <c r="P68" s="401"/>
      <c r="Q68" s="401"/>
      <c r="R68" s="164">
        <f>SUM(O68:Q68)</f>
        <v>0</v>
      </c>
      <c r="S68" s="619"/>
      <c r="T68" s="164"/>
      <c r="U68" s="401"/>
      <c r="V68" s="401"/>
      <c r="W68" s="164">
        <f>SUM(T68:V68)</f>
        <v>0</v>
      </c>
      <c r="X68" s="164" t="s">
        <v>1487</v>
      </c>
      <c r="Y68" s="164" t="s">
        <v>9</v>
      </c>
    </row>
    <row r="69" spans="1:25" s="179" customFormat="1" x14ac:dyDescent="0.2">
      <c r="A69" s="177"/>
      <c r="B69" s="155"/>
      <c r="C69" s="178"/>
      <c r="D69" s="617"/>
      <c r="I69" s="617"/>
      <c r="N69" s="617"/>
      <c r="S69" s="617"/>
    </row>
    <row r="70" spans="1:25" s="668" customFormat="1" ht="43.5" customHeight="1" x14ac:dyDescent="0.2">
      <c r="A70" s="673"/>
      <c r="B70" s="672" t="s">
        <v>7</v>
      </c>
      <c r="C70" s="958" t="s">
        <v>3162</v>
      </c>
      <c r="D70" s="671"/>
      <c r="E70" s="669">
        <f>E71+E117</f>
        <v>0</v>
      </c>
      <c r="F70" s="670">
        <f>F71+F117</f>
        <v>0</v>
      </c>
      <c r="G70" s="670">
        <f>G71+G117</f>
        <v>0</v>
      </c>
      <c r="H70" s="669">
        <f>H71+H117</f>
        <v>0</v>
      </c>
      <c r="I70" s="671"/>
      <c r="J70" s="669">
        <f>J71+J117</f>
        <v>0</v>
      </c>
      <c r="K70" s="670">
        <f>K71+K117</f>
        <v>0</v>
      </c>
      <c r="L70" s="670">
        <f>L71+L117</f>
        <v>0</v>
      </c>
      <c r="M70" s="669">
        <f>M71+M117</f>
        <v>0</v>
      </c>
      <c r="N70" s="671"/>
      <c r="O70" s="669">
        <f>SUM(O71:O96)</f>
        <v>1659792.04</v>
      </c>
      <c r="P70" s="669">
        <f>SUM(P71:P96)</f>
        <v>135128.54133866652</v>
      </c>
      <c r="Q70" s="669">
        <f>SUM(Q71:Q96)</f>
        <v>0</v>
      </c>
      <c r="R70" s="669">
        <f>SUM(R71:R96)</f>
        <v>1794920.5813386666</v>
      </c>
      <c r="S70" s="671"/>
      <c r="T70" s="669">
        <f>SUM(T71:T96)</f>
        <v>3425896</v>
      </c>
      <c r="U70" s="669">
        <f>SUM(U71:U96)</f>
        <v>111497</v>
      </c>
      <c r="V70" s="669">
        <f>SUM(V71:V96)</f>
        <v>0</v>
      </c>
      <c r="W70" s="669">
        <f>SUM(W71:W96)</f>
        <v>3537393</v>
      </c>
      <c r="X70" s="669"/>
      <c r="Y70" s="669"/>
    </row>
    <row r="71" spans="1:25" s="618" customFormat="1" ht="21.75" customHeight="1" x14ac:dyDescent="0.2">
      <c r="A71" s="621"/>
      <c r="B71" s="620">
        <v>580079887</v>
      </c>
      <c r="C71" s="505" t="s">
        <v>1065</v>
      </c>
      <c r="D71" s="619"/>
      <c r="E71" s="164"/>
      <c r="F71" s="401"/>
      <c r="G71" s="401"/>
      <c r="H71" s="164"/>
      <c r="I71" s="619"/>
      <c r="J71" s="164"/>
      <c r="K71" s="401"/>
      <c r="L71" s="401"/>
      <c r="M71" s="164"/>
      <c r="N71" s="619"/>
      <c r="O71" s="164">
        <v>356360.01</v>
      </c>
      <c r="P71" s="401"/>
      <c r="Q71" s="401"/>
      <c r="R71" s="164">
        <f t="shared" ref="R71:R96" si="25">SUM(O71:Q71)</f>
        <v>356360.01</v>
      </c>
      <c r="S71" s="619"/>
      <c r="T71" s="164">
        <v>793057</v>
      </c>
      <c r="U71" s="401"/>
      <c r="V71" s="401"/>
      <c r="W71" s="164">
        <f t="shared" ref="W71:W96" si="26">SUM(T71:V71)</f>
        <v>793057</v>
      </c>
      <c r="X71" s="164" t="s">
        <v>400</v>
      </c>
      <c r="Y71" s="164" t="s">
        <v>32</v>
      </c>
    </row>
    <row r="72" spans="1:25" s="618" customFormat="1" ht="27" customHeight="1" x14ac:dyDescent="0.2">
      <c r="A72" s="621"/>
      <c r="B72" s="620">
        <v>580049591</v>
      </c>
      <c r="C72" s="505" t="s">
        <v>2389</v>
      </c>
      <c r="D72" s="619"/>
      <c r="E72" s="164"/>
      <c r="F72" s="401"/>
      <c r="G72" s="401"/>
      <c r="H72" s="164"/>
      <c r="I72" s="619"/>
      <c r="J72" s="164"/>
      <c r="K72" s="401"/>
      <c r="L72" s="401"/>
      <c r="M72" s="164"/>
      <c r="N72" s="619"/>
      <c r="O72" s="164">
        <v>84159</v>
      </c>
      <c r="P72" s="849">
        <v>52466.040658078789</v>
      </c>
      <c r="Q72" s="401"/>
      <c r="R72" s="164">
        <f t="shared" si="25"/>
        <v>136625.0406580788</v>
      </c>
      <c r="S72" s="619"/>
      <c r="T72" s="164">
        <v>122588</v>
      </c>
      <c r="U72" s="849">
        <v>45910</v>
      </c>
      <c r="V72" s="401"/>
      <c r="W72" s="164">
        <f t="shared" si="26"/>
        <v>168498</v>
      </c>
      <c r="X72" s="164" t="s">
        <v>53</v>
      </c>
      <c r="Y72" s="164" t="s">
        <v>53</v>
      </c>
    </row>
    <row r="73" spans="1:25" s="618" customFormat="1" ht="17.25" customHeight="1" x14ac:dyDescent="0.2">
      <c r="A73" s="621"/>
      <c r="B73" s="620">
        <v>580321016</v>
      </c>
      <c r="C73" s="505" t="s">
        <v>2009</v>
      </c>
      <c r="D73" s="619"/>
      <c r="E73" s="164"/>
      <c r="F73" s="849"/>
      <c r="G73" s="401"/>
      <c r="H73" s="164">
        <f t="shared" ref="H73" si="27">SUM(E73:G73)</f>
        <v>0</v>
      </c>
      <c r="I73" s="619"/>
      <c r="J73" s="841"/>
      <c r="K73" s="849"/>
      <c r="L73" s="401"/>
      <c r="M73" s="164">
        <f t="shared" ref="M73" si="28">SUM(J73:L73)</f>
        <v>0</v>
      </c>
      <c r="N73" s="619"/>
      <c r="O73" s="1114"/>
      <c r="P73" s="1115"/>
      <c r="Q73" s="1116"/>
      <c r="R73" s="164">
        <f t="shared" ref="R73" si="29">SUM(O73:Q73)</f>
        <v>0</v>
      </c>
      <c r="S73" s="619"/>
      <c r="T73" s="164">
        <v>120000</v>
      </c>
      <c r="U73" s="164"/>
      <c r="V73" s="164"/>
      <c r="W73" s="164">
        <f t="shared" ref="W73" si="30">SUM(T73:V73)</f>
        <v>120000</v>
      </c>
      <c r="X73" s="164" t="s">
        <v>2008</v>
      </c>
      <c r="Y73" s="164" t="s">
        <v>53</v>
      </c>
    </row>
    <row r="74" spans="1:25" s="618" customFormat="1" ht="27" customHeight="1" x14ac:dyDescent="0.2">
      <c r="A74" s="621"/>
      <c r="B74" s="620" t="s">
        <v>3170</v>
      </c>
      <c r="C74" s="505" t="s">
        <v>3251</v>
      </c>
      <c r="D74" s="619"/>
      <c r="E74" s="164"/>
      <c r="F74" s="401"/>
      <c r="G74" s="401"/>
      <c r="H74" s="164"/>
      <c r="I74" s="619"/>
      <c r="J74" s="164"/>
      <c r="K74" s="401"/>
      <c r="L74" s="401"/>
      <c r="M74" s="164"/>
      <c r="N74" s="619"/>
      <c r="O74" s="164">
        <v>13828</v>
      </c>
      <c r="P74" s="401"/>
      <c r="Q74" s="401"/>
      <c r="R74" s="164">
        <f t="shared" si="25"/>
        <v>13828</v>
      </c>
      <c r="S74" s="619"/>
      <c r="T74" s="164">
        <v>56679</v>
      </c>
      <c r="U74" s="401"/>
      <c r="V74" s="401"/>
      <c r="W74" s="164">
        <f t="shared" si="26"/>
        <v>56679</v>
      </c>
      <c r="X74" s="164" t="s">
        <v>3169</v>
      </c>
      <c r="Y74" s="164" t="s">
        <v>12</v>
      </c>
    </row>
    <row r="75" spans="1:25" s="618" customFormat="1" ht="27" customHeight="1" x14ac:dyDescent="0.2">
      <c r="A75" s="621"/>
      <c r="B75" s="620">
        <v>511757114</v>
      </c>
      <c r="C75" s="505" t="s">
        <v>2007</v>
      </c>
      <c r="D75" s="619"/>
      <c r="E75" s="164"/>
      <c r="F75" s="401"/>
      <c r="G75" s="401"/>
      <c r="H75" s="164"/>
      <c r="I75" s="619"/>
      <c r="J75" s="164"/>
      <c r="K75" s="401"/>
      <c r="L75" s="401"/>
      <c r="M75" s="164"/>
      <c r="N75" s="619"/>
      <c r="O75" s="164">
        <v>6143.01</v>
      </c>
      <c r="P75" s="401"/>
      <c r="Q75" s="401"/>
      <c r="R75" s="164">
        <f t="shared" si="25"/>
        <v>6143.01</v>
      </c>
      <c r="S75" s="619"/>
      <c r="T75" s="164">
        <v>39723</v>
      </c>
      <c r="U75" s="401"/>
      <c r="V75" s="401"/>
      <c r="W75" s="164">
        <f t="shared" si="26"/>
        <v>39723</v>
      </c>
      <c r="X75" s="230" t="s">
        <v>461</v>
      </c>
      <c r="Y75" s="230" t="s">
        <v>12</v>
      </c>
    </row>
    <row r="76" spans="1:25" s="618" customFormat="1" ht="27" customHeight="1" x14ac:dyDescent="0.2">
      <c r="A76" s="621"/>
      <c r="B76" s="620">
        <v>580012284</v>
      </c>
      <c r="C76" s="505" t="s">
        <v>2005</v>
      </c>
      <c r="D76" s="619"/>
      <c r="E76" s="164"/>
      <c r="F76" s="401"/>
      <c r="G76" s="401"/>
      <c r="H76" s="164"/>
      <c r="I76" s="619"/>
      <c r="J76" s="164"/>
      <c r="K76" s="401"/>
      <c r="L76" s="401"/>
      <c r="M76" s="164"/>
      <c r="N76" s="619"/>
      <c r="O76" s="164">
        <v>51039</v>
      </c>
      <c r="P76" s="401"/>
      <c r="Q76" s="401"/>
      <c r="R76" s="164">
        <f t="shared" si="25"/>
        <v>51039</v>
      </c>
      <c r="S76" s="619"/>
      <c r="T76" s="164">
        <v>50000</v>
      </c>
      <c r="U76" s="401"/>
      <c r="V76" s="401"/>
      <c r="W76" s="164">
        <f t="shared" si="26"/>
        <v>50000</v>
      </c>
      <c r="X76" s="164" t="s">
        <v>1509</v>
      </c>
      <c r="Y76" s="164" t="s">
        <v>9</v>
      </c>
    </row>
    <row r="77" spans="1:25" s="618" customFormat="1" ht="24.75" customHeight="1" x14ac:dyDescent="0.2">
      <c r="A77" s="621"/>
      <c r="B77" s="651">
        <v>580255875</v>
      </c>
      <c r="C77" s="505" t="s">
        <v>2004</v>
      </c>
      <c r="D77" s="619"/>
      <c r="E77" s="164"/>
      <c r="F77" s="401"/>
      <c r="G77" s="401"/>
      <c r="H77" s="164"/>
      <c r="I77" s="619"/>
      <c r="J77" s="164"/>
      <c r="K77" s="401"/>
      <c r="L77" s="401"/>
      <c r="M77" s="164"/>
      <c r="N77" s="619"/>
      <c r="O77" s="164">
        <v>9346.01</v>
      </c>
      <c r="P77" s="401"/>
      <c r="Q77" s="401"/>
      <c r="R77" s="164">
        <f t="shared" si="25"/>
        <v>9346.01</v>
      </c>
      <c r="S77" s="619"/>
      <c r="T77" s="164">
        <v>41597</v>
      </c>
      <c r="U77" s="401"/>
      <c r="V77" s="401"/>
      <c r="W77" s="164">
        <f t="shared" si="26"/>
        <v>41597</v>
      </c>
      <c r="X77" s="164" t="s">
        <v>658</v>
      </c>
      <c r="Y77" s="654" t="s">
        <v>9</v>
      </c>
    </row>
    <row r="78" spans="1:25" s="618" customFormat="1" ht="27" customHeight="1" x14ac:dyDescent="0.2">
      <c r="A78" s="621"/>
      <c r="B78" s="651">
        <v>580215333</v>
      </c>
      <c r="C78" s="505" t="s">
        <v>2003</v>
      </c>
      <c r="D78" s="619"/>
      <c r="E78" s="164"/>
      <c r="F78" s="401"/>
      <c r="G78" s="401"/>
      <c r="H78" s="164"/>
      <c r="I78" s="619"/>
      <c r="J78" s="164"/>
      <c r="K78" s="401"/>
      <c r="L78" s="401"/>
      <c r="M78" s="164"/>
      <c r="N78" s="619"/>
      <c r="O78" s="164">
        <v>80000</v>
      </c>
      <c r="P78" s="401"/>
      <c r="Q78" s="401"/>
      <c r="R78" s="164">
        <f t="shared" si="25"/>
        <v>80000</v>
      </c>
      <c r="S78" s="619"/>
      <c r="T78" s="164"/>
      <c r="U78" s="401"/>
      <c r="V78" s="401"/>
      <c r="W78" s="164">
        <f t="shared" si="26"/>
        <v>0</v>
      </c>
      <c r="X78" s="164" t="s">
        <v>73</v>
      </c>
      <c r="Y78" s="164" t="s">
        <v>136</v>
      </c>
    </row>
    <row r="79" spans="1:25" s="618" customFormat="1" ht="27" customHeight="1" x14ac:dyDescent="0.2">
      <c r="A79" s="621"/>
      <c r="B79" s="651">
        <v>580420263</v>
      </c>
      <c r="C79" s="505" t="s">
        <v>2999</v>
      </c>
      <c r="D79" s="619"/>
      <c r="E79" s="164"/>
      <c r="F79" s="401"/>
      <c r="G79" s="401"/>
      <c r="H79" s="164"/>
      <c r="I79" s="619"/>
      <c r="J79" s="164"/>
      <c r="K79" s="401"/>
      <c r="L79" s="401"/>
      <c r="M79" s="164"/>
      <c r="N79" s="619"/>
      <c r="O79" s="164">
        <v>120231</v>
      </c>
      <c r="P79" s="849">
        <v>82662.500680587735</v>
      </c>
      <c r="Q79" s="401"/>
      <c r="R79" s="164">
        <f t="shared" si="25"/>
        <v>202893.50068058772</v>
      </c>
      <c r="S79" s="619"/>
      <c r="T79" s="164">
        <v>175894</v>
      </c>
      <c r="U79" s="849">
        <v>65587</v>
      </c>
      <c r="V79" s="401"/>
      <c r="W79" s="164">
        <f t="shared" si="26"/>
        <v>241481</v>
      </c>
      <c r="X79" s="164" t="s">
        <v>73</v>
      </c>
      <c r="Y79" s="164" t="s">
        <v>136</v>
      </c>
    </row>
    <row r="80" spans="1:25" s="618" customFormat="1" ht="27" customHeight="1" x14ac:dyDescent="0.2">
      <c r="A80" s="621"/>
      <c r="B80" s="651">
        <v>510513435</v>
      </c>
      <c r="C80" s="505" t="s">
        <v>2001</v>
      </c>
      <c r="D80" s="619"/>
      <c r="E80" s="164"/>
      <c r="F80" s="401"/>
      <c r="G80" s="401"/>
      <c r="H80" s="164"/>
      <c r="I80" s="619"/>
      <c r="J80" s="164"/>
      <c r="K80" s="401"/>
      <c r="L80" s="401"/>
      <c r="M80" s="164"/>
      <c r="N80" s="619"/>
      <c r="O80" s="164">
        <v>117411</v>
      </c>
      <c r="P80" s="401"/>
      <c r="Q80" s="401"/>
      <c r="R80" s="164">
        <f t="shared" si="25"/>
        <v>117411</v>
      </c>
      <c r="S80" s="619"/>
      <c r="T80" s="164">
        <v>171231</v>
      </c>
      <c r="U80" s="401"/>
      <c r="V80" s="401"/>
      <c r="W80" s="164">
        <f t="shared" si="26"/>
        <v>171231</v>
      </c>
      <c r="X80" s="164" t="s">
        <v>672</v>
      </c>
      <c r="Y80" s="164" t="s">
        <v>32</v>
      </c>
    </row>
    <row r="81" spans="1:25" s="618" customFormat="1" ht="27" customHeight="1" x14ac:dyDescent="0.2">
      <c r="A81" s="621"/>
      <c r="B81" s="651">
        <v>580037745</v>
      </c>
      <c r="C81" s="505" t="s">
        <v>1999</v>
      </c>
      <c r="D81" s="619"/>
      <c r="E81" s="164"/>
      <c r="F81" s="401"/>
      <c r="G81" s="401"/>
      <c r="H81" s="164"/>
      <c r="I81" s="619"/>
      <c r="J81" s="164"/>
      <c r="K81" s="401"/>
      <c r="L81" s="401"/>
      <c r="M81" s="164"/>
      <c r="N81" s="619"/>
      <c r="O81" s="164">
        <v>9562.01</v>
      </c>
      <c r="P81" s="401"/>
      <c r="Q81" s="401"/>
      <c r="R81" s="164">
        <f t="shared" si="25"/>
        <v>9562.01</v>
      </c>
      <c r="S81" s="619"/>
      <c r="T81" s="164">
        <v>42383</v>
      </c>
      <c r="U81" s="401"/>
      <c r="V81" s="401"/>
      <c r="W81" s="164">
        <f t="shared" si="26"/>
        <v>42383</v>
      </c>
      <c r="X81" s="164" t="s">
        <v>43</v>
      </c>
      <c r="Y81" s="164" t="s">
        <v>9</v>
      </c>
    </row>
    <row r="82" spans="1:25" s="618" customFormat="1" ht="27" customHeight="1" x14ac:dyDescent="0.2">
      <c r="A82" s="621"/>
      <c r="B82" s="651">
        <v>580280550</v>
      </c>
      <c r="C82" s="505" t="s">
        <v>3437</v>
      </c>
      <c r="D82" s="619"/>
      <c r="E82" s="164"/>
      <c r="F82" s="401"/>
      <c r="G82" s="401"/>
      <c r="H82" s="164"/>
      <c r="I82" s="619"/>
      <c r="J82" s="164"/>
      <c r="K82" s="401"/>
      <c r="L82" s="401"/>
      <c r="M82" s="164"/>
      <c r="N82" s="619"/>
      <c r="O82" s="164">
        <f>278382+224885</f>
        <v>503267</v>
      </c>
      <c r="P82" s="401"/>
      <c r="Q82" s="401"/>
      <c r="R82" s="164">
        <f t="shared" si="25"/>
        <v>503267</v>
      </c>
      <c r="S82" s="619"/>
      <c r="T82" s="164">
        <f>240000+280000</f>
        <v>520000</v>
      </c>
      <c r="U82" s="401"/>
      <c r="V82" s="401"/>
      <c r="W82" s="164">
        <f t="shared" si="26"/>
        <v>520000</v>
      </c>
      <c r="X82" s="164" t="s">
        <v>1059</v>
      </c>
      <c r="Y82" s="164" t="s">
        <v>9</v>
      </c>
    </row>
    <row r="83" spans="1:25" s="618" customFormat="1" ht="27" customHeight="1" x14ac:dyDescent="0.2">
      <c r="A83" s="621"/>
      <c r="B83" s="651">
        <v>500223094</v>
      </c>
      <c r="C83" s="505" t="s">
        <v>1978</v>
      </c>
      <c r="D83" s="619"/>
      <c r="E83" s="164"/>
      <c r="F83" s="401"/>
      <c r="G83" s="401"/>
      <c r="H83" s="164"/>
      <c r="I83" s="619"/>
      <c r="J83" s="164"/>
      <c r="K83" s="401"/>
      <c r="L83" s="401"/>
      <c r="M83" s="164"/>
      <c r="N83" s="619"/>
      <c r="O83" s="164">
        <v>52837</v>
      </c>
      <c r="P83" s="401"/>
      <c r="Q83" s="401"/>
      <c r="R83" s="164">
        <f t="shared" si="25"/>
        <v>52837</v>
      </c>
      <c r="S83" s="619"/>
      <c r="T83" s="164">
        <v>84485</v>
      </c>
      <c r="U83" s="401"/>
      <c r="V83" s="401"/>
      <c r="W83" s="164">
        <f t="shared" si="26"/>
        <v>84485</v>
      </c>
      <c r="X83" s="164" t="s">
        <v>2325</v>
      </c>
      <c r="Y83" s="164" t="s">
        <v>9</v>
      </c>
    </row>
    <row r="84" spans="1:25" s="618" customFormat="1" ht="27" customHeight="1" x14ac:dyDescent="0.2">
      <c r="A84" s="621"/>
      <c r="B84" s="651">
        <v>500221015</v>
      </c>
      <c r="C84" s="505" t="s">
        <v>1977</v>
      </c>
      <c r="D84" s="619"/>
      <c r="E84" s="164"/>
      <c r="F84" s="401"/>
      <c r="G84" s="401"/>
      <c r="H84" s="164"/>
      <c r="I84" s="619"/>
      <c r="J84" s="164"/>
      <c r="K84" s="401"/>
      <c r="L84" s="401"/>
      <c r="M84" s="164"/>
      <c r="N84" s="619"/>
      <c r="O84" s="841">
        <v>86668</v>
      </c>
      <c r="P84" s="401"/>
      <c r="Q84" s="401"/>
      <c r="R84" s="164">
        <f t="shared" si="25"/>
        <v>86668</v>
      </c>
      <c r="S84" s="619"/>
      <c r="T84" s="164">
        <v>143150</v>
      </c>
      <c r="U84" s="401"/>
      <c r="V84" s="401"/>
      <c r="W84" s="164">
        <f t="shared" si="26"/>
        <v>143150</v>
      </c>
      <c r="X84" s="164" t="s">
        <v>2333</v>
      </c>
      <c r="Y84" s="164" t="s">
        <v>9</v>
      </c>
    </row>
    <row r="85" spans="1:25" s="618" customFormat="1" ht="27" customHeight="1" x14ac:dyDescent="0.2">
      <c r="A85" s="621"/>
      <c r="B85" s="651" t="s">
        <v>3167</v>
      </c>
      <c r="C85" s="505" t="s">
        <v>3168</v>
      </c>
      <c r="D85" s="619"/>
      <c r="E85" s="164"/>
      <c r="F85" s="401"/>
      <c r="G85" s="401"/>
      <c r="H85" s="164"/>
      <c r="I85" s="619"/>
      <c r="J85" s="164"/>
      <c r="K85" s="401"/>
      <c r="L85" s="401"/>
      <c r="M85" s="164"/>
      <c r="N85" s="619"/>
      <c r="O85" s="164">
        <v>98608</v>
      </c>
      <c r="P85" s="401"/>
      <c r="Q85" s="401"/>
      <c r="R85" s="164">
        <f t="shared" si="25"/>
        <v>98608</v>
      </c>
      <c r="S85" s="619"/>
      <c r="T85" s="164">
        <v>151892</v>
      </c>
      <c r="U85" s="401"/>
      <c r="V85" s="401"/>
      <c r="W85" s="164">
        <f t="shared" si="26"/>
        <v>151892</v>
      </c>
      <c r="X85" s="164" t="s">
        <v>1060</v>
      </c>
      <c r="Y85" s="164" t="s">
        <v>9</v>
      </c>
    </row>
    <row r="86" spans="1:25" s="618" customFormat="1" ht="27" customHeight="1" x14ac:dyDescent="0.2">
      <c r="A86" s="621"/>
      <c r="B86" s="651" t="s">
        <v>3164</v>
      </c>
      <c r="C86" s="505" t="s">
        <v>3165</v>
      </c>
      <c r="D86" s="619"/>
      <c r="E86" s="164"/>
      <c r="F86" s="401"/>
      <c r="G86" s="401"/>
      <c r="H86" s="164"/>
      <c r="I86" s="619"/>
      <c r="J86" s="164"/>
      <c r="K86" s="401"/>
      <c r="L86" s="401"/>
      <c r="M86" s="164"/>
      <c r="N86" s="619"/>
      <c r="O86" s="164">
        <v>28607</v>
      </c>
      <c r="P86" s="401"/>
      <c r="Q86" s="401"/>
      <c r="R86" s="164">
        <f t="shared" si="25"/>
        <v>28607</v>
      </c>
      <c r="S86" s="619"/>
      <c r="T86" s="164">
        <v>55216</v>
      </c>
      <c r="U86" s="401"/>
      <c r="V86" s="401"/>
      <c r="W86" s="164">
        <f t="shared" si="26"/>
        <v>55216</v>
      </c>
      <c r="X86" s="164" t="s">
        <v>2524</v>
      </c>
      <c r="Y86" s="164" t="s">
        <v>12</v>
      </c>
    </row>
    <row r="87" spans="1:25" s="618" customFormat="1" ht="27" customHeight="1" x14ac:dyDescent="0.2">
      <c r="A87" s="621"/>
      <c r="B87" s="651">
        <v>500222062</v>
      </c>
      <c r="C87" s="505" t="s">
        <v>3380</v>
      </c>
      <c r="D87" s="619"/>
      <c r="E87" s="164"/>
      <c r="F87" s="401"/>
      <c r="G87" s="401"/>
      <c r="H87" s="164"/>
      <c r="I87" s="619"/>
      <c r="J87" s="164"/>
      <c r="K87" s="401"/>
      <c r="L87" s="401"/>
      <c r="M87" s="164"/>
      <c r="N87" s="619"/>
      <c r="O87" s="164"/>
      <c r="P87" s="401"/>
      <c r="Q87" s="401"/>
      <c r="R87" s="164"/>
      <c r="S87" s="619"/>
      <c r="T87" s="164">
        <v>19531</v>
      </c>
      <c r="U87" s="401"/>
      <c r="V87" s="401"/>
      <c r="W87" s="164">
        <f t="shared" si="26"/>
        <v>19531</v>
      </c>
      <c r="X87" s="164" t="s">
        <v>1476</v>
      </c>
      <c r="Y87" s="164" t="s">
        <v>9</v>
      </c>
    </row>
    <row r="88" spans="1:25" s="618" customFormat="1" ht="27" customHeight="1" x14ac:dyDescent="0.2">
      <c r="A88" s="621"/>
      <c r="B88" s="651">
        <v>580392280</v>
      </c>
      <c r="C88" s="505" t="s">
        <v>1518</v>
      </c>
      <c r="D88" s="619"/>
      <c r="E88" s="164"/>
      <c r="F88" s="401"/>
      <c r="G88" s="401"/>
      <c r="H88" s="164"/>
      <c r="I88" s="619"/>
      <c r="J88" s="164"/>
      <c r="K88" s="401"/>
      <c r="L88" s="401"/>
      <c r="M88" s="164"/>
      <c r="N88" s="619"/>
      <c r="O88" s="164"/>
      <c r="P88" s="401"/>
      <c r="Q88" s="401"/>
      <c r="R88" s="164"/>
      <c r="S88" s="619"/>
      <c r="T88" s="164">
        <v>50809</v>
      </c>
      <c r="U88" s="401"/>
      <c r="V88" s="401"/>
      <c r="W88" s="164">
        <f t="shared" si="26"/>
        <v>50809</v>
      </c>
      <c r="X88" s="164" t="s">
        <v>3381</v>
      </c>
      <c r="Y88" s="164" t="s">
        <v>12</v>
      </c>
    </row>
    <row r="89" spans="1:25" s="618" customFormat="1" ht="27" customHeight="1" x14ac:dyDescent="0.2">
      <c r="A89" s="621"/>
      <c r="B89" s="651">
        <v>510873938</v>
      </c>
      <c r="C89" s="505" t="s">
        <v>3382</v>
      </c>
      <c r="D89" s="619"/>
      <c r="E89" s="164"/>
      <c r="F89" s="401"/>
      <c r="G89" s="401"/>
      <c r="H89" s="164"/>
      <c r="I89" s="619"/>
      <c r="J89" s="164"/>
      <c r="K89" s="401"/>
      <c r="L89" s="401"/>
      <c r="M89" s="164"/>
      <c r="N89" s="619"/>
      <c r="O89" s="164"/>
      <c r="P89" s="401"/>
      <c r="Q89" s="401"/>
      <c r="R89" s="164"/>
      <c r="S89" s="619"/>
      <c r="T89" s="164">
        <v>33964</v>
      </c>
      <c r="U89" s="401"/>
      <c r="V89" s="401"/>
      <c r="W89" s="164">
        <f t="shared" si="26"/>
        <v>33964</v>
      </c>
      <c r="X89" s="164" t="s">
        <v>53</v>
      </c>
      <c r="Y89" s="164" t="s">
        <v>53</v>
      </c>
    </row>
    <row r="90" spans="1:25" s="618" customFormat="1" ht="27" customHeight="1" x14ac:dyDescent="0.2">
      <c r="A90" s="621"/>
      <c r="B90" s="620">
        <v>500262548</v>
      </c>
      <c r="C90" s="505" t="s">
        <v>1975</v>
      </c>
      <c r="D90" s="619"/>
      <c r="E90" s="164"/>
      <c r="F90" s="401"/>
      <c r="G90" s="401"/>
      <c r="H90" s="164">
        <f t="shared" ref="H90:H91" si="31">SUM(E90:G90)</f>
        <v>0</v>
      </c>
      <c r="I90" s="619"/>
      <c r="J90" s="164"/>
      <c r="K90" s="401"/>
      <c r="L90" s="401"/>
      <c r="M90" s="164"/>
      <c r="N90" s="619"/>
      <c r="O90" s="164"/>
      <c r="P90" s="401"/>
      <c r="Q90" s="401"/>
      <c r="R90" s="164"/>
      <c r="S90" s="619"/>
      <c r="T90" s="164">
        <v>18664</v>
      </c>
      <c r="U90" s="401"/>
      <c r="V90" s="401"/>
      <c r="W90" s="164">
        <f t="shared" si="26"/>
        <v>18664</v>
      </c>
      <c r="X90" s="164" t="s">
        <v>2334</v>
      </c>
      <c r="Y90" s="164" t="s">
        <v>32</v>
      </c>
    </row>
    <row r="91" spans="1:25" s="618" customFormat="1" ht="27" customHeight="1" x14ac:dyDescent="0.2">
      <c r="A91" s="621"/>
      <c r="B91" s="620">
        <v>500250006</v>
      </c>
      <c r="C91" s="505" t="s">
        <v>1976</v>
      </c>
      <c r="D91" s="619"/>
      <c r="E91" s="164"/>
      <c r="F91" s="401"/>
      <c r="G91" s="401"/>
      <c r="H91" s="164">
        <f t="shared" si="31"/>
        <v>0</v>
      </c>
      <c r="I91" s="619"/>
      <c r="J91" s="164"/>
      <c r="K91" s="401"/>
      <c r="L91" s="401"/>
      <c r="M91" s="164">
        <f t="shared" ref="M91" si="32">SUM(J91:L91)</f>
        <v>0</v>
      </c>
      <c r="N91" s="619"/>
      <c r="O91" s="164"/>
      <c r="P91" s="401"/>
      <c r="Q91" s="401"/>
      <c r="R91" s="164">
        <f t="shared" ref="R91" si="33">SUM(O91:Q91)</f>
        <v>0</v>
      </c>
      <c r="S91" s="619"/>
      <c r="T91" s="164">
        <f>21178+550000</f>
        <v>571178</v>
      </c>
      <c r="U91" s="164"/>
      <c r="V91" s="164"/>
      <c r="W91" s="164">
        <f t="shared" si="26"/>
        <v>571178</v>
      </c>
      <c r="X91" s="164" t="s">
        <v>73</v>
      </c>
      <c r="Y91" s="164" t="s">
        <v>136</v>
      </c>
    </row>
    <row r="92" spans="1:25" s="618" customFormat="1" ht="27" customHeight="1" x14ac:dyDescent="0.2">
      <c r="A92" s="621"/>
      <c r="B92" s="620">
        <v>500261375</v>
      </c>
      <c r="C92" s="505" t="s">
        <v>1972</v>
      </c>
      <c r="D92" s="619"/>
      <c r="E92" s="164"/>
      <c r="F92" s="164"/>
      <c r="G92" s="164"/>
      <c r="H92" s="164">
        <f>SUM(E92:G92)</f>
        <v>0</v>
      </c>
      <c r="I92" s="619"/>
      <c r="J92" s="164"/>
      <c r="K92" s="164"/>
      <c r="L92" s="164"/>
      <c r="M92" s="164">
        <f>SUM(J92:L92)</f>
        <v>0</v>
      </c>
      <c r="N92" s="619"/>
      <c r="O92" s="164"/>
      <c r="P92" s="164"/>
      <c r="Q92" s="164"/>
      <c r="R92" s="164">
        <f>SUM(O92:Q92)</f>
        <v>0</v>
      </c>
      <c r="S92" s="619"/>
      <c r="T92" s="164">
        <v>73078</v>
      </c>
      <c r="U92" s="164"/>
      <c r="V92" s="164"/>
      <c r="W92" s="164">
        <f>SUM(T92:V92)</f>
        <v>73078</v>
      </c>
      <c r="X92" s="164" t="s">
        <v>2335</v>
      </c>
      <c r="Y92" s="164" t="s">
        <v>32</v>
      </c>
    </row>
    <row r="93" spans="1:25" s="618" customFormat="1" ht="27" customHeight="1" x14ac:dyDescent="0.2">
      <c r="A93" s="621"/>
      <c r="B93" s="893" t="s">
        <v>2390</v>
      </c>
      <c r="C93" s="505" t="s">
        <v>2391</v>
      </c>
      <c r="D93" s="619"/>
      <c r="E93" s="164"/>
      <c r="F93" s="401"/>
      <c r="G93" s="401"/>
      <c r="H93" s="164">
        <f t="shared" ref="H93" si="34">SUM(E93:G93)</f>
        <v>0</v>
      </c>
      <c r="I93" s="619"/>
      <c r="J93" s="164"/>
      <c r="K93" s="401"/>
      <c r="L93" s="401"/>
      <c r="M93" s="164">
        <f t="shared" ref="M93" si="35">SUM(J93:L93)</f>
        <v>0</v>
      </c>
      <c r="N93" s="619"/>
      <c r="O93" s="164"/>
      <c r="P93" s="401"/>
      <c r="Q93" s="401"/>
      <c r="R93" s="164">
        <f t="shared" ref="R93" si="36">SUM(O93:Q93)</f>
        <v>0</v>
      </c>
      <c r="S93" s="619"/>
      <c r="T93" s="164">
        <v>23203</v>
      </c>
      <c r="U93" s="401"/>
      <c r="V93" s="401"/>
      <c r="W93" s="164">
        <f t="shared" ref="W93:W95" si="37">SUM(T93:V93)</f>
        <v>23203</v>
      </c>
      <c r="X93" s="164" t="s">
        <v>2392</v>
      </c>
      <c r="Y93" s="164" t="s">
        <v>12</v>
      </c>
    </row>
    <row r="94" spans="1:25" s="618" customFormat="1" ht="27" customHeight="1" x14ac:dyDescent="0.2">
      <c r="A94" s="621"/>
      <c r="B94" s="1035">
        <v>500229711</v>
      </c>
      <c r="C94" s="505" t="s">
        <v>3383</v>
      </c>
      <c r="D94" s="619"/>
      <c r="E94" s="164"/>
      <c r="F94" s="401"/>
      <c r="G94" s="401"/>
      <c r="H94" s="164"/>
      <c r="I94" s="619"/>
      <c r="J94" s="164"/>
      <c r="K94" s="401"/>
      <c r="L94" s="401"/>
      <c r="M94" s="164"/>
      <c r="N94" s="619"/>
      <c r="O94" s="164"/>
      <c r="P94" s="401"/>
      <c r="Q94" s="401"/>
      <c r="R94" s="164"/>
      <c r="S94" s="619"/>
      <c r="T94" s="164">
        <v>23838</v>
      </c>
      <c r="U94" s="401"/>
      <c r="V94" s="401"/>
      <c r="W94" s="164">
        <f t="shared" si="37"/>
        <v>23838</v>
      </c>
      <c r="X94" s="164" t="s">
        <v>2911</v>
      </c>
      <c r="Y94" s="164" t="s">
        <v>9</v>
      </c>
    </row>
    <row r="95" spans="1:25" s="618" customFormat="1" ht="27" customHeight="1" x14ac:dyDescent="0.2">
      <c r="A95" s="621"/>
      <c r="B95" s="1035">
        <v>500213046</v>
      </c>
      <c r="C95" s="505" t="s">
        <v>3384</v>
      </c>
      <c r="D95" s="619"/>
      <c r="E95" s="164"/>
      <c r="F95" s="401"/>
      <c r="G95" s="401"/>
      <c r="H95" s="164"/>
      <c r="I95" s="619"/>
      <c r="J95" s="164"/>
      <c r="K95" s="401"/>
      <c r="L95" s="401"/>
      <c r="M95" s="164"/>
      <c r="N95" s="619"/>
      <c r="O95" s="164"/>
      <c r="P95" s="401"/>
      <c r="Q95" s="401"/>
      <c r="R95" s="164"/>
      <c r="S95" s="619"/>
      <c r="T95" s="164">
        <v>43736</v>
      </c>
      <c r="U95" s="401"/>
      <c r="V95" s="401"/>
      <c r="W95" s="164">
        <f t="shared" si="37"/>
        <v>43736</v>
      </c>
      <c r="X95" s="164" t="s">
        <v>698</v>
      </c>
      <c r="Y95" s="164" t="s">
        <v>12</v>
      </c>
    </row>
    <row r="96" spans="1:25" s="618" customFormat="1" ht="27" customHeight="1" x14ac:dyDescent="0.2">
      <c r="A96" s="621"/>
      <c r="B96" s="651" t="s">
        <v>2797</v>
      </c>
      <c r="C96" s="505" t="s">
        <v>2796</v>
      </c>
      <c r="D96" s="619"/>
      <c r="E96" s="164"/>
      <c r="F96" s="401"/>
      <c r="G96" s="401"/>
      <c r="H96" s="164"/>
      <c r="I96" s="619"/>
      <c r="J96" s="164"/>
      <c r="K96" s="401"/>
      <c r="L96" s="401"/>
      <c r="M96" s="164"/>
      <c r="N96" s="619"/>
      <c r="O96" s="164">
        <v>41726</v>
      </c>
      <c r="P96" s="401"/>
      <c r="Q96" s="401"/>
      <c r="R96" s="164">
        <f t="shared" si="25"/>
        <v>41726</v>
      </c>
      <c r="S96" s="619"/>
      <c r="T96" s="164"/>
      <c r="U96" s="401"/>
      <c r="V96" s="401"/>
      <c r="W96" s="164">
        <f t="shared" si="26"/>
        <v>0</v>
      </c>
      <c r="X96" s="164" t="s">
        <v>3166</v>
      </c>
      <c r="Y96" s="164" t="s">
        <v>12</v>
      </c>
    </row>
    <row r="97" spans="1:19" s="179" customFormat="1" x14ac:dyDescent="0.2">
      <c r="A97" s="177"/>
      <c r="B97" s="155"/>
      <c r="C97" s="178"/>
      <c r="D97" s="617"/>
      <c r="I97" s="617"/>
      <c r="N97" s="617"/>
      <c r="S97" s="617"/>
    </row>
    <row r="98" spans="1:19" s="179" customFormat="1" x14ac:dyDescent="0.2">
      <c r="A98" s="177"/>
      <c r="B98" s="155"/>
      <c r="C98" s="178"/>
      <c r="D98" s="617"/>
      <c r="I98" s="617"/>
      <c r="N98" s="617"/>
      <c r="S98" s="617"/>
    </row>
    <row r="99" spans="1:19" s="179" customFormat="1" x14ac:dyDescent="0.2">
      <c r="A99" s="177"/>
      <c r="B99" s="155"/>
      <c r="C99" s="178"/>
      <c r="D99" s="617"/>
      <c r="I99" s="617"/>
      <c r="N99" s="617"/>
      <c r="S99" s="617"/>
    </row>
    <row r="100" spans="1:19" s="179" customFormat="1" x14ac:dyDescent="0.2">
      <c r="A100" s="177"/>
      <c r="B100" s="155"/>
      <c r="C100" s="178"/>
      <c r="D100" s="617"/>
      <c r="I100" s="617"/>
      <c r="N100" s="617"/>
      <c r="S100" s="617"/>
    </row>
    <row r="101" spans="1:19" s="179" customFormat="1" x14ac:dyDescent="0.2">
      <c r="A101" s="177"/>
      <c r="B101" s="155"/>
      <c r="C101" s="178"/>
      <c r="D101" s="617"/>
      <c r="I101" s="617"/>
      <c r="N101" s="617"/>
      <c r="S101" s="617"/>
    </row>
    <row r="102" spans="1:19" s="179" customFormat="1" x14ac:dyDescent="0.2">
      <c r="A102" s="177"/>
      <c r="B102" s="155"/>
      <c r="C102" s="178"/>
      <c r="D102" s="617"/>
      <c r="I102" s="617"/>
      <c r="N102" s="617"/>
      <c r="S102" s="617"/>
    </row>
    <row r="103" spans="1:19" s="179" customFormat="1" x14ac:dyDescent="0.2">
      <c r="A103" s="177"/>
      <c r="B103" s="155"/>
      <c r="C103" s="178"/>
      <c r="D103" s="617"/>
      <c r="I103" s="617"/>
      <c r="N103" s="617"/>
      <c r="S103" s="617"/>
    </row>
    <row r="104" spans="1:19" s="179" customFormat="1" x14ac:dyDescent="0.2">
      <c r="A104" s="177"/>
      <c r="B104" s="155"/>
      <c r="C104" s="178"/>
      <c r="D104" s="617"/>
      <c r="I104" s="617"/>
      <c r="N104" s="617"/>
      <c r="S104" s="617"/>
    </row>
    <row r="105" spans="1:19" s="179" customFormat="1" x14ac:dyDescent="0.2">
      <c r="A105" s="177"/>
      <c r="B105" s="155"/>
      <c r="C105" s="178"/>
      <c r="D105" s="617"/>
      <c r="I105" s="617"/>
      <c r="N105" s="617"/>
      <c r="S105" s="617"/>
    </row>
    <row r="106" spans="1:19" s="179" customFormat="1" x14ac:dyDescent="0.2">
      <c r="A106" s="177"/>
      <c r="B106" s="155"/>
      <c r="C106" s="178"/>
      <c r="D106" s="617"/>
      <c r="I106" s="617"/>
      <c r="N106" s="617"/>
      <c r="S106" s="617"/>
    </row>
    <row r="107" spans="1:19" s="179" customFormat="1" x14ac:dyDescent="0.2">
      <c r="A107" s="177"/>
      <c r="B107" s="155"/>
      <c r="C107" s="178"/>
      <c r="D107" s="617"/>
      <c r="I107" s="617"/>
      <c r="N107" s="617"/>
      <c r="S107" s="617"/>
    </row>
    <row r="108" spans="1:19" s="179" customFormat="1" x14ac:dyDescent="0.2">
      <c r="A108" s="177"/>
      <c r="B108" s="155"/>
      <c r="C108" s="178"/>
      <c r="D108" s="617"/>
      <c r="I108" s="617"/>
      <c r="N108" s="617"/>
      <c r="S108" s="617"/>
    </row>
    <row r="109" spans="1:19" s="179" customFormat="1" x14ac:dyDescent="0.2">
      <c r="A109" s="177"/>
      <c r="B109" s="155"/>
      <c r="C109" s="178"/>
      <c r="D109" s="617"/>
      <c r="I109" s="617"/>
      <c r="N109" s="617"/>
      <c r="S109" s="617"/>
    </row>
    <row r="110" spans="1:19" s="179" customFormat="1" x14ac:dyDescent="0.2">
      <c r="A110" s="177"/>
      <c r="B110" s="155"/>
      <c r="C110" s="178"/>
      <c r="D110" s="617"/>
      <c r="I110" s="617"/>
      <c r="N110" s="617"/>
      <c r="S110" s="617"/>
    </row>
    <row r="111" spans="1:19" s="179" customFormat="1" x14ac:dyDescent="0.2">
      <c r="A111" s="177"/>
      <c r="B111" s="155"/>
      <c r="C111" s="178"/>
      <c r="D111" s="617"/>
      <c r="I111" s="617"/>
      <c r="N111" s="617"/>
      <c r="S111" s="617"/>
    </row>
    <row r="112" spans="1:19" s="179" customFormat="1" x14ac:dyDescent="0.2">
      <c r="A112" s="177"/>
      <c r="B112" s="155"/>
      <c r="C112" s="178"/>
      <c r="D112" s="617"/>
      <c r="I112" s="617"/>
      <c r="N112" s="617"/>
      <c r="S112" s="617"/>
    </row>
    <row r="113" spans="1:19" s="179" customFormat="1" x14ac:dyDescent="0.2">
      <c r="A113" s="177"/>
      <c r="B113" s="155"/>
      <c r="C113" s="178"/>
      <c r="D113" s="617"/>
      <c r="I113" s="617"/>
      <c r="N113" s="617"/>
      <c r="S113" s="617"/>
    </row>
    <row r="114" spans="1:19" s="179" customFormat="1" x14ac:dyDescent="0.2">
      <c r="A114" s="177"/>
      <c r="B114" s="155"/>
      <c r="C114" s="178"/>
      <c r="D114" s="617"/>
      <c r="I114" s="617"/>
      <c r="N114" s="617"/>
      <c r="S114" s="617"/>
    </row>
    <row r="115" spans="1:19" s="179" customFormat="1" x14ac:dyDescent="0.2">
      <c r="A115" s="177"/>
      <c r="B115" s="155"/>
      <c r="C115" s="178"/>
      <c r="D115" s="617"/>
      <c r="I115" s="617"/>
      <c r="N115" s="617"/>
      <c r="S115" s="617"/>
    </row>
    <row r="116" spans="1:19" s="179" customFormat="1" x14ac:dyDescent="0.2">
      <c r="A116" s="177"/>
      <c r="B116" s="155"/>
      <c r="C116" s="178"/>
      <c r="D116" s="617"/>
      <c r="I116" s="617"/>
      <c r="N116" s="617"/>
      <c r="S116" s="617"/>
    </row>
    <row r="117" spans="1:19" s="179" customFormat="1" x14ac:dyDescent="0.2">
      <c r="A117" s="177"/>
      <c r="B117" s="155"/>
      <c r="C117" s="178"/>
      <c r="D117" s="617"/>
      <c r="I117" s="617"/>
      <c r="N117" s="617"/>
      <c r="S117" s="617"/>
    </row>
    <row r="118" spans="1:19" s="179" customFormat="1" x14ac:dyDescent="0.2">
      <c r="A118" s="177"/>
      <c r="B118" s="155"/>
      <c r="C118" s="178"/>
      <c r="D118" s="617"/>
      <c r="I118" s="617"/>
      <c r="N118" s="617"/>
      <c r="S118" s="617"/>
    </row>
    <row r="119" spans="1:19" s="179" customFormat="1" x14ac:dyDescent="0.2">
      <c r="A119" s="177"/>
      <c r="B119" s="155"/>
      <c r="C119" s="178"/>
      <c r="D119" s="617"/>
      <c r="I119" s="617"/>
      <c r="N119" s="617"/>
      <c r="S119" s="617"/>
    </row>
    <row r="120" spans="1:19" s="179" customFormat="1" x14ac:dyDescent="0.2">
      <c r="A120" s="177"/>
      <c r="B120" s="155"/>
      <c r="C120" s="178"/>
      <c r="D120" s="617"/>
      <c r="I120" s="617"/>
      <c r="N120" s="617"/>
      <c r="S120" s="617"/>
    </row>
    <row r="121" spans="1:19" s="179" customFormat="1" x14ac:dyDescent="0.2">
      <c r="A121" s="177"/>
      <c r="B121" s="155"/>
      <c r="C121" s="178"/>
      <c r="D121" s="617"/>
      <c r="I121" s="617"/>
      <c r="N121" s="617"/>
      <c r="S121" s="617"/>
    </row>
    <row r="122" spans="1:19" s="179" customFormat="1" x14ac:dyDescent="0.2">
      <c r="A122" s="177"/>
      <c r="B122" s="155"/>
      <c r="C122" s="178"/>
      <c r="D122" s="617"/>
      <c r="I122" s="617"/>
      <c r="N122" s="617"/>
      <c r="S122" s="617"/>
    </row>
    <row r="123" spans="1:19" s="179" customFormat="1" x14ac:dyDescent="0.2">
      <c r="A123" s="177"/>
      <c r="B123" s="155"/>
      <c r="C123" s="178"/>
      <c r="D123" s="617"/>
      <c r="I123" s="617"/>
      <c r="N123" s="617"/>
      <c r="S123" s="617"/>
    </row>
    <row r="124" spans="1:19" s="179" customFormat="1" x14ac:dyDescent="0.2">
      <c r="A124" s="177"/>
      <c r="B124" s="155"/>
      <c r="C124" s="178"/>
      <c r="D124" s="617"/>
      <c r="I124" s="617"/>
      <c r="N124" s="617"/>
      <c r="S124" s="617"/>
    </row>
    <row r="125" spans="1:19" s="179" customFormat="1" x14ac:dyDescent="0.2">
      <c r="A125" s="177"/>
      <c r="B125" s="155"/>
      <c r="C125" s="178"/>
      <c r="D125" s="617"/>
      <c r="I125" s="617"/>
      <c r="N125" s="617"/>
      <c r="S125" s="617"/>
    </row>
    <row r="126" spans="1:19" s="179" customFormat="1" x14ac:dyDescent="0.2">
      <c r="A126" s="177"/>
      <c r="B126" s="155"/>
      <c r="C126" s="178"/>
      <c r="D126" s="617"/>
      <c r="I126" s="617"/>
      <c r="N126" s="617"/>
      <c r="S126" s="617"/>
    </row>
    <row r="127" spans="1:19" s="179" customFormat="1" x14ac:dyDescent="0.2">
      <c r="A127" s="177"/>
      <c r="B127" s="155"/>
      <c r="C127" s="178"/>
      <c r="D127" s="617"/>
      <c r="I127" s="617"/>
      <c r="N127" s="617"/>
      <c r="S127" s="617"/>
    </row>
    <row r="128" spans="1:19" s="179" customFormat="1" x14ac:dyDescent="0.2">
      <c r="A128" s="177"/>
      <c r="B128" s="155"/>
      <c r="C128" s="178"/>
      <c r="D128" s="617"/>
      <c r="I128" s="617"/>
      <c r="N128" s="617"/>
      <c r="S128" s="617"/>
    </row>
    <row r="129" spans="1:19" s="179" customFormat="1" x14ac:dyDescent="0.2">
      <c r="A129" s="177"/>
      <c r="B129" s="155"/>
      <c r="C129" s="178"/>
      <c r="D129" s="617"/>
      <c r="I129" s="617"/>
      <c r="N129" s="617"/>
      <c r="S129" s="617"/>
    </row>
    <row r="130" spans="1:19" s="179" customFormat="1" x14ac:dyDescent="0.2">
      <c r="A130" s="177"/>
      <c r="B130" s="155"/>
      <c r="C130" s="178"/>
      <c r="D130" s="617"/>
      <c r="I130" s="617"/>
      <c r="N130" s="617"/>
      <c r="S130" s="617"/>
    </row>
    <row r="131" spans="1:19" s="179" customFormat="1" x14ac:dyDescent="0.2">
      <c r="A131" s="177"/>
      <c r="B131" s="155"/>
      <c r="C131" s="178"/>
      <c r="D131" s="617"/>
      <c r="I131" s="617"/>
      <c r="N131" s="617"/>
      <c r="S131" s="617"/>
    </row>
    <row r="132" spans="1:19" s="179" customFormat="1" x14ac:dyDescent="0.2">
      <c r="A132" s="177"/>
      <c r="B132" s="155"/>
      <c r="C132" s="178"/>
      <c r="D132" s="617"/>
      <c r="I132" s="617"/>
      <c r="N132" s="617"/>
      <c r="S132" s="617"/>
    </row>
    <row r="133" spans="1:19" s="179" customFormat="1" x14ac:dyDescent="0.2">
      <c r="A133" s="177"/>
      <c r="B133" s="155"/>
      <c r="C133" s="178"/>
      <c r="D133" s="617"/>
      <c r="I133" s="617"/>
      <c r="N133" s="617"/>
      <c r="S133" s="617"/>
    </row>
    <row r="134" spans="1:19" s="179" customFormat="1" x14ac:dyDescent="0.2">
      <c r="A134" s="177"/>
      <c r="B134" s="155"/>
      <c r="C134" s="178"/>
      <c r="D134" s="617"/>
      <c r="I134" s="617"/>
      <c r="N134" s="617"/>
      <c r="S134" s="617"/>
    </row>
    <row r="135" spans="1:19" s="179" customFormat="1" x14ac:dyDescent="0.2">
      <c r="A135" s="177"/>
      <c r="B135" s="155"/>
      <c r="C135" s="178"/>
      <c r="D135" s="617"/>
      <c r="I135" s="617"/>
      <c r="N135" s="617"/>
      <c r="S135" s="617"/>
    </row>
    <row r="136" spans="1:19" s="179" customFormat="1" x14ac:dyDescent="0.2">
      <c r="A136" s="177"/>
      <c r="B136" s="155"/>
      <c r="C136" s="178"/>
      <c r="D136" s="617"/>
      <c r="I136" s="617"/>
      <c r="N136" s="617"/>
      <c r="S136" s="617"/>
    </row>
    <row r="137" spans="1:19" s="179" customFormat="1" x14ac:dyDescent="0.2">
      <c r="A137" s="177"/>
      <c r="B137" s="155"/>
      <c r="C137" s="178"/>
      <c r="D137" s="617"/>
      <c r="I137" s="617"/>
      <c r="N137" s="617"/>
      <c r="S137" s="617"/>
    </row>
    <row r="138" spans="1:19" s="179" customFormat="1" x14ac:dyDescent="0.2">
      <c r="A138" s="177"/>
      <c r="B138" s="155"/>
      <c r="C138" s="178"/>
      <c r="D138" s="617"/>
      <c r="I138" s="617"/>
      <c r="N138" s="617"/>
      <c r="S138" s="617"/>
    </row>
    <row r="139" spans="1:19" s="179" customFormat="1" x14ac:dyDescent="0.2">
      <c r="A139" s="177"/>
      <c r="B139" s="155"/>
      <c r="C139" s="178"/>
      <c r="D139" s="617"/>
      <c r="I139" s="617"/>
      <c r="N139" s="617"/>
      <c r="S139" s="617"/>
    </row>
    <row r="140" spans="1:19" s="179" customFormat="1" x14ac:dyDescent="0.2">
      <c r="A140" s="177"/>
      <c r="B140" s="155"/>
      <c r="C140" s="178"/>
      <c r="D140" s="617"/>
      <c r="I140" s="617"/>
      <c r="N140" s="617"/>
      <c r="S140" s="617"/>
    </row>
    <row r="141" spans="1:19" s="179" customFormat="1" x14ac:dyDescent="0.2">
      <c r="A141" s="177"/>
      <c r="B141" s="155"/>
      <c r="C141" s="178"/>
      <c r="D141" s="617"/>
      <c r="I141" s="617"/>
      <c r="N141" s="617"/>
      <c r="S141" s="617"/>
    </row>
    <row r="142" spans="1:19" s="179" customFormat="1" x14ac:dyDescent="0.2">
      <c r="A142" s="177"/>
      <c r="B142" s="155"/>
      <c r="C142" s="178"/>
      <c r="D142" s="617"/>
      <c r="I142" s="617"/>
      <c r="N142" s="617"/>
      <c r="S142" s="617"/>
    </row>
    <row r="143" spans="1:19" s="179" customFormat="1" x14ac:dyDescent="0.2">
      <c r="A143" s="177"/>
      <c r="B143" s="155"/>
      <c r="C143" s="178"/>
      <c r="D143" s="617"/>
      <c r="I143" s="617"/>
      <c r="N143" s="617"/>
      <c r="S143" s="617"/>
    </row>
    <row r="144" spans="1:19" s="179" customFormat="1" x14ac:dyDescent="0.2">
      <c r="A144" s="177"/>
      <c r="B144" s="155"/>
      <c r="C144" s="178"/>
      <c r="D144" s="617"/>
      <c r="I144" s="617"/>
      <c r="N144" s="617"/>
      <c r="S144" s="617"/>
    </row>
    <row r="145" spans="1:19" s="179" customFormat="1" x14ac:dyDescent="0.2">
      <c r="A145" s="177"/>
      <c r="B145" s="155"/>
      <c r="C145" s="178"/>
      <c r="D145" s="617"/>
      <c r="I145" s="617"/>
      <c r="N145" s="617"/>
      <c r="S145" s="617"/>
    </row>
    <row r="146" spans="1:19" s="179" customFormat="1" x14ac:dyDescent="0.2">
      <c r="A146" s="177"/>
      <c r="B146" s="155"/>
      <c r="C146" s="178"/>
      <c r="D146" s="617"/>
      <c r="I146" s="617"/>
      <c r="N146" s="617"/>
      <c r="S146" s="617"/>
    </row>
    <row r="147" spans="1:19" s="179" customFormat="1" x14ac:dyDescent="0.2">
      <c r="A147" s="177"/>
      <c r="B147" s="155"/>
      <c r="C147" s="178"/>
      <c r="D147" s="617"/>
      <c r="I147" s="617"/>
      <c r="N147" s="617"/>
      <c r="S147" s="617"/>
    </row>
    <row r="148" spans="1:19" s="179" customFormat="1" x14ac:dyDescent="0.2">
      <c r="A148" s="177"/>
      <c r="B148" s="155"/>
      <c r="C148" s="178"/>
      <c r="D148" s="617"/>
      <c r="I148" s="617"/>
      <c r="N148" s="617"/>
      <c r="S148" s="617"/>
    </row>
    <row r="149" spans="1:19" s="179" customFormat="1" x14ac:dyDescent="0.2">
      <c r="A149" s="177"/>
      <c r="B149" s="155"/>
      <c r="C149" s="178"/>
      <c r="D149" s="617"/>
      <c r="I149" s="617"/>
      <c r="N149" s="617"/>
      <c r="S149" s="617"/>
    </row>
    <row r="150" spans="1:19" s="179" customFormat="1" x14ac:dyDescent="0.2">
      <c r="A150" s="177"/>
      <c r="B150" s="155"/>
      <c r="C150" s="178"/>
      <c r="D150" s="617"/>
      <c r="I150" s="617"/>
      <c r="N150" s="617"/>
      <c r="S150" s="617"/>
    </row>
    <row r="151" spans="1:19" s="179" customFormat="1" x14ac:dyDescent="0.2">
      <c r="A151" s="177"/>
      <c r="B151" s="155"/>
      <c r="C151" s="178"/>
      <c r="D151" s="617"/>
      <c r="I151" s="617"/>
      <c r="N151" s="617"/>
      <c r="S151" s="617"/>
    </row>
    <row r="152" spans="1:19" s="179" customFormat="1" x14ac:dyDescent="0.2">
      <c r="A152" s="177"/>
      <c r="B152" s="155"/>
      <c r="C152" s="178"/>
      <c r="D152" s="617"/>
      <c r="I152" s="617"/>
      <c r="N152" s="617"/>
      <c r="S152" s="617"/>
    </row>
    <row r="153" spans="1:19" s="179" customFormat="1" x14ac:dyDescent="0.2">
      <c r="A153" s="177"/>
      <c r="B153" s="155"/>
      <c r="C153" s="178"/>
      <c r="D153" s="617"/>
      <c r="I153" s="617"/>
      <c r="N153" s="617"/>
      <c r="S153" s="617"/>
    </row>
    <row r="154" spans="1:19" s="179" customFormat="1" x14ac:dyDescent="0.2">
      <c r="A154" s="177"/>
      <c r="B154" s="155"/>
      <c r="C154" s="178"/>
      <c r="D154" s="617"/>
      <c r="I154" s="617"/>
      <c r="N154" s="617"/>
      <c r="S154" s="617"/>
    </row>
    <row r="155" spans="1:19" s="179" customFormat="1" x14ac:dyDescent="0.2">
      <c r="A155" s="177"/>
      <c r="B155" s="155"/>
      <c r="C155" s="178"/>
      <c r="D155" s="617"/>
      <c r="I155" s="617"/>
      <c r="N155" s="617"/>
      <c r="S155" s="617"/>
    </row>
    <row r="156" spans="1:19" s="179" customFormat="1" x14ac:dyDescent="0.2">
      <c r="A156" s="177"/>
      <c r="B156" s="155"/>
      <c r="C156" s="178"/>
      <c r="D156" s="617"/>
      <c r="I156" s="617"/>
      <c r="N156" s="617"/>
      <c r="S156" s="617"/>
    </row>
    <row r="157" spans="1:19" s="179" customFormat="1" x14ac:dyDescent="0.2">
      <c r="A157" s="177"/>
      <c r="B157" s="155"/>
      <c r="C157" s="178"/>
      <c r="D157" s="617"/>
      <c r="I157" s="617"/>
      <c r="N157" s="617"/>
      <c r="S157" s="617"/>
    </row>
    <row r="158" spans="1:19" s="179" customFormat="1" x14ac:dyDescent="0.2">
      <c r="A158" s="177"/>
      <c r="B158" s="155"/>
      <c r="C158" s="178"/>
      <c r="D158" s="617"/>
      <c r="I158" s="617"/>
      <c r="N158" s="617"/>
      <c r="S158" s="617"/>
    </row>
    <row r="159" spans="1:19" s="179" customFormat="1" x14ac:dyDescent="0.2">
      <c r="A159" s="177"/>
      <c r="B159" s="155"/>
      <c r="C159" s="178"/>
      <c r="D159" s="617"/>
      <c r="I159" s="617"/>
      <c r="N159" s="617"/>
      <c r="S159" s="617"/>
    </row>
    <row r="160" spans="1:19" s="179" customFormat="1" x14ac:dyDescent="0.2">
      <c r="A160" s="177"/>
      <c r="B160" s="155"/>
      <c r="C160" s="178"/>
      <c r="D160" s="617"/>
      <c r="I160" s="617"/>
      <c r="N160" s="617"/>
      <c r="S160" s="617"/>
    </row>
    <row r="161" spans="1:19" s="179" customFormat="1" x14ac:dyDescent="0.2">
      <c r="A161" s="177"/>
      <c r="B161" s="155"/>
      <c r="C161" s="178"/>
      <c r="D161" s="617"/>
      <c r="I161" s="617"/>
      <c r="N161" s="617"/>
      <c r="S161" s="617"/>
    </row>
    <row r="162" spans="1:19" s="179" customFormat="1" x14ac:dyDescent="0.2">
      <c r="A162" s="177"/>
      <c r="B162" s="155"/>
      <c r="C162" s="178"/>
      <c r="D162" s="617"/>
      <c r="I162" s="617"/>
      <c r="N162" s="617"/>
      <c r="S162" s="617"/>
    </row>
    <row r="163" spans="1:19" s="179" customFormat="1" x14ac:dyDescent="0.2">
      <c r="A163" s="177"/>
      <c r="B163" s="155"/>
      <c r="C163" s="178"/>
      <c r="D163" s="617"/>
      <c r="I163" s="617"/>
      <c r="N163" s="617"/>
      <c r="S163" s="617"/>
    </row>
    <row r="164" spans="1:19" s="179" customFormat="1" x14ac:dyDescent="0.2">
      <c r="A164" s="177"/>
      <c r="B164" s="155"/>
      <c r="C164" s="178"/>
      <c r="D164" s="617"/>
      <c r="I164" s="617"/>
      <c r="N164" s="617"/>
      <c r="S164" s="617"/>
    </row>
  </sheetData>
  <mergeCells count="37">
    <mergeCell ref="T59:V59"/>
    <mergeCell ref="O73:Q73"/>
    <mergeCell ref="O27:Q27"/>
    <mergeCell ref="O28:Q28"/>
    <mergeCell ref="O29:Q29"/>
    <mergeCell ref="O30:Q30"/>
    <mergeCell ref="T31:V31"/>
    <mergeCell ref="T33:V33"/>
    <mergeCell ref="T57:V57"/>
    <mergeCell ref="O31:Q31"/>
    <mergeCell ref="O33:Q33"/>
    <mergeCell ref="O22:Q22"/>
    <mergeCell ref="O23:Q23"/>
    <mergeCell ref="O24:Q24"/>
    <mergeCell ref="O25:Q25"/>
    <mergeCell ref="O26:Q26"/>
    <mergeCell ref="J1:M1"/>
    <mergeCell ref="B44:C44"/>
    <mergeCell ref="E1:H1"/>
    <mergeCell ref="B5:C5"/>
    <mergeCell ref="B6:C6"/>
    <mergeCell ref="O21:Q21"/>
    <mergeCell ref="O57:Q57"/>
    <mergeCell ref="T1:W1"/>
    <mergeCell ref="T20:V20"/>
    <mergeCell ref="T21:V21"/>
    <mergeCell ref="T22:V22"/>
    <mergeCell ref="T23:V23"/>
    <mergeCell ref="T24:V24"/>
    <mergeCell ref="T25:V25"/>
    <mergeCell ref="T26:V26"/>
    <mergeCell ref="T27:V27"/>
    <mergeCell ref="T28:V28"/>
    <mergeCell ref="T29:V29"/>
    <mergeCell ref="T30:V30"/>
    <mergeCell ref="O1:R1"/>
    <mergeCell ref="O20:Q20"/>
  </mergeCells>
  <pageMargins left="0" right="0.55118110236220474" top="1.3385826771653544" bottom="0.39370078740157483" header="0.98425196850393704" footer="0.19685039370078741"/>
  <pageSetup paperSize="9" scale="60" fitToHeight="10" orientation="landscape" r:id="rId1"/>
  <headerFooter alignWithMargins="0">
    <oddHeader>&amp;L&amp;D&amp;Cמינהל תרבות
&amp;"Arial,מודגש"&amp;11תקציב על שינויו 2016-2019  בש"ח בהתאם להחלטת ועדת התמיכות&amp;R&amp;"Arial,מודגש"&amp;16תקנה 42-02-36- בת"ס לאמנות
42-02-66-בתי ספר למחול לבני נוער</oddHeader>
    <oddFooter>&amp;L&amp;F&amp;C&amp;P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A1:M99"/>
  <sheetViews>
    <sheetView rightToLeft="1" topLeftCell="B1" zoomScaleNormal="100" workbookViewId="0">
      <pane xSplit="2" ySplit="2" topLeftCell="D3" activePane="bottomRight" state="frozen"/>
      <selection activeCell="S19" sqref="S19"/>
      <selection pane="topRight" activeCell="S19" sqref="S19"/>
      <selection pane="bottomLeft" activeCell="S19" sqref="S19"/>
      <selection pane="bottomRight" activeCell="L1" sqref="L1:L1048576"/>
    </sheetView>
  </sheetViews>
  <sheetFormatPr defaultColWidth="2.140625" defaultRowHeight="12.75" x14ac:dyDescent="0.2"/>
  <cols>
    <col min="1" max="1" width="1.140625" style="154" customWidth="1"/>
    <col min="2" max="2" width="14.140625" style="155" customWidth="1"/>
    <col min="3" max="3" width="34.85546875" style="156" customWidth="1"/>
    <col min="4" max="4" width="0.28515625" style="158" customWidth="1"/>
    <col min="5" max="5" width="13.140625" style="158" customWidth="1"/>
    <col min="6" max="6" width="0.7109375" style="158" customWidth="1"/>
    <col min="7" max="7" width="13.140625" style="158" customWidth="1"/>
    <col min="8" max="8" width="0.5703125" style="158" customWidth="1"/>
    <col min="9" max="9" width="13.140625" style="158" customWidth="1"/>
    <col min="10" max="10" width="0.42578125" style="158" customWidth="1"/>
    <col min="11" max="11" width="13.140625" style="158" customWidth="1"/>
    <col min="12" max="12" width="11.85546875" style="158" hidden="1" customWidth="1"/>
    <col min="13" max="251" width="2.140625" style="158"/>
    <col min="252" max="252" width="1.140625" style="158" customWidth="1"/>
    <col min="253" max="253" width="14.140625" style="158" customWidth="1"/>
    <col min="254" max="254" width="34.85546875" style="158" customWidth="1"/>
    <col min="255" max="255" width="15.5703125" style="158" customWidth="1"/>
    <col min="256" max="256" width="0.85546875" style="158" customWidth="1"/>
    <col min="257" max="257" width="13.85546875" style="158" customWidth="1"/>
    <col min="258" max="258" width="13.7109375" style="158" customWidth="1"/>
    <col min="259" max="259" width="15.5703125" style="158" customWidth="1"/>
    <col min="260" max="260" width="0.85546875" style="158" customWidth="1"/>
    <col min="261" max="261" width="13.140625" style="158" customWidth="1"/>
    <col min="262" max="262" width="13.7109375" style="158" customWidth="1"/>
    <col min="263" max="263" width="15.5703125" style="158" customWidth="1"/>
    <col min="264" max="264" width="0.85546875" style="158" customWidth="1"/>
    <col min="265" max="265" width="13.140625" style="158" customWidth="1"/>
    <col min="266" max="266" width="13.7109375" style="158" customWidth="1"/>
    <col min="267" max="267" width="15.5703125" style="158" customWidth="1"/>
    <col min="268" max="268" width="11.85546875" style="158" customWidth="1"/>
    <col min="269" max="507" width="2.140625" style="158"/>
    <col min="508" max="508" width="1.140625" style="158" customWidth="1"/>
    <col min="509" max="509" width="14.140625" style="158" customWidth="1"/>
    <col min="510" max="510" width="34.85546875" style="158" customWidth="1"/>
    <col min="511" max="511" width="15.5703125" style="158" customWidth="1"/>
    <col min="512" max="512" width="0.85546875" style="158" customWidth="1"/>
    <col min="513" max="513" width="13.85546875" style="158" customWidth="1"/>
    <col min="514" max="514" width="13.7109375" style="158" customWidth="1"/>
    <col min="515" max="515" width="15.5703125" style="158" customWidth="1"/>
    <col min="516" max="516" width="0.85546875" style="158" customWidth="1"/>
    <col min="517" max="517" width="13.140625" style="158" customWidth="1"/>
    <col min="518" max="518" width="13.7109375" style="158" customWidth="1"/>
    <col min="519" max="519" width="15.5703125" style="158" customWidth="1"/>
    <col min="520" max="520" width="0.85546875" style="158" customWidth="1"/>
    <col min="521" max="521" width="13.140625" style="158" customWidth="1"/>
    <col min="522" max="522" width="13.7109375" style="158" customWidth="1"/>
    <col min="523" max="523" width="15.5703125" style="158" customWidth="1"/>
    <col min="524" max="524" width="11.85546875" style="158" customWidth="1"/>
    <col min="525" max="763" width="2.140625" style="158"/>
    <col min="764" max="764" width="1.140625" style="158" customWidth="1"/>
    <col min="765" max="765" width="14.140625" style="158" customWidth="1"/>
    <col min="766" max="766" width="34.85546875" style="158" customWidth="1"/>
    <col min="767" max="767" width="15.5703125" style="158" customWidth="1"/>
    <col min="768" max="768" width="0.85546875" style="158" customWidth="1"/>
    <col min="769" max="769" width="13.85546875" style="158" customWidth="1"/>
    <col min="770" max="770" width="13.7109375" style="158" customWidth="1"/>
    <col min="771" max="771" width="15.5703125" style="158" customWidth="1"/>
    <col min="772" max="772" width="0.85546875" style="158" customWidth="1"/>
    <col min="773" max="773" width="13.140625" style="158" customWidth="1"/>
    <col min="774" max="774" width="13.7109375" style="158" customWidth="1"/>
    <col min="775" max="775" width="15.5703125" style="158" customWidth="1"/>
    <col min="776" max="776" width="0.85546875" style="158" customWidth="1"/>
    <col min="777" max="777" width="13.140625" style="158" customWidth="1"/>
    <col min="778" max="778" width="13.7109375" style="158" customWidth="1"/>
    <col min="779" max="779" width="15.5703125" style="158" customWidth="1"/>
    <col min="780" max="780" width="11.85546875" style="158" customWidth="1"/>
    <col min="781" max="1019" width="2.140625" style="158"/>
    <col min="1020" max="1020" width="1.140625" style="158" customWidth="1"/>
    <col min="1021" max="1021" width="14.140625" style="158" customWidth="1"/>
    <col min="1022" max="1022" width="34.85546875" style="158" customWidth="1"/>
    <col min="1023" max="1023" width="15.5703125" style="158" customWidth="1"/>
    <col min="1024" max="1024" width="0.85546875" style="158" customWidth="1"/>
    <col min="1025" max="1025" width="13.85546875" style="158" customWidth="1"/>
    <col min="1026" max="1026" width="13.7109375" style="158" customWidth="1"/>
    <col min="1027" max="1027" width="15.5703125" style="158" customWidth="1"/>
    <col min="1028" max="1028" width="0.85546875" style="158" customWidth="1"/>
    <col min="1029" max="1029" width="13.140625" style="158" customWidth="1"/>
    <col min="1030" max="1030" width="13.7109375" style="158" customWidth="1"/>
    <col min="1031" max="1031" width="15.5703125" style="158" customWidth="1"/>
    <col min="1032" max="1032" width="0.85546875" style="158" customWidth="1"/>
    <col min="1033" max="1033" width="13.140625" style="158" customWidth="1"/>
    <col min="1034" max="1034" width="13.7109375" style="158" customWidth="1"/>
    <col min="1035" max="1035" width="15.5703125" style="158" customWidth="1"/>
    <col min="1036" max="1036" width="11.85546875" style="158" customWidth="1"/>
    <col min="1037" max="1275" width="2.140625" style="158"/>
    <col min="1276" max="1276" width="1.140625" style="158" customWidth="1"/>
    <col min="1277" max="1277" width="14.140625" style="158" customWidth="1"/>
    <col min="1278" max="1278" width="34.85546875" style="158" customWidth="1"/>
    <col min="1279" max="1279" width="15.5703125" style="158" customWidth="1"/>
    <col min="1280" max="1280" width="0.85546875" style="158" customWidth="1"/>
    <col min="1281" max="1281" width="13.85546875" style="158" customWidth="1"/>
    <col min="1282" max="1282" width="13.7109375" style="158" customWidth="1"/>
    <col min="1283" max="1283" width="15.5703125" style="158" customWidth="1"/>
    <col min="1284" max="1284" width="0.85546875" style="158" customWidth="1"/>
    <col min="1285" max="1285" width="13.140625" style="158" customWidth="1"/>
    <col min="1286" max="1286" width="13.7109375" style="158" customWidth="1"/>
    <col min="1287" max="1287" width="15.5703125" style="158" customWidth="1"/>
    <col min="1288" max="1288" width="0.85546875" style="158" customWidth="1"/>
    <col min="1289" max="1289" width="13.140625" style="158" customWidth="1"/>
    <col min="1290" max="1290" width="13.7109375" style="158" customWidth="1"/>
    <col min="1291" max="1291" width="15.5703125" style="158" customWidth="1"/>
    <col min="1292" max="1292" width="11.85546875" style="158" customWidth="1"/>
    <col min="1293" max="1531" width="2.140625" style="158"/>
    <col min="1532" max="1532" width="1.140625" style="158" customWidth="1"/>
    <col min="1533" max="1533" width="14.140625" style="158" customWidth="1"/>
    <col min="1534" max="1534" width="34.85546875" style="158" customWidth="1"/>
    <col min="1535" max="1535" width="15.5703125" style="158" customWidth="1"/>
    <col min="1536" max="1536" width="0.85546875" style="158" customWidth="1"/>
    <col min="1537" max="1537" width="13.85546875" style="158" customWidth="1"/>
    <col min="1538" max="1538" width="13.7109375" style="158" customWidth="1"/>
    <col min="1539" max="1539" width="15.5703125" style="158" customWidth="1"/>
    <col min="1540" max="1540" width="0.85546875" style="158" customWidth="1"/>
    <col min="1541" max="1541" width="13.140625" style="158" customWidth="1"/>
    <col min="1542" max="1542" width="13.7109375" style="158" customWidth="1"/>
    <col min="1543" max="1543" width="15.5703125" style="158" customWidth="1"/>
    <col min="1544" max="1544" width="0.85546875" style="158" customWidth="1"/>
    <col min="1545" max="1545" width="13.140625" style="158" customWidth="1"/>
    <col min="1546" max="1546" width="13.7109375" style="158" customWidth="1"/>
    <col min="1547" max="1547" width="15.5703125" style="158" customWidth="1"/>
    <col min="1548" max="1548" width="11.85546875" style="158" customWidth="1"/>
    <col min="1549" max="1787" width="2.140625" style="158"/>
    <col min="1788" max="1788" width="1.140625" style="158" customWidth="1"/>
    <col min="1789" max="1789" width="14.140625" style="158" customWidth="1"/>
    <col min="1790" max="1790" width="34.85546875" style="158" customWidth="1"/>
    <col min="1791" max="1791" width="15.5703125" style="158" customWidth="1"/>
    <col min="1792" max="1792" width="0.85546875" style="158" customWidth="1"/>
    <col min="1793" max="1793" width="13.85546875" style="158" customWidth="1"/>
    <col min="1794" max="1794" width="13.7109375" style="158" customWidth="1"/>
    <col min="1795" max="1795" width="15.5703125" style="158" customWidth="1"/>
    <col min="1796" max="1796" width="0.85546875" style="158" customWidth="1"/>
    <col min="1797" max="1797" width="13.140625" style="158" customWidth="1"/>
    <col min="1798" max="1798" width="13.7109375" style="158" customWidth="1"/>
    <col min="1799" max="1799" width="15.5703125" style="158" customWidth="1"/>
    <col min="1800" max="1800" width="0.85546875" style="158" customWidth="1"/>
    <col min="1801" max="1801" width="13.140625" style="158" customWidth="1"/>
    <col min="1802" max="1802" width="13.7109375" style="158" customWidth="1"/>
    <col min="1803" max="1803" width="15.5703125" style="158" customWidth="1"/>
    <col min="1804" max="1804" width="11.85546875" style="158" customWidth="1"/>
    <col min="1805" max="2043" width="2.140625" style="158"/>
    <col min="2044" max="2044" width="1.140625" style="158" customWidth="1"/>
    <col min="2045" max="2045" width="14.140625" style="158" customWidth="1"/>
    <col min="2046" max="2046" width="34.85546875" style="158" customWidth="1"/>
    <col min="2047" max="2047" width="15.5703125" style="158" customWidth="1"/>
    <col min="2048" max="2048" width="0.85546875" style="158" customWidth="1"/>
    <col min="2049" max="2049" width="13.85546875" style="158" customWidth="1"/>
    <col min="2050" max="2050" width="13.7109375" style="158" customWidth="1"/>
    <col min="2051" max="2051" width="15.5703125" style="158" customWidth="1"/>
    <col min="2052" max="2052" width="0.85546875" style="158" customWidth="1"/>
    <col min="2053" max="2053" width="13.140625" style="158" customWidth="1"/>
    <col min="2054" max="2054" width="13.7109375" style="158" customWidth="1"/>
    <col min="2055" max="2055" width="15.5703125" style="158" customWidth="1"/>
    <col min="2056" max="2056" width="0.85546875" style="158" customWidth="1"/>
    <col min="2057" max="2057" width="13.140625" style="158" customWidth="1"/>
    <col min="2058" max="2058" width="13.7109375" style="158" customWidth="1"/>
    <col min="2059" max="2059" width="15.5703125" style="158" customWidth="1"/>
    <col min="2060" max="2060" width="11.85546875" style="158" customWidth="1"/>
    <col min="2061" max="2299" width="2.140625" style="158"/>
    <col min="2300" max="2300" width="1.140625" style="158" customWidth="1"/>
    <col min="2301" max="2301" width="14.140625" style="158" customWidth="1"/>
    <col min="2302" max="2302" width="34.85546875" style="158" customWidth="1"/>
    <col min="2303" max="2303" width="15.5703125" style="158" customWidth="1"/>
    <col min="2304" max="2304" width="0.85546875" style="158" customWidth="1"/>
    <col min="2305" max="2305" width="13.85546875" style="158" customWidth="1"/>
    <col min="2306" max="2306" width="13.7109375" style="158" customWidth="1"/>
    <col min="2307" max="2307" width="15.5703125" style="158" customWidth="1"/>
    <col min="2308" max="2308" width="0.85546875" style="158" customWidth="1"/>
    <col min="2309" max="2309" width="13.140625" style="158" customWidth="1"/>
    <col min="2310" max="2310" width="13.7109375" style="158" customWidth="1"/>
    <col min="2311" max="2311" width="15.5703125" style="158" customWidth="1"/>
    <col min="2312" max="2312" width="0.85546875" style="158" customWidth="1"/>
    <col min="2313" max="2313" width="13.140625" style="158" customWidth="1"/>
    <col min="2314" max="2314" width="13.7109375" style="158" customWidth="1"/>
    <col min="2315" max="2315" width="15.5703125" style="158" customWidth="1"/>
    <col min="2316" max="2316" width="11.85546875" style="158" customWidth="1"/>
    <col min="2317" max="2555" width="2.140625" style="158"/>
    <col min="2556" max="2556" width="1.140625" style="158" customWidth="1"/>
    <col min="2557" max="2557" width="14.140625" style="158" customWidth="1"/>
    <col min="2558" max="2558" width="34.85546875" style="158" customWidth="1"/>
    <col min="2559" max="2559" width="15.5703125" style="158" customWidth="1"/>
    <col min="2560" max="2560" width="0.85546875" style="158" customWidth="1"/>
    <col min="2561" max="2561" width="13.85546875" style="158" customWidth="1"/>
    <col min="2562" max="2562" width="13.7109375" style="158" customWidth="1"/>
    <col min="2563" max="2563" width="15.5703125" style="158" customWidth="1"/>
    <col min="2564" max="2564" width="0.85546875" style="158" customWidth="1"/>
    <col min="2565" max="2565" width="13.140625" style="158" customWidth="1"/>
    <col min="2566" max="2566" width="13.7109375" style="158" customWidth="1"/>
    <col min="2567" max="2567" width="15.5703125" style="158" customWidth="1"/>
    <col min="2568" max="2568" width="0.85546875" style="158" customWidth="1"/>
    <col min="2569" max="2569" width="13.140625" style="158" customWidth="1"/>
    <col min="2570" max="2570" width="13.7109375" style="158" customWidth="1"/>
    <col min="2571" max="2571" width="15.5703125" style="158" customWidth="1"/>
    <col min="2572" max="2572" width="11.85546875" style="158" customWidth="1"/>
    <col min="2573" max="2811" width="2.140625" style="158"/>
    <col min="2812" max="2812" width="1.140625" style="158" customWidth="1"/>
    <col min="2813" max="2813" width="14.140625" style="158" customWidth="1"/>
    <col min="2814" max="2814" width="34.85546875" style="158" customWidth="1"/>
    <col min="2815" max="2815" width="15.5703125" style="158" customWidth="1"/>
    <col min="2816" max="2816" width="0.85546875" style="158" customWidth="1"/>
    <col min="2817" max="2817" width="13.85546875" style="158" customWidth="1"/>
    <col min="2818" max="2818" width="13.7109375" style="158" customWidth="1"/>
    <col min="2819" max="2819" width="15.5703125" style="158" customWidth="1"/>
    <col min="2820" max="2820" width="0.85546875" style="158" customWidth="1"/>
    <col min="2821" max="2821" width="13.140625" style="158" customWidth="1"/>
    <col min="2822" max="2822" width="13.7109375" style="158" customWidth="1"/>
    <col min="2823" max="2823" width="15.5703125" style="158" customWidth="1"/>
    <col min="2824" max="2824" width="0.85546875" style="158" customWidth="1"/>
    <col min="2825" max="2825" width="13.140625" style="158" customWidth="1"/>
    <col min="2826" max="2826" width="13.7109375" style="158" customWidth="1"/>
    <col min="2827" max="2827" width="15.5703125" style="158" customWidth="1"/>
    <col min="2828" max="2828" width="11.85546875" style="158" customWidth="1"/>
    <col min="2829" max="3067" width="2.140625" style="158"/>
    <col min="3068" max="3068" width="1.140625" style="158" customWidth="1"/>
    <col min="3069" max="3069" width="14.140625" style="158" customWidth="1"/>
    <col min="3070" max="3070" width="34.85546875" style="158" customWidth="1"/>
    <col min="3071" max="3071" width="15.5703125" style="158" customWidth="1"/>
    <col min="3072" max="3072" width="0.85546875" style="158" customWidth="1"/>
    <col min="3073" max="3073" width="13.85546875" style="158" customWidth="1"/>
    <col min="3074" max="3074" width="13.7109375" style="158" customWidth="1"/>
    <col min="3075" max="3075" width="15.5703125" style="158" customWidth="1"/>
    <col min="3076" max="3076" width="0.85546875" style="158" customWidth="1"/>
    <col min="3077" max="3077" width="13.140625" style="158" customWidth="1"/>
    <col min="3078" max="3078" width="13.7109375" style="158" customWidth="1"/>
    <col min="3079" max="3079" width="15.5703125" style="158" customWidth="1"/>
    <col min="3080" max="3080" width="0.85546875" style="158" customWidth="1"/>
    <col min="3081" max="3081" width="13.140625" style="158" customWidth="1"/>
    <col min="3082" max="3082" width="13.7109375" style="158" customWidth="1"/>
    <col min="3083" max="3083" width="15.5703125" style="158" customWidth="1"/>
    <col min="3084" max="3084" width="11.85546875" style="158" customWidth="1"/>
    <col min="3085" max="3323" width="2.140625" style="158"/>
    <col min="3324" max="3324" width="1.140625" style="158" customWidth="1"/>
    <col min="3325" max="3325" width="14.140625" style="158" customWidth="1"/>
    <col min="3326" max="3326" width="34.85546875" style="158" customWidth="1"/>
    <col min="3327" max="3327" width="15.5703125" style="158" customWidth="1"/>
    <col min="3328" max="3328" width="0.85546875" style="158" customWidth="1"/>
    <col min="3329" max="3329" width="13.85546875" style="158" customWidth="1"/>
    <col min="3330" max="3330" width="13.7109375" style="158" customWidth="1"/>
    <col min="3331" max="3331" width="15.5703125" style="158" customWidth="1"/>
    <col min="3332" max="3332" width="0.85546875" style="158" customWidth="1"/>
    <col min="3333" max="3333" width="13.140625" style="158" customWidth="1"/>
    <col min="3334" max="3334" width="13.7109375" style="158" customWidth="1"/>
    <col min="3335" max="3335" width="15.5703125" style="158" customWidth="1"/>
    <col min="3336" max="3336" width="0.85546875" style="158" customWidth="1"/>
    <col min="3337" max="3337" width="13.140625" style="158" customWidth="1"/>
    <col min="3338" max="3338" width="13.7109375" style="158" customWidth="1"/>
    <col min="3339" max="3339" width="15.5703125" style="158" customWidth="1"/>
    <col min="3340" max="3340" width="11.85546875" style="158" customWidth="1"/>
    <col min="3341" max="3579" width="2.140625" style="158"/>
    <col min="3580" max="3580" width="1.140625" style="158" customWidth="1"/>
    <col min="3581" max="3581" width="14.140625" style="158" customWidth="1"/>
    <col min="3582" max="3582" width="34.85546875" style="158" customWidth="1"/>
    <col min="3583" max="3583" width="15.5703125" style="158" customWidth="1"/>
    <col min="3584" max="3584" width="0.85546875" style="158" customWidth="1"/>
    <col min="3585" max="3585" width="13.85546875" style="158" customWidth="1"/>
    <col min="3586" max="3586" width="13.7109375" style="158" customWidth="1"/>
    <col min="3587" max="3587" width="15.5703125" style="158" customWidth="1"/>
    <col min="3588" max="3588" width="0.85546875" style="158" customWidth="1"/>
    <col min="3589" max="3589" width="13.140625" style="158" customWidth="1"/>
    <col min="3590" max="3590" width="13.7109375" style="158" customWidth="1"/>
    <col min="3591" max="3591" width="15.5703125" style="158" customWidth="1"/>
    <col min="3592" max="3592" width="0.85546875" style="158" customWidth="1"/>
    <col min="3593" max="3593" width="13.140625" style="158" customWidth="1"/>
    <col min="3594" max="3594" width="13.7109375" style="158" customWidth="1"/>
    <col min="3595" max="3595" width="15.5703125" style="158" customWidth="1"/>
    <col min="3596" max="3596" width="11.85546875" style="158" customWidth="1"/>
    <col min="3597" max="3835" width="2.140625" style="158"/>
    <col min="3836" max="3836" width="1.140625" style="158" customWidth="1"/>
    <col min="3837" max="3837" width="14.140625" style="158" customWidth="1"/>
    <col min="3838" max="3838" width="34.85546875" style="158" customWidth="1"/>
    <col min="3839" max="3839" width="15.5703125" style="158" customWidth="1"/>
    <col min="3840" max="3840" width="0.85546875" style="158" customWidth="1"/>
    <col min="3841" max="3841" width="13.85546875" style="158" customWidth="1"/>
    <col min="3842" max="3842" width="13.7109375" style="158" customWidth="1"/>
    <col min="3843" max="3843" width="15.5703125" style="158" customWidth="1"/>
    <col min="3844" max="3844" width="0.85546875" style="158" customWidth="1"/>
    <col min="3845" max="3845" width="13.140625" style="158" customWidth="1"/>
    <col min="3846" max="3846" width="13.7109375" style="158" customWidth="1"/>
    <col min="3847" max="3847" width="15.5703125" style="158" customWidth="1"/>
    <col min="3848" max="3848" width="0.85546875" style="158" customWidth="1"/>
    <col min="3849" max="3849" width="13.140625" style="158" customWidth="1"/>
    <col min="3850" max="3850" width="13.7109375" style="158" customWidth="1"/>
    <col min="3851" max="3851" width="15.5703125" style="158" customWidth="1"/>
    <col min="3852" max="3852" width="11.85546875" style="158" customWidth="1"/>
    <col min="3853" max="4091" width="2.140625" style="158"/>
    <col min="4092" max="4092" width="1.140625" style="158" customWidth="1"/>
    <col min="4093" max="4093" width="14.140625" style="158" customWidth="1"/>
    <col min="4094" max="4094" width="34.85546875" style="158" customWidth="1"/>
    <col min="4095" max="4095" width="15.5703125" style="158" customWidth="1"/>
    <col min="4096" max="4096" width="0.85546875" style="158" customWidth="1"/>
    <col min="4097" max="4097" width="13.85546875" style="158" customWidth="1"/>
    <col min="4098" max="4098" width="13.7109375" style="158" customWidth="1"/>
    <col min="4099" max="4099" width="15.5703125" style="158" customWidth="1"/>
    <col min="4100" max="4100" width="0.85546875" style="158" customWidth="1"/>
    <col min="4101" max="4101" width="13.140625" style="158" customWidth="1"/>
    <col min="4102" max="4102" width="13.7109375" style="158" customWidth="1"/>
    <col min="4103" max="4103" width="15.5703125" style="158" customWidth="1"/>
    <col min="4104" max="4104" width="0.85546875" style="158" customWidth="1"/>
    <col min="4105" max="4105" width="13.140625" style="158" customWidth="1"/>
    <col min="4106" max="4106" width="13.7109375" style="158" customWidth="1"/>
    <col min="4107" max="4107" width="15.5703125" style="158" customWidth="1"/>
    <col min="4108" max="4108" width="11.85546875" style="158" customWidth="1"/>
    <col min="4109" max="4347" width="2.140625" style="158"/>
    <col min="4348" max="4348" width="1.140625" style="158" customWidth="1"/>
    <col min="4349" max="4349" width="14.140625" style="158" customWidth="1"/>
    <col min="4350" max="4350" width="34.85546875" style="158" customWidth="1"/>
    <col min="4351" max="4351" width="15.5703125" style="158" customWidth="1"/>
    <col min="4352" max="4352" width="0.85546875" style="158" customWidth="1"/>
    <col min="4353" max="4353" width="13.85546875" style="158" customWidth="1"/>
    <col min="4354" max="4354" width="13.7109375" style="158" customWidth="1"/>
    <col min="4355" max="4355" width="15.5703125" style="158" customWidth="1"/>
    <col min="4356" max="4356" width="0.85546875" style="158" customWidth="1"/>
    <col min="4357" max="4357" width="13.140625" style="158" customWidth="1"/>
    <col min="4358" max="4358" width="13.7109375" style="158" customWidth="1"/>
    <col min="4359" max="4359" width="15.5703125" style="158" customWidth="1"/>
    <col min="4360" max="4360" width="0.85546875" style="158" customWidth="1"/>
    <col min="4361" max="4361" width="13.140625" style="158" customWidth="1"/>
    <col min="4362" max="4362" width="13.7109375" style="158" customWidth="1"/>
    <col min="4363" max="4363" width="15.5703125" style="158" customWidth="1"/>
    <col min="4364" max="4364" width="11.85546875" style="158" customWidth="1"/>
    <col min="4365" max="4603" width="2.140625" style="158"/>
    <col min="4604" max="4604" width="1.140625" style="158" customWidth="1"/>
    <col min="4605" max="4605" width="14.140625" style="158" customWidth="1"/>
    <col min="4606" max="4606" width="34.85546875" style="158" customWidth="1"/>
    <col min="4607" max="4607" width="15.5703125" style="158" customWidth="1"/>
    <col min="4608" max="4608" width="0.85546875" style="158" customWidth="1"/>
    <col min="4609" max="4609" width="13.85546875" style="158" customWidth="1"/>
    <col min="4610" max="4610" width="13.7109375" style="158" customWidth="1"/>
    <col min="4611" max="4611" width="15.5703125" style="158" customWidth="1"/>
    <col min="4612" max="4612" width="0.85546875" style="158" customWidth="1"/>
    <col min="4613" max="4613" width="13.140625" style="158" customWidth="1"/>
    <col min="4614" max="4614" width="13.7109375" style="158" customWidth="1"/>
    <col min="4615" max="4615" width="15.5703125" style="158" customWidth="1"/>
    <col min="4616" max="4616" width="0.85546875" style="158" customWidth="1"/>
    <col min="4617" max="4617" width="13.140625" style="158" customWidth="1"/>
    <col min="4618" max="4618" width="13.7109375" style="158" customWidth="1"/>
    <col min="4619" max="4619" width="15.5703125" style="158" customWidth="1"/>
    <col min="4620" max="4620" width="11.85546875" style="158" customWidth="1"/>
    <col min="4621" max="4859" width="2.140625" style="158"/>
    <col min="4860" max="4860" width="1.140625" style="158" customWidth="1"/>
    <col min="4861" max="4861" width="14.140625" style="158" customWidth="1"/>
    <col min="4862" max="4862" width="34.85546875" style="158" customWidth="1"/>
    <col min="4863" max="4863" width="15.5703125" style="158" customWidth="1"/>
    <col min="4864" max="4864" width="0.85546875" style="158" customWidth="1"/>
    <col min="4865" max="4865" width="13.85546875" style="158" customWidth="1"/>
    <col min="4866" max="4866" width="13.7109375" style="158" customWidth="1"/>
    <col min="4867" max="4867" width="15.5703125" style="158" customWidth="1"/>
    <col min="4868" max="4868" width="0.85546875" style="158" customWidth="1"/>
    <col min="4869" max="4869" width="13.140625" style="158" customWidth="1"/>
    <col min="4870" max="4870" width="13.7109375" style="158" customWidth="1"/>
    <col min="4871" max="4871" width="15.5703125" style="158" customWidth="1"/>
    <col min="4872" max="4872" width="0.85546875" style="158" customWidth="1"/>
    <col min="4873" max="4873" width="13.140625" style="158" customWidth="1"/>
    <col min="4874" max="4874" width="13.7109375" style="158" customWidth="1"/>
    <col min="4875" max="4875" width="15.5703125" style="158" customWidth="1"/>
    <col min="4876" max="4876" width="11.85546875" style="158" customWidth="1"/>
    <col min="4877" max="5115" width="2.140625" style="158"/>
    <col min="5116" max="5116" width="1.140625" style="158" customWidth="1"/>
    <col min="5117" max="5117" width="14.140625" style="158" customWidth="1"/>
    <col min="5118" max="5118" width="34.85546875" style="158" customWidth="1"/>
    <col min="5119" max="5119" width="15.5703125" style="158" customWidth="1"/>
    <col min="5120" max="5120" width="0.85546875" style="158" customWidth="1"/>
    <col min="5121" max="5121" width="13.85546875" style="158" customWidth="1"/>
    <col min="5122" max="5122" width="13.7109375" style="158" customWidth="1"/>
    <col min="5123" max="5123" width="15.5703125" style="158" customWidth="1"/>
    <col min="5124" max="5124" width="0.85546875" style="158" customWidth="1"/>
    <col min="5125" max="5125" width="13.140625" style="158" customWidth="1"/>
    <col min="5126" max="5126" width="13.7109375" style="158" customWidth="1"/>
    <col min="5127" max="5127" width="15.5703125" style="158" customWidth="1"/>
    <col min="5128" max="5128" width="0.85546875" style="158" customWidth="1"/>
    <col min="5129" max="5129" width="13.140625" style="158" customWidth="1"/>
    <col min="5130" max="5130" width="13.7109375" style="158" customWidth="1"/>
    <col min="5131" max="5131" width="15.5703125" style="158" customWidth="1"/>
    <col min="5132" max="5132" width="11.85546875" style="158" customWidth="1"/>
    <col min="5133" max="5371" width="2.140625" style="158"/>
    <col min="5372" max="5372" width="1.140625" style="158" customWidth="1"/>
    <col min="5373" max="5373" width="14.140625" style="158" customWidth="1"/>
    <col min="5374" max="5374" width="34.85546875" style="158" customWidth="1"/>
    <col min="5375" max="5375" width="15.5703125" style="158" customWidth="1"/>
    <col min="5376" max="5376" width="0.85546875" style="158" customWidth="1"/>
    <col min="5377" max="5377" width="13.85546875" style="158" customWidth="1"/>
    <col min="5378" max="5378" width="13.7109375" style="158" customWidth="1"/>
    <col min="5379" max="5379" width="15.5703125" style="158" customWidth="1"/>
    <col min="5380" max="5380" width="0.85546875" style="158" customWidth="1"/>
    <col min="5381" max="5381" width="13.140625" style="158" customWidth="1"/>
    <col min="5382" max="5382" width="13.7109375" style="158" customWidth="1"/>
    <col min="5383" max="5383" width="15.5703125" style="158" customWidth="1"/>
    <col min="5384" max="5384" width="0.85546875" style="158" customWidth="1"/>
    <col min="5385" max="5385" width="13.140625" style="158" customWidth="1"/>
    <col min="5386" max="5386" width="13.7109375" style="158" customWidth="1"/>
    <col min="5387" max="5387" width="15.5703125" style="158" customWidth="1"/>
    <col min="5388" max="5388" width="11.85546875" style="158" customWidth="1"/>
    <col min="5389" max="5627" width="2.140625" style="158"/>
    <col min="5628" max="5628" width="1.140625" style="158" customWidth="1"/>
    <col min="5629" max="5629" width="14.140625" style="158" customWidth="1"/>
    <col min="5630" max="5630" width="34.85546875" style="158" customWidth="1"/>
    <col min="5631" max="5631" width="15.5703125" style="158" customWidth="1"/>
    <col min="5632" max="5632" width="0.85546875" style="158" customWidth="1"/>
    <col min="5633" max="5633" width="13.85546875" style="158" customWidth="1"/>
    <col min="5634" max="5634" width="13.7109375" style="158" customWidth="1"/>
    <col min="5635" max="5635" width="15.5703125" style="158" customWidth="1"/>
    <col min="5636" max="5636" width="0.85546875" style="158" customWidth="1"/>
    <col min="5637" max="5637" width="13.140625" style="158" customWidth="1"/>
    <col min="5638" max="5638" width="13.7109375" style="158" customWidth="1"/>
    <col min="5639" max="5639" width="15.5703125" style="158" customWidth="1"/>
    <col min="5640" max="5640" width="0.85546875" style="158" customWidth="1"/>
    <col min="5641" max="5641" width="13.140625" style="158" customWidth="1"/>
    <col min="5642" max="5642" width="13.7109375" style="158" customWidth="1"/>
    <col min="5643" max="5643" width="15.5703125" style="158" customWidth="1"/>
    <col min="5644" max="5644" width="11.85546875" style="158" customWidth="1"/>
    <col min="5645" max="5883" width="2.140625" style="158"/>
    <col min="5884" max="5884" width="1.140625" style="158" customWidth="1"/>
    <col min="5885" max="5885" width="14.140625" style="158" customWidth="1"/>
    <col min="5886" max="5886" width="34.85546875" style="158" customWidth="1"/>
    <col min="5887" max="5887" width="15.5703125" style="158" customWidth="1"/>
    <col min="5888" max="5888" width="0.85546875" style="158" customWidth="1"/>
    <col min="5889" max="5889" width="13.85546875" style="158" customWidth="1"/>
    <col min="5890" max="5890" width="13.7109375" style="158" customWidth="1"/>
    <col min="5891" max="5891" width="15.5703125" style="158" customWidth="1"/>
    <col min="5892" max="5892" width="0.85546875" style="158" customWidth="1"/>
    <col min="5893" max="5893" width="13.140625" style="158" customWidth="1"/>
    <col min="5894" max="5894" width="13.7109375" style="158" customWidth="1"/>
    <col min="5895" max="5895" width="15.5703125" style="158" customWidth="1"/>
    <col min="5896" max="5896" width="0.85546875" style="158" customWidth="1"/>
    <col min="5897" max="5897" width="13.140625" style="158" customWidth="1"/>
    <col min="5898" max="5898" width="13.7109375" style="158" customWidth="1"/>
    <col min="5899" max="5899" width="15.5703125" style="158" customWidth="1"/>
    <col min="5900" max="5900" width="11.85546875" style="158" customWidth="1"/>
    <col min="5901" max="6139" width="2.140625" style="158"/>
    <col min="6140" max="6140" width="1.140625" style="158" customWidth="1"/>
    <col min="6141" max="6141" width="14.140625" style="158" customWidth="1"/>
    <col min="6142" max="6142" width="34.85546875" style="158" customWidth="1"/>
    <col min="6143" max="6143" width="15.5703125" style="158" customWidth="1"/>
    <col min="6144" max="6144" width="0.85546875" style="158" customWidth="1"/>
    <col min="6145" max="6145" width="13.85546875" style="158" customWidth="1"/>
    <col min="6146" max="6146" width="13.7109375" style="158" customWidth="1"/>
    <col min="6147" max="6147" width="15.5703125" style="158" customWidth="1"/>
    <col min="6148" max="6148" width="0.85546875" style="158" customWidth="1"/>
    <col min="6149" max="6149" width="13.140625" style="158" customWidth="1"/>
    <col min="6150" max="6150" width="13.7109375" style="158" customWidth="1"/>
    <col min="6151" max="6151" width="15.5703125" style="158" customWidth="1"/>
    <col min="6152" max="6152" width="0.85546875" style="158" customWidth="1"/>
    <col min="6153" max="6153" width="13.140625" style="158" customWidth="1"/>
    <col min="6154" max="6154" width="13.7109375" style="158" customWidth="1"/>
    <col min="6155" max="6155" width="15.5703125" style="158" customWidth="1"/>
    <col min="6156" max="6156" width="11.85546875" style="158" customWidth="1"/>
    <col min="6157" max="6395" width="2.140625" style="158"/>
    <col min="6396" max="6396" width="1.140625" style="158" customWidth="1"/>
    <col min="6397" max="6397" width="14.140625" style="158" customWidth="1"/>
    <col min="6398" max="6398" width="34.85546875" style="158" customWidth="1"/>
    <col min="6399" max="6399" width="15.5703125" style="158" customWidth="1"/>
    <col min="6400" max="6400" width="0.85546875" style="158" customWidth="1"/>
    <col min="6401" max="6401" width="13.85546875" style="158" customWidth="1"/>
    <col min="6402" max="6402" width="13.7109375" style="158" customWidth="1"/>
    <col min="6403" max="6403" width="15.5703125" style="158" customWidth="1"/>
    <col min="6404" max="6404" width="0.85546875" style="158" customWidth="1"/>
    <col min="6405" max="6405" width="13.140625" style="158" customWidth="1"/>
    <col min="6406" max="6406" width="13.7109375" style="158" customWidth="1"/>
    <col min="6407" max="6407" width="15.5703125" style="158" customWidth="1"/>
    <col min="6408" max="6408" width="0.85546875" style="158" customWidth="1"/>
    <col min="6409" max="6409" width="13.140625" style="158" customWidth="1"/>
    <col min="6410" max="6410" width="13.7109375" style="158" customWidth="1"/>
    <col min="6411" max="6411" width="15.5703125" style="158" customWidth="1"/>
    <col min="6412" max="6412" width="11.85546875" style="158" customWidth="1"/>
    <col min="6413" max="6651" width="2.140625" style="158"/>
    <col min="6652" max="6652" width="1.140625" style="158" customWidth="1"/>
    <col min="6653" max="6653" width="14.140625" style="158" customWidth="1"/>
    <col min="6654" max="6654" width="34.85546875" style="158" customWidth="1"/>
    <col min="6655" max="6655" width="15.5703125" style="158" customWidth="1"/>
    <col min="6656" max="6656" width="0.85546875" style="158" customWidth="1"/>
    <col min="6657" max="6657" width="13.85546875" style="158" customWidth="1"/>
    <col min="6658" max="6658" width="13.7109375" style="158" customWidth="1"/>
    <col min="6659" max="6659" width="15.5703125" style="158" customWidth="1"/>
    <col min="6660" max="6660" width="0.85546875" style="158" customWidth="1"/>
    <col min="6661" max="6661" width="13.140625" style="158" customWidth="1"/>
    <col min="6662" max="6662" width="13.7109375" style="158" customWidth="1"/>
    <col min="6663" max="6663" width="15.5703125" style="158" customWidth="1"/>
    <col min="6664" max="6664" width="0.85546875" style="158" customWidth="1"/>
    <col min="6665" max="6665" width="13.140625" style="158" customWidth="1"/>
    <col min="6666" max="6666" width="13.7109375" style="158" customWidth="1"/>
    <col min="6667" max="6667" width="15.5703125" style="158" customWidth="1"/>
    <col min="6668" max="6668" width="11.85546875" style="158" customWidth="1"/>
    <col min="6669" max="6907" width="2.140625" style="158"/>
    <col min="6908" max="6908" width="1.140625" style="158" customWidth="1"/>
    <col min="6909" max="6909" width="14.140625" style="158" customWidth="1"/>
    <col min="6910" max="6910" width="34.85546875" style="158" customWidth="1"/>
    <col min="6911" max="6911" width="15.5703125" style="158" customWidth="1"/>
    <col min="6912" max="6912" width="0.85546875" style="158" customWidth="1"/>
    <col min="6913" max="6913" width="13.85546875" style="158" customWidth="1"/>
    <col min="6914" max="6914" width="13.7109375" style="158" customWidth="1"/>
    <col min="6915" max="6915" width="15.5703125" style="158" customWidth="1"/>
    <col min="6916" max="6916" width="0.85546875" style="158" customWidth="1"/>
    <col min="6917" max="6917" width="13.140625" style="158" customWidth="1"/>
    <col min="6918" max="6918" width="13.7109375" style="158" customWidth="1"/>
    <col min="6919" max="6919" width="15.5703125" style="158" customWidth="1"/>
    <col min="6920" max="6920" width="0.85546875" style="158" customWidth="1"/>
    <col min="6921" max="6921" width="13.140625" style="158" customWidth="1"/>
    <col min="6922" max="6922" width="13.7109375" style="158" customWidth="1"/>
    <col min="6923" max="6923" width="15.5703125" style="158" customWidth="1"/>
    <col min="6924" max="6924" width="11.85546875" style="158" customWidth="1"/>
    <col min="6925" max="7163" width="2.140625" style="158"/>
    <col min="7164" max="7164" width="1.140625" style="158" customWidth="1"/>
    <col min="7165" max="7165" width="14.140625" style="158" customWidth="1"/>
    <col min="7166" max="7166" width="34.85546875" style="158" customWidth="1"/>
    <col min="7167" max="7167" width="15.5703125" style="158" customWidth="1"/>
    <col min="7168" max="7168" width="0.85546875" style="158" customWidth="1"/>
    <col min="7169" max="7169" width="13.85546875" style="158" customWidth="1"/>
    <col min="7170" max="7170" width="13.7109375" style="158" customWidth="1"/>
    <col min="7171" max="7171" width="15.5703125" style="158" customWidth="1"/>
    <col min="7172" max="7172" width="0.85546875" style="158" customWidth="1"/>
    <col min="7173" max="7173" width="13.140625" style="158" customWidth="1"/>
    <col min="7174" max="7174" width="13.7109375" style="158" customWidth="1"/>
    <col min="7175" max="7175" width="15.5703125" style="158" customWidth="1"/>
    <col min="7176" max="7176" width="0.85546875" style="158" customWidth="1"/>
    <col min="7177" max="7177" width="13.140625" style="158" customWidth="1"/>
    <col min="7178" max="7178" width="13.7109375" style="158" customWidth="1"/>
    <col min="7179" max="7179" width="15.5703125" style="158" customWidth="1"/>
    <col min="7180" max="7180" width="11.85546875" style="158" customWidth="1"/>
    <col min="7181" max="7419" width="2.140625" style="158"/>
    <col min="7420" max="7420" width="1.140625" style="158" customWidth="1"/>
    <col min="7421" max="7421" width="14.140625" style="158" customWidth="1"/>
    <col min="7422" max="7422" width="34.85546875" style="158" customWidth="1"/>
    <col min="7423" max="7423" width="15.5703125" style="158" customWidth="1"/>
    <col min="7424" max="7424" width="0.85546875" style="158" customWidth="1"/>
    <col min="7425" max="7425" width="13.85546875" style="158" customWidth="1"/>
    <col min="7426" max="7426" width="13.7109375" style="158" customWidth="1"/>
    <col min="7427" max="7427" width="15.5703125" style="158" customWidth="1"/>
    <col min="7428" max="7428" width="0.85546875" style="158" customWidth="1"/>
    <col min="7429" max="7429" width="13.140625" style="158" customWidth="1"/>
    <col min="7430" max="7430" width="13.7109375" style="158" customWidth="1"/>
    <col min="7431" max="7431" width="15.5703125" style="158" customWidth="1"/>
    <col min="7432" max="7432" width="0.85546875" style="158" customWidth="1"/>
    <col min="7433" max="7433" width="13.140625" style="158" customWidth="1"/>
    <col min="7434" max="7434" width="13.7109375" style="158" customWidth="1"/>
    <col min="7435" max="7435" width="15.5703125" style="158" customWidth="1"/>
    <col min="7436" max="7436" width="11.85546875" style="158" customWidth="1"/>
    <col min="7437" max="7675" width="2.140625" style="158"/>
    <col min="7676" max="7676" width="1.140625" style="158" customWidth="1"/>
    <col min="7677" max="7677" width="14.140625" style="158" customWidth="1"/>
    <col min="7678" max="7678" width="34.85546875" style="158" customWidth="1"/>
    <col min="7679" max="7679" width="15.5703125" style="158" customWidth="1"/>
    <col min="7680" max="7680" width="0.85546875" style="158" customWidth="1"/>
    <col min="7681" max="7681" width="13.85546875" style="158" customWidth="1"/>
    <col min="7682" max="7682" width="13.7109375" style="158" customWidth="1"/>
    <col min="7683" max="7683" width="15.5703125" style="158" customWidth="1"/>
    <col min="7684" max="7684" width="0.85546875" style="158" customWidth="1"/>
    <col min="7685" max="7685" width="13.140625" style="158" customWidth="1"/>
    <col min="7686" max="7686" width="13.7109375" style="158" customWidth="1"/>
    <col min="7687" max="7687" width="15.5703125" style="158" customWidth="1"/>
    <col min="7688" max="7688" width="0.85546875" style="158" customWidth="1"/>
    <col min="7689" max="7689" width="13.140625" style="158" customWidth="1"/>
    <col min="7690" max="7690" width="13.7109375" style="158" customWidth="1"/>
    <col min="7691" max="7691" width="15.5703125" style="158" customWidth="1"/>
    <col min="7692" max="7692" width="11.85546875" style="158" customWidth="1"/>
    <col min="7693" max="7931" width="2.140625" style="158"/>
    <col min="7932" max="7932" width="1.140625" style="158" customWidth="1"/>
    <col min="7933" max="7933" width="14.140625" style="158" customWidth="1"/>
    <col min="7934" max="7934" width="34.85546875" style="158" customWidth="1"/>
    <col min="7935" max="7935" width="15.5703125" style="158" customWidth="1"/>
    <col min="7936" max="7936" width="0.85546875" style="158" customWidth="1"/>
    <col min="7937" max="7937" width="13.85546875" style="158" customWidth="1"/>
    <col min="7938" max="7938" width="13.7109375" style="158" customWidth="1"/>
    <col min="7939" max="7939" width="15.5703125" style="158" customWidth="1"/>
    <col min="7940" max="7940" width="0.85546875" style="158" customWidth="1"/>
    <col min="7941" max="7941" width="13.140625" style="158" customWidth="1"/>
    <col min="7942" max="7942" width="13.7109375" style="158" customWidth="1"/>
    <col min="7943" max="7943" width="15.5703125" style="158" customWidth="1"/>
    <col min="7944" max="7944" width="0.85546875" style="158" customWidth="1"/>
    <col min="7945" max="7945" width="13.140625" style="158" customWidth="1"/>
    <col min="7946" max="7946" width="13.7109375" style="158" customWidth="1"/>
    <col min="7947" max="7947" width="15.5703125" style="158" customWidth="1"/>
    <col min="7948" max="7948" width="11.85546875" style="158" customWidth="1"/>
    <col min="7949" max="8187" width="2.140625" style="158"/>
    <col min="8188" max="8188" width="1.140625" style="158" customWidth="1"/>
    <col min="8189" max="8189" width="14.140625" style="158" customWidth="1"/>
    <col min="8190" max="8190" width="34.85546875" style="158" customWidth="1"/>
    <col min="8191" max="8191" width="15.5703125" style="158" customWidth="1"/>
    <col min="8192" max="8192" width="0.85546875" style="158" customWidth="1"/>
    <col min="8193" max="8193" width="13.85546875" style="158" customWidth="1"/>
    <col min="8194" max="8194" width="13.7109375" style="158" customWidth="1"/>
    <col min="8195" max="8195" width="15.5703125" style="158" customWidth="1"/>
    <col min="8196" max="8196" width="0.85546875" style="158" customWidth="1"/>
    <col min="8197" max="8197" width="13.140625" style="158" customWidth="1"/>
    <col min="8198" max="8198" width="13.7109375" style="158" customWidth="1"/>
    <col min="8199" max="8199" width="15.5703125" style="158" customWidth="1"/>
    <col min="8200" max="8200" width="0.85546875" style="158" customWidth="1"/>
    <col min="8201" max="8201" width="13.140625" style="158" customWidth="1"/>
    <col min="8202" max="8202" width="13.7109375" style="158" customWidth="1"/>
    <col min="8203" max="8203" width="15.5703125" style="158" customWidth="1"/>
    <col min="8204" max="8204" width="11.85546875" style="158" customWidth="1"/>
    <col min="8205" max="8443" width="2.140625" style="158"/>
    <col min="8444" max="8444" width="1.140625" style="158" customWidth="1"/>
    <col min="8445" max="8445" width="14.140625" style="158" customWidth="1"/>
    <col min="8446" max="8446" width="34.85546875" style="158" customWidth="1"/>
    <col min="8447" max="8447" width="15.5703125" style="158" customWidth="1"/>
    <col min="8448" max="8448" width="0.85546875" style="158" customWidth="1"/>
    <col min="8449" max="8449" width="13.85546875" style="158" customWidth="1"/>
    <col min="8450" max="8450" width="13.7109375" style="158" customWidth="1"/>
    <col min="8451" max="8451" width="15.5703125" style="158" customWidth="1"/>
    <col min="8452" max="8452" width="0.85546875" style="158" customWidth="1"/>
    <col min="8453" max="8453" width="13.140625" style="158" customWidth="1"/>
    <col min="8454" max="8454" width="13.7109375" style="158" customWidth="1"/>
    <col min="8455" max="8455" width="15.5703125" style="158" customWidth="1"/>
    <col min="8456" max="8456" width="0.85546875" style="158" customWidth="1"/>
    <col min="8457" max="8457" width="13.140625" style="158" customWidth="1"/>
    <col min="8458" max="8458" width="13.7109375" style="158" customWidth="1"/>
    <col min="8459" max="8459" width="15.5703125" style="158" customWidth="1"/>
    <col min="8460" max="8460" width="11.85546875" style="158" customWidth="1"/>
    <col min="8461" max="8699" width="2.140625" style="158"/>
    <col min="8700" max="8700" width="1.140625" style="158" customWidth="1"/>
    <col min="8701" max="8701" width="14.140625" style="158" customWidth="1"/>
    <col min="8702" max="8702" width="34.85546875" style="158" customWidth="1"/>
    <col min="8703" max="8703" width="15.5703125" style="158" customWidth="1"/>
    <col min="8704" max="8704" width="0.85546875" style="158" customWidth="1"/>
    <col min="8705" max="8705" width="13.85546875" style="158" customWidth="1"/>
    <col min="8706" max="8706" width="13.7109375" style="158" customWidth="1"/>
    <col min="8707" max="8707" width="15.5703125" style="158" customWidth="1"/>
    <col min="8708" max="8708" width="0.85546875" style="158" customWidth="1"/>
    <col min="8709" max="8709" width="13.140625" style="158" customWidth="1"/>
    <col min="8710" max="8710" width="13.7109375" style="158" customWidth="1"/>
    <col min="8711" max="8711" width="15.5703125" style="158" customWidth="1"/>
    <col min="8712" max="8712" width="0.85546875" style="158" customWidth="1"/>
    <col min="8713" max="8713" width="13.140625" style="158" customWidth="1"/>
    <col min="8714" max="8714" width="13.7109375" style="158" customWidth="1"/>
    <col min="8715" max="8715" width="15.5703125" style="158" customWidth="1"/>
    <col min="8716" max="8716" width="11.85546875" style="158" customWidth="1"/>
    <col min="8717" max="8955" width="2.140625" style="158"/>
    <col min="8956" max="8956" width="1.140625" style="158" customWidth="1"/>
    <col min="8957" max="8957" width="14.140625" style="158" customWidth="1"/>
    <col min="8958" max="8958" width="34.85546875" style="158" customWidth="1"/>
    <col min="8959" max="8959" width="15.5703125" style="158" customWidth="1"/>
    <col min="8960" max="8960" width="0.85546875" style="158" customWidth="1"/>
    <col min="8961" max="8961" width="13.85546875" style="158" customWidth="1"/>
    <col min="8962" max="8962" width="13.7109375" style="158" customWidth="1"/>
    <col min="8963" max="8963" width="15.5703125" style="158" customWidth="1"/>
    <col min="8964" max="8964" width="0.85546875" style="158" customWidth="1"/>
    <col min="8965" max="8965" width="13.140625" style="158" customWidth="1"/>
    <col min="8966" max="8966" width="13.7109375" style="158" customWidth="1"/>
    <col min="8967" max="8967" width="15.5703125" style="158" customWidth="1"/>
    <col min="8968" max="8968" width="0.85546875" style="158" customWidth="1"/>
    <col min="8969" max="8969" width="13.140625" style="158" customWidth="1"/>
    <col min="8970" max="8970" width="13.7109375" style="158" customWidth="1"/>
    <col min="8971" max="8971" width="15.5703125" style="158" customWidth="1"/>
    <col min="8972" max="8972" width="11.85546875" style="158" customWidth="1"/>
    <col min="8973" max="9211" width="2.140625" style="158"/>
    <col min="9212" max="9212" width="1.140625" style="158" customWidth="1"/>
    <col min="9213" max="9213" width="14.140625" style="158" customWidth="1"/>
    <col min="9214" max="9214" width="34.85546875" style="158" customWidth="1"/>
    <col min="9215" max="9215" width="15.5703125" style="158" customWidth="1"/>
    <col min="9216" max="9216" width="0.85546875" style="158" customWidth="1"/>
    <col min="9217" max="9217" width="13.85546875" style="158" customWidth="1"/>
    <col min="9218" max="9218" width="13.7109375" style="158" customWidth="1"/>
    <col min="9219" max="9219" width="15.5703125" style="158" customWidth="1"/>
    <col min="9220" max="9220" width="0.85546875" style="158" customWidth="1"/>
    <col min="9221" max="9221" width="13.140625" style="158" customWidth="1"/>
    <col min="9222" max="9222" width="13.7109375" style="158" customWidth="1"/>
    <col min="9223" max="9223" width="15.5703125" style="158" customWidth="1"/>
    <col min="9224" max="9224" width="0.85546875" style="158" customWidth="1"/>
    <col min="9225" max="9225" width="13.140625" style="158" customWidth="1"/>
    <col min="9226" max="9226" width="13.7109375" style="158" customWidth="1"/>
    <col min="9227" max="9227" width="15.5703125" style="158" customWidth="1"/>
    <col min="9228" max="9228" width="11.85546875" style="158" customWidth="1"/>
    <col min="9229" max="9467" width="2.140625" style="158"/>
    <col min="9468" max="9468" width="1.140625" style="158" customWidth="1"/>
    <col min="9469" max="9469" width="14.140625" style="158" customWidth="1"/>
    <col min="9470" max="9470" width="34.85546875" style="158" customWidth="1"/>
    <col min="9471" max="9471" width="15.5703125" style="158" customWidth="1"/>
    <col min="9472" max="9472" width="0.85546875" style="158" customWidth="1"/>
    <col min="9473" max="9473" width="13.85546875" style="158" customWidth="1"/>
    <col min="9474" max="9474" width="13.7109375" style="158" customWidth="1"/>
    <col min="9475" max="9475" width="15.5703125" style="158" customWidth="1"/>
    <col min="9476" max="9476" width="0.85546875" style="158" customWidth="1"/>
    <col min="9477" max="9477" width="13.140625" style="158" customWidth="1"/>
    <col min="9478" max="9478" width="13.7109375" style="158" customWidth="1"/>
    <col min="9479" max="9479" width="15.5703125" style="158" customWidth="1"/>
    <col min="9480" max="9480" width="0.85546875" style="158" customWidth="1"/>
    <col min="9481" max="9481" width="13.140625" style="158" customWidth="1"/>
    <col min="9482" max="9482" width="13.7109375" style="158" customWidth="1"/>
    <col min="9483" max="9483" width="15.5703125" style="158" customWidth="1"/>
    <col min="9484" max="9484" width="11.85546875" style="158" customWidth="1"/>
    <col min="9485" max="9723" width="2.140625" style="158"/>
    <col min="9724" max="9724" width="1.140625" style="158" customWidth="1"/>
    <col min="9725" max="9725" width="14.140625" style="158" customWidth="1"/>
    <col min="9726" max="9726" width="34.85546875" style="158" customWidth="1"/>
    <col min="9727" max="9727" width="15.5703125" style="158" customWidth="1"/>
    <col min="9728" max="9728" width="0.85546875" style="158" customWidth="1"/>
    <col min="9729" max="9729" width="13.85546875" style="158" customWidth="1"/>
    <col min="9730" max="9730" width="13.7109375" style="158" customWidth="1"/>
    <col min="9731" max="9731" width="15.5703125" style="158" customWidth="1"/>
    <col min="9732" max="9732" width="0.85546875" style="158" customWidth="1"/>
    <col min="9733" max="9733" width="13.140625" style="158" customWidth="1"/>
    <col min="9734" max="9734" width="13.7109375" style="158" customWidth="1"/>
    <col min="9735" max="9735" width="15.5703125" style="158" customWidth="1"/>
    <col min="9736" max="9736" width="0.85546875" style="158" customWidth="1"/>
    <col min="9737" max="9737" width="13.140625" style="158" customWidth="1"/>
    <col min="9738" max="9738" width="13.7109375" style="158" customWidth="1"/>
    <col min="9739" max="9739" width="15.5703125" style="158" customWidth="1"/>
    <col min="9740" max="9740" width="11.85546875" style="158" customWidth="1"/>
    <col min="9741" max="9979" width="2.140625" style="158"/>
    <col min="9980" max="9980" width="1.140625" style="158" customWidth="1"/>
    <col min="9981" max="9981" width="14.140625" style="158" customWidth="1"/>
    <col min="9982" max="9982" width="34.85546875" style="158" customWidth="1"/>
    <col min="9983" max="9983" width="15.5703125" style="158" customWidth="1"/>
    <col min="9984" max="9984" width="0.85546875" style="158" customWidth="1"/>
    <col min="9985" max="9985" width="13.85546875" style="158" customWidth="1"/>
    <col min="9986" max="9986" width="13.7109375" style="158" customWidth="1"/>
    <col min="9987" max="9987" width="15.5703125" style="158" customWidth="1"/>
    <col min="9988" max="9988" width="0.85546875" style="158" customWidth="1"/>
    <col min="9989" max="9989" width="13.140625" style="158" customWidth="1"/>
    <col min="9990" max="9990" width="13.7109375" style="158" customWidth="1"/>
    <col min="9991" max="9991" width="15.5703125" style="158" customWidth="1"/>
    <col min="9992" max="9992" width="0.85546875" style="158" customWidth="1"/>
    <col min="9993" max="9993" width="13.140625" style="158" customWidth="1"/>
    <col min="9994" max="9994" width="13.7109375" style="158" customWidth="1"/>
    <col min="9995" max="9995" width="15.5703125" style="158" customWidth="1"/>
    <col min="9996" max="9996" width="11.85546875" style="158" customWidth="1"/>
    <col min="9997" max="10235" width="2.140625" style="158"/>
    <col min="10236" max="10236" width="1.140625" style="158" customWidth="1"/>
    <col min="10237" max="10237" width="14.140625" style="158" customWidth="1"/>
    <col min="10238" max="10238" width="34.85546875" style="158" customWidth="1"/>
    <col min="10239" max="10239" width="15.5703125" style="158" customWidth="1"/>
    <col min="10240" max="10240" width="0.85546875" style="158" customWidth="1"/>
    <col min="10241" max="10241" width="13.85546875" style="158" customWidth="1"/>
    <col min="10242" max="10242" width="13.7109375" style="158" customWidth="1"/>
    <col min="10243" max="10243" width="15.5703125" style="158" customWidth="1"/>
    <col min="10244" max="10244" width="0.85546875" style="158" customWidth="1"/>
    <col min="10245" max="10245" width="13.140625" style="158" customWidth="1"/>
    <col min="10246" max="10246" width="13.7109375" style="158" customWidth="1"/>
    <col min="10247" max="10247" width="15.5703125" style="158" customWidth="1"/>
    <col min="10248" max="10248" width="0.85546875" style="158" customWidth="1"/>
    <col min="10249" max="10249" width="13.140625" style="158" customWidth="1"/>
    <col min="10250" max="10250" width="13.7109375" style="158" customWidth="1"/>
    <col min="10251" max="10251" width="15.5703125" style="158" customWidth="1"/>
    <col min="10252" max="10252" width="11.85546875" style="158" customWidth="1"/>
    <col min="10253" max="10491" width="2.140625" style="158"/>
    <col min="10492" max="10492" width="1.140625" style="158" customWidth="1"/>
    <col min="10493" max="10493" width="14.140625" style="158" customWidth="1"/>
    <col min="10494" max="10494" width="34.85546875" style="158" customWidth="1"/>
    <col min="10495" max="10495" width="15.5703125" style="158" customWidth="1"/>
    <col min="10496" max="10496" width="0.85546875" style="158" customWidth="1"/>
    <col min="10497" max="10497" width="13.85546875" style="158" customWidth="1"/>
    <col min="10498" max="10498" width="13.7109375" style="158" customWidth="1"/>
    <col min="10499" max="10499" width="15.5703125" style="158" customWidth="1"/>
    <col min="10500" max="10500" width="0.85546875" style="158" customWidth="1"/>
    <col min="10501" max="10501" width="13.140625" style="158" customWidth="1"/>
    <col min="10502" max="10502" width="13.7109375" style="158" customWidth="1"/>
    <col min="10503" max="10503" width="15.5703125" style="158" customWidth="1"/>
    <col min="10504" max="10504" width="0.85546875" style="158" customWidth="1"/>
    <col min="10505" max="10505" width="13.140625" style="158" customWidth="1"/>
    <col min="10506" max="10506" width="13.7109375" style="158" customWidth="1"/>
    <col min="10507" max="10507" width="15.5703125" style="158" customWidth="1"/>
    <col min="10508" max="10508" width="11.85546875" style="158" customWidth="1"/>
    <col min="10509" max="10747" width="2.140625" style="158"/>
    <col min="10748" max="10748" width="1.140625" style="158" customWidth="1"/>
    <col min="10749" max="10749" width="14.140625" style="158" customWidth="1"/>
    <col min="10750" max="10750" width="34.85546875" style="158" customWidth="1"/>
    <col min="10751" max="10751" width="15.5703125" style="158" customWidth="1"/>
    <col min="10752" max="10752" width="0.85546875" style="158" customWidth="1"/>
    <col min="10753" max="10753" width="13.85546875" style="158" customWidth="1"/>
    <col min="10754" max="10754" width="13.7109375" style="158" customWidth="1"/>
    <col min="10755" max="10755" width="15.5703125" style="158" customWidth="1"/>
    <col min="10756" max="10756" width="0.85546875" style="158" customWidth="1"/>
    <col min="10757" max="10757" width="13.140625" style="158" customWidth="1"/>
    <col min="10758" max="10758" width="13.7109375" style="158" customWidth="1"/>
    <col min="10759" max="10759" width="15.5703125" style="158" customWidth="1"/>
    <col min="10760" max="10760" width="0.85546875" style="158" customWidth="1"/>
    <col min="10761" max="10761" width="13.140625" style="158" customWidth="1"/>
    <col min="10762" max="10762" width="13.7109375" style="158" customWidth="1"/>
    <col min="10763" max="10763" width="15.5703125" style="158" customWidth="1"/>
    <col min="10764" max="10764" width="11.85546875" style="158" customWidth="1"/>
    <col min="10765" max="11003" width="2.140625" style="158"/>
    <col min="11004" max="11004" width="1.140625" style="158" customWidth="1"/>
    <col min="11005" max="11005" width="14.140625" style="158" customWidth="1"/>
    <col min="11006" max="11006" width="34.85546875" style="158" customWidth="1"/>
    <col min="11007" max="11007" width="15.5703125" style="158" customWidth="1"/>
    <col min="11008" max="11008" width="0.85546875" style="158" customWidth="1"/>
    <col min="11009" max="11009" width="13.85546875" style="158" customWidth="1"/>
    <col min="11010" max="11010" width="13.7109375" style="158" customWidth="1"/>
    <col min="11011" max="11011" width="15.5703125" style="158" customWidth="1"/>
    <col min="11012" max="11012" width="0.85546875" style="158" customWidth="1"/>
    <col min="11013" max="11013" width="13.140625" style="158" customWidth="1"/>
    <col min="11014" max="11014" width="13.7109375" style="158" customWidth="1"/>
    <col min="11015" max="11015" width="15.5703125" style="158" customWidth="1"/>
    <col min="11016" max="11016" width="0.85546875" style="158" customWidth="1"/>
    <col min="11017" max="11017" width="13.140625" style="158" customWidth="1"/>
    <col min="11018" max="11018" width="13.7109375" style="158" customWidth="1"/>
    <col min="11019" max="11019" width="15.5703125" style="158" customWidth="1"/>
    <col min="11020" max="11020" width="11.85546875" style="158" customWidth="1"/>
    <col min="11021" max="11259" width="2.140625" style="158"/>
    <col min="11260" max="11260" width="1.140625" style="158" customWidth="1"/>
    <col min="11261" max="11261" width="14.140625" style="158" customWidth="1"/>
    <col min="11262" max="11262" width="34.85546875" style="158" customWidth="1"/>
    <col min="11263" max="11263" width="15.5703125" style="158" customWidth="1"/>
    <col min="11264" max="11264" width="0.85546875" style="158" customWidth="1"/>
    <col min="11265" max="11265" width="13.85546875" style="158" customWidth="1"/>
    <col min="11266" max="11266" width="13.7109375" style="158" customWidth="1"/>
    <col min="11267" max="11267" width="15.5703125" style="158" customWidth="1"/>
    <col min="11268" max="11268" width="0.85546875" style="158" customWidth="1"/>
    <col min="11269" max="11269" width="13.140625" style="158" customWidth="1"/>
    <col min="11270" max="11270" width="13.7109375" style="158" customWidth="1"/>
    <col min="11271" max="11271" width="15.5703125" style="158" customWidth="1"/>
    <col min="11272" max="11272" width="0.85546875" style="158" customWidth="1"/>
    <col min="11273" max="11273" width="13.140625" style="158" customWidth="1"/>
    <col min="11274" max="11274" width="13.7109375" style="158" customWidth="1"/>
    <col min="11275" max="11275" width="15.5703125" style="158" customWidth="1"/>
    <col min="11276" max="11276" width="11.85546875" style="158" customWidth="1"/>
    <col min="11277" max="11515" width="2.140625" style="158"/>
    <col min="11516" max="11516" width="1.140625" style="158" customWidth="1"/>
    <col min="11517" max="11517" width="14.140625" style="158" customWidth="1"/>
    <col min="11518" max="11518" width="34.85546875" style="158" customWidth="1"/>
    <col min="11519" max="11519" width="15.5703125" style="158" customWidth="1"/>
    <col min="11520" max="11520" width="0.85546875" style="158" customWidth="1"/>
    <col min="11521" max="11521" width="13.85546875" style="158" customWidth="1"/>
    <col min="11522" max="11522" width="13.7109375" style="158" customWidth="1"/>
    <col min="11523" max="11523" width="15.5703125" style="158" customWidth="1"/>
    <col min="11524" max="11524" width="0.85546875" style="158" customWidth="1"/>
    <col min="11525" max="11525" width="13.140625" style="158" customWidth="1"/>
    <col min="11526" max="11526" width="13.7109375" style="158" customWidth="1"/>
    <col min="11527" max="11527" width="15.5703125" style="158" customWidth="1"/>
    <col min="11528" max="11528" width="0.85546875" style="158" customWidth="1"/>
    <col min="11529" max="11529" width="13.140625" style="158" customWidth="1"/>
    <col min="11530" max="11530" width="13.7109375" style="158" customWidth="1"/>
    <col min="11531" max="11531" width="15.5703125" style="158" customWidth="1"/>
    <col min="11532" max="11532" width="11.85546875" style="158" customWidth="1"/>
    <col min="11533" max="11771" width="2.140625" style="158"/>
    <col min="11772" max="11772" width="1.140625" style="158" customWidth="1"/>
    <col min="11773" max="11773" width="14.140625" style="158" customWidth="1"/>
    <col min="11774" max="11774" width="34.85546875" style="158" customWidth="1"/>
    <col min="11775" max="11775" width="15.5703125" style="158" customWidth="1"/>
    <col min="11776" max="11776" width="0.85546875" style="158" customWidth="1"/>
    <col min="11777" max="11777" width="13.85546875" style="158" customWidth="1"/>
    <col min="11778" max="11778" width="13.7109375" style="158" customWidth="1"/>
    <col min="11779" max="11779" width="15.5703125" style="158" customWidth="1"/>
    <col min="11780" max="11780" width="0.85546875" style="158" customWidth="1"/>
    <col min="11781" max="11781" width="13.140625" style="158" customWidth="1"/>
    <col min="11782" max="11782" width="13.7109375" style="158" customWidth="1"/>
    <col min="11783" max="11783" width="15.5703125" style="158" customWidth="1"/>
    <col min="11784" max="11784" width="0.85546875" style="158" customWidth="1"/>
    <col min="11785" max="11785" width="13.140625" style="158" customWidth="1"/>
    <col min="11786" max="11786" width="13.7109375" style="158" customWidth="1"/>
    <col min="11787" max="11787" width="15.5703125" style="158" customWidth="1"/>
    <col min="11788" max="11788" width="11.85546875" style="158" customWidth="1"/>
    <col min="11789" max="12027" width="2.140625" style="158"/>
    <col min="12028" max="12028" width="1.140625" style="158" customWidth="1"/>
    <col min="12029" max="12029" width="14.140625" style="158" customWidth="1"/>
    <col min="12030" max="12030" width="34.85546875" style="158" customWidth="1"/>
    <col min="12031" max="12031" width="15.5703125" style="158" customWidth="1"/>
    <col min="12032" max="12032" width="0.85546875" style="158" customWidth="1"/>
    <col min="12033" max="12033" width="13.85546875" style="158" customWidth="1"/>
    <col min="12034" max="12034" width="13.7109375" style="158" customWidth="1"/>
    <col min="12035" max="12035" width="15.5703125" style="158" customWidth="1"/>
    <col min="12036" max="12036" width="0.85546875" style="158" customWidth="1"/>
    <col min="12037" max="12037" width="13.140625" style="158" customWidth="1"/>
    <col min="12038" max="12038" width="13.7109375" style="158" customWidth="1"/>
    <col min="12039" max="12039" width="15.5703125" style="158" customWidth="1"/>
    <col min="12040" max="12040" width="0.85546875" style="158" customWidth="1"/>
    <col min="12041" max="12041" width="13.140625" style="158" customWidth="1"/>
    <col min="12042" max="12042" width="13.7109375" style="158" customWidth="1"/>
    <col min="12043" max="12043" width="15.5703125" style="158" customWidth="1"/>
    <col min="12044" max="12044" width="11.85546875" style="158" customWidth="1"/>
    <col min="12045" max="12283" width="2.140625" style="158"/>
    <col min="12284" max="12284" width="1.140625" style="158" customWidth="1"/>
    <col min="12285" max="12285" width="14.140625" style="158" customWidth="1"/>
    <col min="12286" max="12286" width="34.85546875" style="158" customWidth="1"/>
    <col min="12287" max="12287" width="15.5703125" style="158" customWidth="1"/>
    <col min="12288" max="12288" width="0.85546875" style="158" customWidth="1"/>
    <col min="12289" max="12289" width="13.85546875" style="158" customWidth="1"/>
    <col min="12290" max="12290" width="13.7109375" style="158" customWidth="1"/>
    <col min="12291" max="12291" width="15.5703125" style="158" customWidth="1"/>
    <col min="12292" max="12292" width="0.85546875" style="158" customWidth="1"/>
    <col min="12293" max="12293" width="13.140625" style="158" customWidth="1"/>
    <col min="12294" max="12294" width="13.7109375" style="158" customWidth="1"/>
    <col min="12295" max="12295" width="15.5703125" style="158" customWidth="1"/>
    <col min="12296" max="12296" width="0.85546875" style="158" customWidth="1"/>
    <col min="12297" max="12297" width="13.140625" style="158" customWidth="1"/>
    <col min="12298" max="12298" width="13.7109375" style="158" customWidth="1"/>
    <col min="12299" max="12299" width="15.5703125" style="158" customWidth="1"/>
    <col min="12300" max="12300" width="11.85546875" style="158" customWidth="1"/>
    <col min="12301" max="12539" width="2.140625" style="158"/>
    <col min="12540" max="12540" width="1.140625" style="158" customWidth="1"/>
    <col min="12541" max="12541" width="14.140625" style="158" customWidth="1"/>
    <col min="12542" max="12542" width="34.85546875" style="158" customWidth="1"/>
    <col min="12543" max="12543" width="15.5703125" style="158" customWidth="1"/>
    <col min="12544" max="12544" width="0.85546875" style="158" customWidth="1"/>
    <col min="12545" max="12545" width="13.85546875" style="158" customWidth="1"/>
    <col min="12546" max="12546" width="13.7109375" style="158" customWidth="1"/>
    <col min="12547" max="12547" width="15.5703125" style="158" customWidth="1"/>
    <col min="12548" max="12548" width="0.85546875" style="158" customWidth="1"/>
    <col min="12549" max="12549" width="13.140625" style="158" customWidth="1"/>
    <col min="12550" max="12550" width="13.7109375" style="158" customWidth="1"/>
    <col min="12551" max="12551" width="15.5703125" style="158" customWidth="1"/>
    <col min="12552" max="12552" width="0.85546875" style="158" customWidth="1"/>
    <col min="12553" max="12553" width="13.140625" style="158" customWidth="1"/>
    <col min="12554" max="12554" width="13.7109375" style="158" customWidth="1"/>
    <col min="12555" max="12555" width="15.5703125" style="158" customWidth="1"/>
    <col min="12556" max="12556" width="11.85546875" style="158" customWidth="1"/>
    <col min="12557" max="12795" width="2.140625" style="158"/>
    <col min="12796" max="12796" width="1.140625" style="158" customWidth="1"/>
    <col min="12797" max="12797" width="14.140625" style="158" customWidth="1"/>
    <col min="12798" max="12798" width="34.85546875" style="158" customWidth="1"/>
    <col min="12799" max="12799" width="15.5703125" style="158" customWidth="1"/>
    <col min="12800" max="12800" width="0.85546875" style="158" customWidth="1"/>
    <col min="12801" max="12801" width="13.85546875" style="158" customWidth="1"/>
    <col min="12802" max="12802" width="13.7109375" style="158" customWidth="1"/>
    <col min="12803" max="12803" width="15.5703125" style="158" customWidth="1"/>
    <col min="12804" max="12804" width="0.85546875" style="158" customWidth="1"/>
    <col min="12805" max="12805" width="13.140625" style="158" customWidth="1"/>
    <col min="12806" max="12806" width="13.7109375" style="158" customWidth="1"/>
    <col min="12807" max="12807" width="15.5703125" style="158" customWidth="1"/>
    <col min="12808" max="12808" width="0.85546875" style="158" customWidth="1"/>
    <col min="12809" max="12809" width="13.140625" style="158" customWidth="1"/>
    <col min="12810" max="12810" width="13.7109375" style="158" customWidth="1"/>
    <col min="12811" max="12811" width="15.5703125" style="158" customWidth="1"/>
    <col min="12812" max="12812" width="11.85546875" style="158" customWidth="1"/>
    <col min="12813" max="13051" width="2.140625" style="158"/>
    <col min="13052" max="13052" width="1.140625" style="158" customWidth="1"/>
    <col min="13053" max="13053" width="14.140625" style="158" customWidth="1"/>
    <col min="13054" max="13054" width="34.85546875" style="158" customWidth="1"/>
    <col min="13055" max="13055" width="15.5703125" style="158" customWidth="1"/>
    <col min="13056" max="13056" width="0.85546875" style="158" customWidth="1"/>
    <col min="13057" max="13057" width="13.85546875" style="158" customWidth="1"/>
    <col min="13058" max="13058" width="13.7109375" style="158" customWidth="1"/>
    <col min="13059" max="13059" width="15.5703125" style="158" customWidth="1"/>
    <col min="13060" max="13060" width="0.85546875" style="158" customWidth="1"/>
    <col min="13061" max="13061" width="13.140625" style="158" customWidth="1"/>
    <col min="13062" max="13062" width="13.7109375" style="158" customWidth="1"/>
    <col min="13063" max="13063" width="15.5703125" style="158" customWidth="1"/>
    <col min="13064" max="13064" width="0.85546875" style="158" customWidth="1"/>
    <col min="13065" max="13065" width="13.140625" style="158" customWidth="1"/>
    <col min="13066" max="13066" width="13.7109375" style="158" customWidth="1"/>
    <col min="13067" max="13067" width="15.5703125" style="158" customWidth="1"/>
    <col min="13068" max="13068" width="11.85546875" style="158" customWidth="1"/>
    <col min="13069" max="13307" width="2.140625" style="158"/>
    <col min="13308" max="13308" width="1.140625" style="158" customWidth="1"/>
    <col min="13309" max="13309" width="14.140625" style="158" customWidth="1"/>
    <col min="13310" max="13310" width="34.85546875" style="158" customWidth="1"/>
    <col min="13311" max="13311" width="15.5703125" style="158" customWidth="1"/>
    <col min="13312" max="13312" width="0.85546875" style="158" customWidth="1"/>
    <col min="13313" max="13313" width="13.85546875" style="158" customWidth="1"/>
    <col min="13314" max="13314" width="13.7109375" style="158" customWidth="1"/>
    <col min="13315" max="13315" width="15.5703125" style="158" customWidth="1"/>
    <col min="13316" max="13316" width="0.85546875" style="158" customWidth="1"/>
    <col min="13317" max="13317" width="13.140625" style="158" customWidth="1"/>
    <col min="13318" max="13318" width="13.7109375" style="158" customWidth="1"/>
    <col min="13319" max="13319" width="15.5703125" style="158" customWidth="1"/>
    <col min="13320" max="13320" width="0.85546875" style="158" customWidth="1"/>
    <col min="13321" max="13321" width="13.140625" style="158" customWidth="1"/>
    <col min="13322" max="13322" width="13.7109375" style="158" customWidth="1"/>
    <col min="13323" max="13323" width="15.5703125" style="158" customWidth="1"/>
    <col min="13324" max="13324" width="11.85546875" style="158" customWidth="1"/>
    <col min="13325" max="13563" width="2.140625" style="158"/>
    <col min="13564" max="13564" width="1.140625" style="158" customWidth="1"/>
    <col min="13565" max="13565" width="14.140625" style="158" customWidth="1"/>
    <col min="13566" max="13566" width="34.85546875" style="158" customWidth="1"/>
    <col min="13567" max="13567" width="15.5703125" style="158" customWidth="1"/>
    <col min="13568" max="13568" width="0.85546875" style="158" customWidth="1"/>
    <col min="13569" max="13569" width="13.85546875" style="158" customWidth="1"/>
    <col min="13570" max="13570" width="13.7109375" style="158" customWidth="1"/>
    <col min="13571" max="13571" width="15.5703125" style="158" customWidth="1"/>
    <col min="13572" max="13572" width="0.85546875" style="158" customWidth="1"/>
    <col min="13573" max="13573" width="13.140625" style="158" customWidth="1"/>
    <col min="13574" max="13574" width="13.7109375" style="158" customWidth="1"/>
    <col min="13575" max="13575" width="15.5703125" style="158" customWidth="1"/>
    <col min="13576" max="13576" width="0.85546875" style="158" customWidth="1"/>
    <col min="13577" max="13577" width="13.140625" style="158" customWidth="1"/>
    <col min="13578" max="13578" width="13.7109375" style="158" customWidth="1"/>
    <col min="13579" max="13579" width="15.5703125" style="158" customWidth="1"/>
    <col min="13580" max="13580" width="11.85546875" style="158" customWidth="1"/>
    <col min="13581" max="13819" width="2.140625" style="158"/>
    <col min="13820" max="13820" width="1.140625" style="158" customWidth="1"/>
    <col min="13821" max="13821" width="14.140625" style="158" customWidth="1"/>
    <col min="13822" max="13822" width="34.85546875" style="158" customWidth="1"/>
    <col min="13823" max="13823" width="15.5703125" style="158" customWidth="1"/>
    <col min="13824" max="13824" width="0.85546875" style="158" customWidth="1"/>
    <col min="13825" max="13825" width="13.85546875" style="158" customWidth="1"/>
    <col min="13826" max="13826" width="13.7109375" style="158" customWidth="1"/>
    <col min="13827" max="13827" width="15.5703125" style="158" customWidth="1"/>
    <col min="13828" max="13828" width="0.85546875" style="158" customWidth="1"/>
    <col min="13829" max="13829" width="13.140625" style="158" customWidth="1"/>
    <col min="13830" max="13830" width="13.7109375" style="158" customWidth="1"/>
    <col min="13831" max="13831" width="15.5703125" style="158" customWidth="1"/>
    <col min="13832" max="13832" width="0.85546875" style="158" customWidth="1"/>
    <col min="13833" max="13833" width="13.140625" style="158" customWidth="1"/>
    <col min="13834" max="13834" width="13.7109375" style="158" customWidth="1"/>
    <col min="13835" max="13835" width="15.5703125" style="158" customWidth="1"/>
    <col min="13836" max="13836" width="11.85546875" style="158" customWidth="1"/>
    <col min="13837" max="14075" width="2.140625" style="158"/>
    <col min="14076" max="14076" width="1.140625" style="158" customWidth="1"/>
    <col min="14077" max="14077" width="14.140625" style="158" customWidth="1"/>
    <col min="14078" max="14078" width="34.85546875" style="158" customWidth="1"/>
    <col min="14079" max="14079" width="15.5703125" style="158" customWidth="1"/>
    <col min="14080" max="14080" width="0.85546875" style="158" customWidth="1"/>
    <col min="14081" max="14081" width="13.85546875" style="158" customWidth="1"/>
    <col min="14082" max="14082" width="13.7109375" style="158" customWidth="1"/>
    <col min="14083" max="14083" width="15.5703125" style="158" customWidth="1"/>
    <col min="14084" max="14084" width="0.85546875" style="158" customWidth="1"/>
    <col min="14085" max="14085" width="13.140625" style="158" customWidth="1"/>
    <col min="14086" max="14086" width="13.7109375" style="158" customWidth="1"/>
    <col min="14087" max="14087" width="15.5703125" style="158" customWidth="1"/>
    <col min="14088" max="14088" width="0.85546875" style="158" customWidth="1"/>
    <col min="14089" max="14089" width="13.140625" style="158" customWidth="1"/>
    <col min="14090" max="14090" width="13.7109375" style="158" customWidth="1"/>
    <col min="14091" max="14091" width="15.5703125" style="158" customWidth="1"/>
    <col min="14092" max="14092" width="11.85546875" style="158" customWidth="1"/>
    <col min="14093" max="14331" width="2.140625" style="158"/>
    <col min="14332" max="14332" width="1.140625" style="158" customWidth="1"/>
    <col min="14333" max="14333" width="14.140625" style="158" customWidth="1"/>
    <col min="14334" max="14334" width="34.85546875" style="158" customWidth="1"/>
    <col min="14335" max="14335" width="15.5703125" style="158" customWidth="1"/>
    <col min="14336" max="14336" width="0.85546875" style="158" customWidth="1"/>
    <col min="14337" max="14337" width="13.85546875" style="158" customWidth="1"/>
    <col min="14338" max="14338" width="13.7109375" style="158" customWidth="1"/>
    <col min="14339" max="14339" width="15.5703125" style="158" customWidth="1"/>
    <col min="14340" max="14340" width="0.85546875" style="158" customWidth="1"/>
    <col min="14341" max="14341" width="13.140625" style="158" customWidth="1"/>
    <col min="14342" max="14342" width="13.7109375" style="158" customWidth="1"/>
    <col min="14343" max="14343" width="15.5703125" style="158" customWidth="1"/>
    <col min="14344" max="14344" width="0.85546875" style="158" customWidth="1"/>
    <col min="14345" max="14345" width="13.140625" style="158" customWidth="1"/>
    <col min="14346" max="14346" width="13.7109375" style="158" customWidth="1"/>
    <col min="14347" max="14347" width="15.5703125" style="158" customWidth="1"/>
    <col min="14348" max="14348" width="11.85546875" style="158" customWidth="1"/>
    <col min="14349" max="14587" width="2.140625" style="158"/>
    <col min="14588" max="14588" width="1.140625" style="158" customWidth="1"/>
    <col min="14589" max="14589" width="14.140625" style="158" customWidth="1"/>
    <col min="14590" max="14590" width="34.85546875" style="158" customWidth="1"/>
    <col min="14591" max="14591" width="15.5703125" style="158" customWidth="1"/>
    <col min="14592" max="14592" width="0.85546875" style="158" customWidth="1"/>
    <col min="14593" max="14593" width="13.85546875" style="158" customWidth="1"/>
    <col min="14594" max="14594" width="13.7109375" style="158" customWidth="1"/>
    <col min="14595" max="14595" width="15.5703125" style="158" customWidth="1"/>
    <col min="14596" max="14596" width="0.85546875" style="158" customWidth="1"/>
    <col min="14597" max="14597" width="13.140625" style="158" customWidth="1"/>
    <col min="14598" max="14598" width="13.7109375" style="158" customWidth="1"/>
    <col min="14599" max="14599" width="15.5703125" style="158" customWidth="1"/>
    <col min="14600" max="14600" width="0.85546875" style="158" customWidth="1"/>
    <col min="14601" max="14601" width="13.140625" style="158" customWidth="1"/>
    <col min="14602" max="14602" width="13.7109375" style="158" customWidth="1"/>
    <col min="14603" max="14603" width="15.5703125" style="158" customWidth="1"/>
    <col min="14604" max="14604" width="11.85546875" style="158" customWidth="1"/>
    <col min="14605" max="14843" width="2.140625" style="158"/>
    <col min="14844" max="14844" width="1.140625" style="158" customWidth="1"/>
    <col min="14845" max="14845" width="14.140625" style="158" customWidth="1"/>
    <col min="14846" max="14846" width="34.85546875" style="158" customWidth="1"/>
    <col min="14847" max="14847" width="15.5703125" style="158" customWidth="1"/>
    <col min="14848" max="14848" width="0.85546875" style="158" customWidth="1"/>
    <col min="14849" max="14849" width="13.85546875" style="158" customWidth="1"/>
    <col min="14850" max="14850" width="13.7109375" style="158" customWidth="1"/>
    <col min="14851" max="14851" width="15.5703125" style="158" customWidth="1"/>
    <col min="14852" max="14852" width="0.85546875" style="158" customWidth="1"/>
    <col min="14853" max="14853" width="13.140625" style="158" customWidth="1"/>
    <col min="14854" max="14854" width="13.7109375" style="158" customWidth="1"/>
    <col min="14855" max="14855" width="15.5703125" style="158" customWidth="1"/>
    <col min="14856" max="14856" width="0.85546875" style="158" customWidth="1"/>
    <col min="14857" max="14857" width="13.140625" style="158" customWidth="1"/>
    <col min="14858" max="14858" width="13.7109375" style="158" customWidth="1"/>
    <col min="14859" max="14859" width="15.5703125" style="158" customWidth="1"/>
    <col min="14860" max="14860" width="11.85546875" style="158" customWidth="1"/>
    <col min="14861" max="15099" width="2.140625" style="158"/>
    <col min="15100" max="15100" width="1.140625" style="158" customWidth="1"/>
    <col min="15101" max="15101" width="14.140625" style="158" customWidth="1"/>
    <col min="15102" max="15102" width="34.85546875" style="158" customWidth="1"/>
    <col min="15103" max="15103" width="15.5703125" style="158" customWidth="1"/>
    <col min="15104" max="15104" width="0.85546875" style="158" customWidth="1"/>
    <col min="15105" max="15105" width="13.85546875" style="158" customWidth="1"/>
    <col min="15106" max="15106" width="13.7109375" style="158" customWidth="1"/>
    <col min="15107" max="15107" width="15.5703125" style="158" customWidth="1"/>
    <col min="15108" max="15108" width="0.85546875" style="158" customWidth="1"/>
    <col min="15109" max="15109" width="13.140625" style="158" customWidth="1"/>
    <col min="15110" max="15110" width="13.7109375" style="158" customWidth="1"/>
    <col min="15111" max="15111" width="15.5703125" style="158" customWidth="1"/>
    <col min="15112" max="15112" width="0.85546875" style="158" customWidth="1"/>
    <col min="15113" max="15113" width="13.140625" style="158" customWidth="1"/>
    <col min="15114" max="15114" width="13.7109375" style="158" customWidth="1"/>
    <col min="15115" max="15115" width="15.5703125" style="158" customWidth="1"/>
    <col min="15116" max="15116" width="11.85546875" style="158" customWidth="1"/>
    <col min="15117" max="15355" width="2.140625" style="158"/>
    <col min="15356" max="15356" width="1.140625" style="158" customWidth="1"/>
    <col min="15357" max="15357" width="14.140625" style="158" customWidth="1"/>
    <col min="15358" max="15358" width="34.85546875" style="158" customWidth="1"/>
    <col min="15359" max="15359" width="15.5703125" style="158" customWidth="1"/>
    <col min="15360" max="15360" width="0.85546875" style="158" customWidth="1"/>
    <col min="15361" max="15361" width="13.85546875" style="158" customWidth="1"/>
    <col min="15362" max="15362" width="13.7109375" style="158" customWidth="1"/>
    <col min="15363" max="15363" width="15.5703125" style="158" customWidth="1"/>
    <col min="15364" max="15364" width="0.85546875" style="158" customWidth="1"/>
    <col min="15365" max="15365" width="13.140625" style="158" customWidth="1"/>
    <col min="15366" max="15366" width="13.7109375" style="158" customWidth="1"/>
    <col min="15367" max="15367" width="15.5703125" style="158" customWidth="1"/>
    <col min="15368" max="15368" width="0.85546875" style="158" customWidth="1"/>
    <col min="15369" max="15369" width="13.140625" style="158" customWidth="1"/>
    <col min="15370" max="15370" width="13.7109375" style="158" customWidth="1"/>
    <col min="15371" max="15371" width="15.5703125" style="158" customWidth="1"/>
    <col min="15372" max="15372" width="11.85546875" style="158" customWidth="1"/>
    <col min="15373" max="15611" width="2.140625" style="158"/>
    <col min="15612" max="15612" width="1.140625" style="158" customWidth="1"/>
    <col min="15613" max="15613" width="14.140625" style="158" customWidth="1"/>
    <col min="15614" max="15614" width="34.85546875" style="158" customWidth="1"/>
    <col min="15615" max="15615" width="15.5703125" style="158" customWidth="1"/>
    <col min="15616" max="15616" width="0.85546875" style="158" customWidth="1"/>
    <col min="15617" max="15617" width="13.85546875" style="158" customWidth="1"/>
    <col min="15618" max="15618" width="13.7109375" style="158" customWidth="1"/>
    <col min="15619" max="15619" width="15.5703125" style="158" customWidth="1"/>
    <col min="15620" max="15620" width="0.85546875" style="158" customWidth="1"/>
    <col min="15621" max="15621" width="13.140625" style="158" customWidth="1"/>
    <col min="15622" max="15622" width="13.7109375" style="158" customWidth="1"/>
    <col min="15623" max="15623" width="15.5703125" style="158" customWidth="1"/>
    <col min="15624" max="15624" width="0.85546875" style="158" customWidth="1"/>
    <col min="15625" max="15625" width="13.140625" style="158" customWidth="1"/>
    <col min="15626" max="15626" width="13.7109375" style="158" customWidth="1"/>
    <col min="15627" max="15627" width="15.5703125" style="158" customWidth="1"/>
    <col min="15628" max="15628" width="11.85546875" style="158" customWidth="1"/>
    <col min="15629" max="15867" width="2.140625" style="158"/>
    <col min="15868" max="15868" width="1.140625" style="158" customWidth="1"/>
    <col min="15869" max="15869" width="14.140625" style="158" customWidth="1"/>
    <col min="15870" max="15870" width="34.85546875" style="158" customWidth="1"/>
    <col min="15871" max="15871" width="15.5703125" style="158" customWidth="1"/>
    <col min="15872" max="15872" width="0.85546875" style="158" customWidth="1"/>
    <col min="15873" max="15873" width="13.85546875" style="158" customWidth="1"/>
    <col min="15874" max="15874" width="13.7109375" style="158" customWidth="1"/>
    <col min="15875" max="15875" width="15.5703125" style="158" customWidth="1"/>
    <col min="15876" max="15876" width="0.85546875" style="158" customWidth="1"/>
    <col min="15877" max="15877" width="13.140625" style="158" customWidth="1"/>
    <col min="15878" max="15878" width="13.7109375" style="158" customWidth="1"/>
    <col min="15879" max="15879" width="15.5703125" style="158" customWidth="1"/>
    <col min="15880" max="15880" width="0.85546875" style="158" customWidth="1"/>
    <col min="15881" max="15881" width="13.140625" style="158" customWidth="1"/>
    <col min="15882" max="15882" width="13.7109375" style="158" customWidth="1"/>
    <col min="15883" max="15883" width="15.5703125" style="158" customWidth="1"/>
    <col min="15884" max="15884" width="11.85546875" style="158" customWidth="1"/>
    <col min="15885" max="16123" width="2.140625" style="158"/>
    <col min="16124" max="16124" width="1.140625" style="158" customWidth="1"/>
    <col min="16125" max="16125" width="14.140625" style="158" customWidth="1"/>
    <col min="16126" max="16126" width="34.85546875" style="158" customWidth="1"/>
    <col min="16127" max="16127" width="15.5703125" style="158" customWidth="1"/>
    <col min="16128" max="16128" width="0.85546875" style="158" customWidth="1"/>
    <col min="16129" max="16129" width="13.85546875" style="158" customWidth="1"/>
    <col min="16130" max="16130" width="13.7109375" style="158" customWidth="1"/>
    <col min="16131" max="16131" width="15.5703125" style="158" customWidth="1"/>
    <col min="16132" max="16132" width="0.85546875" style="158" customWidth="1"/>
    <col min="16133" max="16133" width="13.140625" style="158" customWidth="1"/>
    <col min="16134" max="16134" width="13.7109375" style="158" customWidth="1"/>
    <col min="16135" max="16135" width="15.5703125" style="158" customWidth="1"/>
    <col min="16136" max="16136" width="0.85546875" style="158" customWidth="1"/>
    <col min="16137" max="16137" width="13.140625" style="158" customWidth="1"/>
    <col min="16138" max="16138" width="13.7109375" style="158" customWidth="1"/>
    <col min="16139" max="16139" width="15.5703125" style="158" customWidth="1"/>
    <col min="16140" max="16140" width="11.85546875" style="158" customWidth="1"/>
    <col min="16141" max="16384" width="2.140625" style="158"/>
  </cols>
  <sheetData>
    <row r="1" spans="1:13" ht="33" customHeight="1" x14ac:dyDescent="0.35">
      <c r="D1" s="157"/>
      <c r="E1" s="896">
        <v>2016</v>
      </c>
      <c r="F1" s="157"/>
      <c r="G1" s="919">
        <v>2017</v>
      </c>
      <c r="H1" s="157"/>
      <c r="I1" s="932">
        <v>2018</v>
      </c>
      <c r="J1" s="157"/>
      <c r="K1" s="1006">
        <v>2019</v>
      </c>
    </row>
    <row r="2" spans="1:13" s="163" customFormat="1" ht="51" customHeight="1" x14ac:dyDescent="0.2">
      <c r="A2" s="159" t="s">
        <v>383</v>
      </c>
      <c r="B2" s="160" t="s">
        <v>272</v>
      </c>
      <c r="C2" s="160" t="s">
        <v>1</v>
      </c>
      <c r="D2" s="161"/>
      <c r="E2" s="160" t="s">
        <v>2</v>
      </c>
      <c r="F2" s="161"/>
      <c r="G2" s="160" t="s">
        <v>2</v>
      </c>
      <c r="H2" s="161"/>
      <c r="I2" s="160" t="s">
        <v>2</v>
      </c>
      <c r="J2" s="161"/>
      <c r="K2" s="160" t="s">
        <v>2</v>
      </c>
      <c r="L2" s="162" t="s">
        <v>6</v>
      </c>
    </row>
    <row r="3" spans="1:13" s="164" customFormat="1" ht="21" customHeight="1" x14ac:dyDescent="0.25">
      <c r="B3" s="165"/>
      <c r="C3" s="166" t="s">
        <v>7</v>
      </c>
      <c r="D3" s="168"/>
      <c r="E3" s="167">
        <f>SUM(E4:E7)</f>
        <v>5500000</v>
      </c>
      <c r="F3" s="168"/>
      <c r="G3" s="167">
        <f>SUM(G4:G7)</f>
        <v>6000000</v>
      </c>
      <c r="H3" s="168"/>
      <c r="I3" s="167">
        <f>SUM(I4:I7)</f>
        <v>6499999</v>
      </c>
      <c r="J3" s="168"/>
      <c r="K3" s="167">
        <f>SUM(K4:K7)</f>
        <v>6500000</v>
      </c>
      <c r="M3" s="169"/>
    </row>
    <row r="4" spans="1:13" s="170" customFormat="1" ht="38.25" x14ac:dyDescent="0.2">
      <c r="A4" s="170">
        <v>5</v>
      </c>
      <c r="B4" s="171">
        <v>580176444</v>
      </c>
      <c r="C4" s="51" t="s">
        <v>384</v>
      </c>
      <c r="D4" s="172"/>
      <c r="E4" s="173">
        <v>497456</v>
      </c>
      <c r="F4" s="172"/>
      <c r="G4" s="173">
        <v>567057</v>
      </c>
      <c r="H4" s="172"/>
      <c r="I4" s="173">
        <v>532057</v>
      </c>
      <c r="J4" s="172"/>
      <c r="K4" s="173">
        <v>425673</v>
      </c>
      <c r="L4" s="170" t="s">
        <v>53</v>
      </c>
      <c r="M4" s="174"/>
    </row>
    <row r="5" spans="1:13" s="164" customFormat="1" ht="28.5" customHeight="1" x14ac:dyDescent="0.2">
      <c r="A5" s="164">
        <v>6</v>
      </c>
      <c r="B5" s="171">
        <v>580182038</v>
      </c>
      <c r="C5" s="51" t="s">
        <v>385</v>
      </c>
      <c r="D5" s="172"/>
      <c r="E5" s="173">
        <v>219325</v>
      </c>
      <c r="F5" s="172"/>
      <c r="G5" s="173">
        <v>229389</v>
      </c>
      <c r="H5" s="172"/>
      <c r="I5" s="173">
        <v>253224</v>
      </c>
      <c r="J5" s="172"/>
      <c r="K5" s="173">
        <v>211378</v>
      </c>
      <c r="L5" s="164" t="s">
        <v>136</v>
      </c>
      <c r="M5" s="169"/>
    </row>
    <row r="6" spans="1:13" s="176" customFormat="1" ht="45" customHeight="1" x14ac:dyDescent="0.2">
      <c r="A6" s="175"/>
      <c r="B6" s="108">
        <v>580030799</v>
      </c>
      <c r="C6" s="55" t="s">
        <v>2408</v>
      </c>
      <c r="D6" s="172"/>
      <c r="E6" s="173">
        <v>4189226</v>
      </c>
      <c r="F6" s="172"/>
      <c r="G6" s="173">
        <v>4702943</v>
      </c>
      <c r="H6" s="172"/>
      <c r="I6" s="173">
        <v>4975035</v>
      </c>
      <c r="J6" s="172"/>
      <c r="K6" s="173">
        <v>4775118</v>
      </c>
      <c r="L6" s="164" t="s">
        <v>386</v>
      </c>
    </row>
    <row r="7" spans="1:13" s="176" customFormat="1" ht="25.5" customHeight="1" x14ac:dyDescent="0.2">
      <c r="A7" s="175"/>
      <c r="B7" s="171">
        <v>580442697</v>
      </c>
      <c r="C7" s="51" t="s">
        <v>388</v>
      </c>
      <c r="D7" s="172"/>
      <c r="E7" s="173">
        <v>593993</v>
      </c>
      <c r="F7" s="172"/>
      <c r="G7" s="173">
        <v>500611</v>
      </c>
      <c r="H7" s="172"/>
      <c r="I7" s="173">
        <v>739683</v>
      </c>
      <c r="J7" s="172"/>
      <c r="K7" s="173">
        <v>1087831</v>
      </c>
      <c r="L7" s="164" t="s">
        <v>9</v>
      </c>
    </row>
    <row r="8" spans="1:13" s="179" customFormat="1" x14ac:dyDescent="0.2">
      <c r="A8" s="177"/>
      <c r="B8" s="155"/>
      <c r="C8" s="178"/>
    </row>
    <row r="9" spans="1:13" s="179" customFormat="1" x14ac:dyDescent="0.2">
      <c r="A9" s="177"/>
      <c r="B9" s="155"/>
      <c r="C9" s="178"/>
    </row>
    <row r="10" spans="1:13" s="179" customFormat="1" x14ac:dyDescent="0.2">
      <c r="A10" s="177"/>
      <c r="B10" s="155"/>
      <c r="C10" s="178"/>
    </row>
    <row r="11" spans="1:13" s="179" customFormat="1" x14ac:dyDescent="0.2">
      <c r="A11" s="177"/>
      <c r="B11" s="155"/>
      <c r="C11" s="178"/>
    </row>
    <row r="12" spans="1:13" s="179" customFormat="1" x14ac:dyDescent="0.2">
      <c r="A12" s="177"/>
      <c r="B12" s="155"/>
      <c r="C12" s="178"/>
    </row>
    <row r="13" spans="1:13" s="179" customFormat="1" x14ac:dyDescent="0.2">
      <c r="A13" s="177"/>
      <c r="B13" s="155"/>
      <c r="C13" s="178"/>
    </row>
    <row r="14" spans="1:13" s="179" customFormat="1" x14ac:dyDescent="0.2">
      <c r="A14" s="177"/>
      <c r="B14" s="155"/>
      <c r="C14" s="178"/>
    </row>
    <row r="15" spans="1:13" s="179" customFormat="1" x14ac:dyDescent="0.2">
      <c r="A15" s="177"/>
      <c r="B15" s="155"/>
      <c r="C15" s="178"/>
    </row>
    <row r="16" spans="1:13" s="179" customFormat="1" x14ac:dyDescent="0.2">
      <c r="A16" s="177"/>
      <c r="B16" s="155"/>
      <c r="C16" s="178"/>
    </row>
    <row r="17" spans="1:3" s="179" customFormat="1" x14ac:dyDescent="0.2">
      <c r="A17" s="177"/>
      <c r="B17" s="155"/>
      <c r="C17" s="178"/>
    </row>
    <row r="18" spans="1:3" s="179" customFormat="1" x14ac:dyDescent="0.2">
      <c r="A18" s="177"/>
      <c r="B18" s="155"/>
      <c r="C18" s="178"/>
    </row>
    <row r="19" spans="1:3" s="179" customFormat="1" x14ac:dyDescent="0.2">
      <c r="A19" s="177"/>
      <c r="B19" s="155"/>
      <c r="C19" s="178"/>
    </row>
    <row r="20" spans="1:3" s="179" customFormat="1" x14ac:dyDescent="0.2">
      <c r="A20" s="177"/>
      <c r="B20" s="155"/>
      <c r="C20" s="178"/>
    </row>
    <row r="21" spans="1:3" s="179" customFormat="1" x14ac:dyDescent="0.2">
      <c r="A21" s="177"/>
      <c r="B21" s="155"/>
      <c r="C21" s="178"/>
    </row>
    <row r="22" spans="1:3" s="179" customFormat="1" x14ac:dyDescent="0.2">
      <c r="A22" s="177"/>
      <c r="B22" s="155"/>
      <c r="C22" s="178"/>
    </row>
    <row r="23" spans="1:3" s="179" customFormat="1" x14ac:dyDescent="0.2">
      <c r="A23" s="177"/>
      <c r="B23" s="155"/>
      <c r="C23" s="178"/>
    </row>
    <row r="24" spans="1:3" s="179" customFormat="1" x14ac:dyDescent="0.2">
      <c r="A24" s="177"/>
      <c r="B24" s="155"/>
      <c r="C24" s="178"/>
    </row>
    <row r="25" spans="1:3" s="179" customFormat="1" x14ac:dyDescent="0.2">
      <c r="A25" s="177"/>
      <c r="B25" s="155"/>
      <c r="C25" s="178"/>
    </row>
    <row r="26" spans="1:3" s="179" customFormat="1" x14ac:dyDescent="0.2">
      <c r="A26" s="177"/>
      <c r="B26" s="155"/>
      <c r="C26" s="178"/>
    </row>
    <row r="27" spans="1:3" s="179" customFormat="1" x14ac:dyDescent="0.2">
      <c r="A27" s="177"/>
      <c r="B27" s="155"/>
      <c r="C27" s="178"/>
    </row>
    <row r="28" spans="1:3" s="179" customFormat="1" x14ac:dyDescent="0.2">
      <c r="A28" s="177"/>
      <c r="B28" s="155"/>
      <c r="C28" s="178"/>
    </row>
    <row r="29" spans="1:3" s="179" customFormat="1" x14ac:dyDescent="0.2">
      <c r="A29" s="177"/>
      <c r="B29" s="155"/>
      <c r="C29" s="178"/>
    </row>
    <row r="30" spans="1:3" s="179" customFormat="1" x14ac:dyDescent="0.2">
      <c r="A30" s="177"/>
      <c r="B30" s="155"/>
      <c r="C30" s="178"/>
    </row>
    <row r="31" spans="1:3" s="179" customFormat="1" x14ac:dyDescent="0.2">
      <c r="A31" s="177"/>
      <c r="B31" s="155"/>
      <c r="C31" s="178"/>
    </row>
    <row r="32" spans="1:3" s="179" customFormat="1" x14ac:dyDescent="0.2">
      <c r="A32" s="177"/>
      <c r="B32" s="155"/>
      <c r="C32" s="178"/>
    </row>
    <row r="33" spans="1:3" s="179" customFormat="1" x14ac:dyDescent="0.2">
      <c r="A33" s="177"/>
      <c r="B33" s="155"/>
      <c r="C33" s="178"/>
    </row>
    <row r="34" spans="1:3" s="179" customFormat="1" x14ac:dyDescent="0.2">
      <c r="A34" s="177"/>
      <c r="B34" s="155"/>
      <c r="C34" s="178"/>
    </row>
    <row r="35" spans="1:3" s="179" customFormat="1" x14ac:dyDescent="0.2">
      <c r="A35" s="177"/>
      <c r="B35" s="155"/>
      <c r="C35" s="178"/>
    </row>
    <row r="36" spans="1:3" s="179" customFormat="1" x14ac:dyDescent="0.2">
      <c r="A36" s="177"/>
      <c r="B36" s="155"/>
      <c r="C36" s="178"/>
    </row>
    <row r="37" spans="1:3" s="179" customFormat="1" x14ac:dyDescent="0.2">
      <c r="A37" s="177"/>
      <c r="B37" s="155"/>
      <c r="C37" s="178"/>
    </row>
    <row r="38" spans="1:3" s="179" customFormat="1" x14ac:dyDescent="0.2">
      <c r="A38" s="177"/>
      <c r="B38" s="155"/>
      <c r="C38" s="178"/>
    </row>
    <row r="39" spans="1:3" s="179" customFormat="1" x14ac:dyDescent="0.2">
      <c r="A39" s="177"/>
      <c r="B39" s="155"/>
      <c r="C39" s="178"/>
    </row>
    <row r="40" spans="1:3" s="179" customFormat="1" x14ac:dyDescent="0.2">
      <c r="A40" s="177"/>
      <c r="B40" s="155"/>
      <c r="C40" s="178"/>
    </row>
    <row r="41" spans="1:3" s="179" customFormat="1" x14ac:dyDescent="0.2">
      <c r="A41" s="177"/>
      <c r="B41" s="155"/>
      <c r="C41" s="178"/>
    </row>
    <row r="42" spans="1:3" s="179" customFormat="1" x14ac:dyDescent="0.2">
      <c r="A42" s="177"/>
      <c r="B42" s="155"/>
      <c r="C42" s="178"/>
    </row>
    <row r="43" spans="1:3" s="179" customFormat="1" x14ac:dyDescent="0.2">
      <c r="A43" s="177"/>
      <c r="B43" s="155"/>
      <c r="C43" s="178"/>
    </row>
    <row r="44" spans="1:3" s="179" customFormat="1" x14ac:dyDescent="0.2">
      <c r="A44" s="177"/>
      <c r="B44" s="155"/>
      <c r="C44" s="178"/>
    </row>
    <row r="45" spans="1:3" s="179" customFormat="1" x14ac:dyDescent="0.2">
      <c r="A45" s="177"/>
      <c r="B45" s="155"/>
      <c r="C45" s="178"/>
    </row>
    <row r="46" spans="1:3" s="179" customFormat="1" x14ac:dyDescent="0.2">
      <c r="A46" s="177"/>
      <c r="B46" s="155"/>
      <c r="C46" s="178"/>
    </row>
    <row r="47" spans="1:3" s="179" customFormat="1" x14ac:dyDescent="0.2">
      <c r="A47" s="177"/>
      <c r="B47" s="155"/>
      <c r="C47" s="178"/>
    </row>
    <row r="48" spans="1:3" s="179" customFormat="1" x14ac:dyDescent="0.2">
      <c r="A48" s="177"/>
      <c r="B48" s="155"/>
      <c r="C48" s="178"/>
    </row>
    <row r="49" spans="1:3" s="179" customFormat="1" x14ac:dyDescent="0.2">
      <c r="A49" s="177"/>
      <c r="B49" s="155"/>
      <c r="C49" s="178"/>
    </row>
    <row r="50" spans="1:3" s="179" customFormat="1" x14ac:dyDescent="0.2">
      <c r="A50" s="177"/>
      <c r="B50" s="155"/>
      <c r="C50" s="178"/>
    </row>
    <row r="51" spans="1:3" s="179" customFormat="1" x14ac:dyDescent="0.2">
      <c r="A51" s="177"/>
      <c r="B51" s="155"/>
      <c r="C51" s="178"/>
    </row>
    <row r="52" spans="1:3" s="179" customFormat="1" x14ac:dyDescent="0.2">
      <c r="A52" s="177"/>
      <c r="B52" s="155"/>
      <c r="C52" s="178"/>
    </row>
    <row r="53" spans="1:3" s="179" customFormat="1" x14ac:dyDescent="0.2">
      <c r="A53" s="177"/>
      <c r="B53" s="155"/>
      <c r="C53" s="178"/>
    </row>
    <row r="54" spans="1:3" s="179" customFormat="1" x14ac:dyDescent="0.2">
      <c r="A54" s="177"/>
      <c r="B54" s="155"/>
      <c r="C54" s="178"/>
    </row>
    <row r="55" spans="1:3" s="179" customFormat="1" x14ac:dyDescent="0.2">
      <c r="A55" s="177"/>
      <c r="B55" s="155"/>
      <c r="C55" s="178"/>
    </row>
    <row r="56" spans="1:3" s="179" customFormat="1" x14ac:dyDescent="0.2">
      <c r="A56" s="177"/>
      <c r="B56" s="155"/>
      <c r="C56" s="178"/>
    </row>
    <row r="57" spans="1:3" s="179" customFormat="1" x14ac:dyDescent="0.2">
      <c r="A57" s="177"/>
      <c r="B57" s="155"/>
      <c r="C57" s="178"/>
    </row>
    <row r="58" spans="1:3" s="179" customFormat="1" x14ac:dyDescent="0.2">
      <c r="A58" s="177"/>
      <c r="B58" s="155"/>
      <c r="C58" s="178"/>
    </row>
    <row r="59" spans="1:3" s="179" customFormat="1" x14ac:dyDescent="0.2">
      <c r="A59" s="177"/>
      <c r="B59" s="155"/>
      <c r="C59" s="178"/>
    </row>
    <row r="60" spans="1:3" s="179" customFormat="1" x14ac:dyDescent="0.2">
      <c r="A60" s="177"/>
      <c r="B60" s="155"/>
      <c r="C60" s="178"/>
    </row>
    <row r="61" spans="1:3" s="179" customFormat="1" x14ac:dyDescent="0.2">
      <c r="A61" s="177"/>
      <c r="B61" s="155"/>
      <c r="C61" s="178"/>
    </row>
    <row r="62" spans="1:3" s="179" customFormat="1" x14ac:dyDescent="0.2">
      <c r="A62" s="177"/>
      <c r="B62" s="155"/>
      <c r="C62" s="178"/>
    </row>
    <row r="63" spans="1:3" s="179" customFormat="1" x14ac:dyDescent="0.2">
      <c r="A63" s="177"/>
      <c r="B63" s="155"/>
      <c r="C63" s="178"/>
    </row>
    <row r="64" spans="1:3" s="179" customFormat="1" x14ac:dyDescent="0.2">
      <c r="A64" s="177"/>
      <c r="B64" s="155"/>
      <c r="C64" s="178"/>
    </row>
    <row r="65" spans="1:3" s="179" customFormat="1" x14ac:dyDescent="0.2">
      <c r="A65" s="177"/>
      <c r="B65" s="155"/>
      <c r="C65" s="178"/>
    </row>
    <row r="66" spans="1:3" s="179" customFormat="1" x14ac:dyDescent="0.2">
      <c r="A66" s="177"/>
      <c r="B66" s="155"/>
      <c r="C66" s="178"/>
    </row>
    <row r="67" spans="1:3" s="179" customFormat="1" x14ac:dyDescent="0.2">
      <c r="A67" s="177"/>
      <c r="B67" s="155"/>
      <c r="C67" s="178"/>
    </row>
    <row r="68" spans="1:3" s="179" customFormat="1" x14ac:dyDescent="0.2">
      <c r="A68" s="177"/>
      <c r="B68" s="155"/>
      <c r="C68" s="178"/>
    </row>
    <row r="69" spans="1:3" s="179" customFormat="1" x14ac:dyDescent="0.2">
      <c r="A69" s="177"/>
      <c r="B69" s="155"/>
      <c r="C69" s="178"/>
    </row>
    <row r="70" spans="1:3" s="179" customFormat="1" x14ac:dyDescent="0.2">
      <c r="A70" s="177"/>
      <c r="B70" s="155"/>
      <c r="C70" s="178"/>
    </row>
    <row r="71" spans="1:3" s="179" customFormat="1" x14ac:dyDescent="0.2">
      <c r="A71" s="177"/>
      <c r="B71" s="155"/>
      <c r="C71" s="178"/>
    </row>
    <row r="72" spans="1:3" s="179" customFormat="1" x14ac:dyDescent="0.2">
      <c r="A72" s="177"/>
      <c r="B72" s="155"/>
      <c r="C72" s="178"/>
    </row>
    <row r="73" spans="1:3" s="179" customFormat="1" x14ac:dyDescent="0.2">
      <c r="A73" s="177"/>
      <c r="B73" s="155"/>
      <c r="C73" s="178"/>
    </row>
    <row r="74" spans="1:3" s="179" customFormat="1" x14ac:dyDescent="0.2">
      <c r="A74" s="177"/>
      <c r="B74" s="155"/>
      <c r="C74" s="178"/>
    </row>
    <row r="75" spans="1:3" s="179" customFormat="1" x14ac:dyDescent="0.2">
      <c r="A75" s="177"/>
      <c r="B75" s="155"/>
      <c r="C75" s="178"/>
    </row>
    <row r="76" spans="1:3" s="179" customFormat="1" x14ac:dyDescent="0.2">
      <c r="A76" s="177"/>
      <c r="B76" s="155"/>
      <c r="C76" s="178"/>
    </row>
    <row r="77" spans="1:3" s="179" customFormat="1" x14ac:dyDescent="0.2">
      <c r="A77" s="177"/>
      <c r="B77" s="155"/>
      <c r="C77" s="178"/>
    </row>
    <row r="78" spans="1:3" s="179" customFormat="1" x14ac:dyDescent="0.2">
      <c r="A78" s="177"/>
      <c r="B78" s="155"/>
      <c r="C78" s="178"/>
    </row>
    <row r="79" spans="1:3" s="179" customFormat="1" x14ac:dyDescent="0.2">
      <c r="A79" s="177"/>
      <c r="B79" s="155"/>
      <c r="C79" s="178"/>
    </row>
    <row r="80" spans="1:3" s="179" customFormat="1" x14ac:dyDescent="0.2">
      <c r="A80" s="177"/>
      <c r="B80" s="155"/>
      <c r="C80" s="178"/>
    </row>
    <row r="81" spans="1:3" s="179" customFormat="1" x14ac:dyDescent="0.2">
      <c r="A81" s="177"/>
      <c r="B81" s="155"/>
      <c r="C81" s="178"/>
    </row>
    <row r="82" spans="1:3" s="179" customFormat="1" x14ac:dyDescent="0.2">
      <c r="A82" s="177"/>
      <c r="B82" s="155"/>
      <c r="C82" s="178"/>
    </row>
    <row r="83" spans="1:3" s="179" customFormat="1" x14ac:dyDescent="0.2">
      <c r="A83" s="177"/>
      <c r="B83" s="155"/>
      <c r="C83" s="178"/>
    </row>
    <row r="84" spans="1:3" s="179" customFormat="1" x14ac:dyDescent="0.2">
      <c r="A84" s="177"/>
      <c r="B84" s="155"/>
      <c r="C84" s="178"/>
    </row>
    <row r="85" spans="1:3" s="179" customFormat="1" x14ac:dyDescent="0.2">
      <c r="A85" s="177"/>
      <c r="B85" s="155"/>
      <c r="C85" s="178"/>
    </row>
    <row r="86" spans="1:3" s="179" customFormat="1" x14ac:dyDescent="0.2">
      <c r="A86" s="177"/>
      <c r="B86" s="155"/>
      <c r="C86" s="178"/>
    </row>
    <row r="87" spans="1:3" s="179" customFormat="1" x14ac:dyDescent="0.2">
      <c r="A87" s="177"/>
      <c r="B87" s="155"/>
      <c r="C87" s="178"/>
    </row>
    <row r="88" spans="1:3" s="179" customFormat="1" x14ac:dyDescent="0.2">
      <c r="A88" s="177"/>
      <c r="B88" s="155"/>
      <c r="C88" s="178"/>
    </row>
    <row r="89" spans="1:3" s="179" customFormat="1" x14ac:dyDescent="0.2">
      <c r="A89" s="177"/>
      <c r="B89" s="155"/>
      <c r="C89" s="178"/>
    </row>
    <row r="90" spans="1:3" s="179" customFormat="1" x14ac:dyDescent="0.2">
      <c r="A90" s="177"/>
      <c r="B90" s="155"/>
      <c r="C90" s="178"/>
    </row>
    <row r="91" spans="1:3" s="179" customFormat="1" x14ac:dyDescent="0.2">
      <c r="A91" s="177"/>
      <c r="B91" s="155"/>
      <c r="C91" s="178"/>
    </row>
    <row r="92" spans="1:3" s="179" customFormat="1" x14ac:dyDescent="0.2">
      <c r="A92" s="177"/>
      <c r="B92" s="155"/>
      <c r="C92" s="178"/>
    </row>
    <row r="93" spans="1:3" s="179" customFormat="1" x14ac:dyDescent="0.2">
      <c r="A93" s="177"/>
      <c r="B93" s="155"/>
      <c r="C93" s="178"/>
    </row>
    <row r="94" spans="1:3" s="179" customFormat="1" x14ac:dyDescent="0.2">
      <c r="A94" s="177"/>
      <c r="B94" s="155"/>
      <c r="C94" s="178"/>
    </row>
    <row r="95" spans="1:3" s="179" customFormat="1" x14ac:dyDescent="0.2">
      <c r="A95" s="177"/>
      <c r="B95" s="155"/>
      <c r="C95" s="178"/>
    </row>
    <row r="96" spans="1:3" s="179" customFormat="1" x14ac:dyDescent="0.2">
      <c r="A96" s="177"/>
      <c r="B96" s="155"/>
      <c r="C96" s="178"/>
    </row>
    <row r="97" spans="1:3" s="179" customFormat="1" x14ac:dyDescent="0.2">
      <c r="A97" s="177"/>
      <c r="B97" s="155"/>
      <c r="C97" s="178"/>
    </row>
    <row r="98" spans="1:3" s="179" customFormat="1" x14ac:dyDescent="0.2">
      <c r="A98" s="177"/>
      <c r="B98" s="155"/>
      <c r="C98" s="178"/>
    </row>
    <row r="99" spans="1:3" s="179" customFormat="1" x14ac:dyDescent="0.2">
      <c r="A99" s="177"/>
      <c r="B99" s="155"/>
      <c r="C99" s="178"/>
    </row>
  </sheetData>
  <pageMargins left="0" right="0.55118110236220474" top="2.0472440944881889" bottom="0.39370078740157483" header="1.299212598425197" footer="0.19685039370078741"/>
  <pageSetup paperSize="9" fitToHeight="10" orientation="landscape" r:id="rId1"/>
  <headerFooter alignWithMargins="0">
    <oddHeader>&amp;L&amp;D&amp;Cמינהל תרבות
&amp;"Arial,מודגש"&amp;11תקציב על שינויו 2016-2019 בש"ח בהתאם להחלטת ועדת התמיכות&amp;R&amp;"Arial,מודגש"&amp;16תקנה 42-02-23ספריות</oddHeader>
    <oddFooter>&amp;L&amp;F&amp;C&amp;P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A1:CJ9"/>
  <sheetViews>
    <sheetView rightToLeft="1" zoomScale="80" zoomScaleNormal="80" zoomScaleSheetLayoutView="100" workbookViewId="0">
      <pane ySplit="1" topLeftCell="A2" activePane="bottomLeft" state="frozen"/>
      <selection pane="bottomLeft" activeCell="J3" sqref="J3"/>
    </sheetView>
  </sheetViews>
  <sheetFormatPr defaultColWidth="0.7109375" defaultRowHeight="12.75" x14ac:dyDescent="0.2"/>
  <cols>
    <col min="1" max="1" width="24.28515625" style="41" customWidth="1"/>
    <col min="2" max="2" width="10.85546875" style="41" bestFit="1" customWidth="1"/>
    <col min="3" max="3" width="13.5703125" style="41" customWidth="1"/>
    <col min="4" max="4" width="11.28515625" style="41" customWidth="1"/>
    <col min="5" max="5" width="12.85546875" style="117" hidden="1" customWidth="1"/>
    <col min="6" max="7" width="13" style="117" hidden="1" customWidth="1"/>
    <col min="8" max="9" width="13" style="43" hidden="1" customWidth="1"/>
    <col min="10" max="12" width="13" style="43" customWidth="1"/>
    <col min="13" max="13" width="37.85546875" style="42" customWidth="1"/>
    <col min="14" max="22" width="4.140625" style="42" customWidth="1"/>
    <col min="23" max="70" width="0.7109375" style="42"/>
    <col min="71" max="16384" width="0.7109375" style="41"/>
  </cols>
  <sheetData>
    <row r="1" spans="1:88" s="99" customFormat="1" ht="41.2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</row>
    <row r="2" spans="1:88" s="94" customFormat="1" ht="30" customHeight="1" x14ac:dyDescent="0.2">
      <c r="A2" s="145" t="s">
        <v>387</v>
      </c>
      <c r="B2" s="144"/>
      <c r="C2" s="144"/>
      <c r="D2" s="144"/>
      <c r="E2" s="153"/>
      <c r="F2" s="180"/>
      <c r="G2" s="153"/>
      <c r="H2" s="153"/>
      <c r="I2" s="153"/>
      <c r="J2" s="153"/>
      <c r="K2" s="153"/>
      <c r="L2" s="153"/>
      <c r="M2" s="181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</row>
    <row r="3" spans="1:88" s="62" customFormat="1" ht="45" customHeight="1" x14ac:dyDescent="0.2">
      <c r="A3" s="51" t="s">
        <v>388</v>
      </c>
      <c r="B3" s="182">
        <v>580442697</v>
      </c>
      <c r="C3" s="49">
        <v>1000549064</v>
      </c>
      <c r="D3" s="48">
        <v>40296190</v>
      </c>
      <c r="E3" s="46"/>
      <c r="F3" s="119"/>
      <c r="G3" s="119"/>
      <c r="H3" s="46"/>
      <c r="I3" s="46">
        <v>0</v>
      </c>
      <c r="J3" s="46">
        <v>189762</v>
      </c>
      <c r="K3" s="46">
        <v>189762</v>
      </c>
      <c r="L3" s="46">
        <f t="shared" ref="L3:L8" si="0">J3-K3</f>
        <v>0</v>
      </c>
      <c r="M3" s="79"/>
    </row>
    <row r="4" spans="1:88" s="62" customFormat="1" ht="45" customHeight="1" x14ac:dyDescent="0.2">
      <c r="A4" s="51" t="s">
        <v>389</v>
      </c>
      <c r="B4" s="182">
        <v>580176444</v>
      </c>
      <c r="C4" s="49">
        <v>1000543202</v>
      </c>
      <c r="D4" s="184">
        <v>40000534</v>
      </c>
      <c r="E4" s="185">
        <v>600000</v>
      </c>
      <c r="F4" s="119">
        <v>599146</v>
      </c>
      <c r="G4" s="119">
        <v>588785</v>
      </c>
      <c r="H4" s="186">
        <v>591594</v>
      </c>
      <c r="I4" s="187">
        <v>589702</v>
      </c>
      <c r="J4" s="46">
        <v>600000</v>
      </c>
      <c r="K4" s="46">
        <v>600000</v>
      </c>
      <c r="L4" s="46">
        <f t="shared" si="0"/>
        <v>0</v>
      </c>
      <c r="M4" s="79"/>
    </row>
    <row r="5" spans="1:88" s="62" customFormat="1" ht="45" customHeight="1" x14ac:dyDescent="0.2">
      <c r="A5" s="51" t="s">
        <v>389</v>
      </c>
      <c r="B5" s="182">
        <v>580176444</v>
      </c>
      <c r="C5" s="189">
        <v>1000605303</v>
      </c>
      <c r="D5" s="184">
        <v>40000534</v>
      </c>
      <c r="E5" s="119"/>
      <c r="F5" s="119"/>
      <c r="G5" s="119"/>
      <c r="H5" s="119"/>
      <c r="I5" s="119"/>
      <c r="J5" s="46">
        <v>7963</v>
      </c>
      <c r="K5" s="46">
        <v>7963</v>
      </c>
      <c r="L5" s="46">
        <f t="shared" si="0"/>
        <v>0</v>
      </c>
      <c r="M5" s="79"/>
    </row>
    <row r="6" spans="1:88" s="62" customFormat="1" ht="54.75" customHeight="1" x14ac:dyDescent="0.2">
      <c r="A6" s="190" t="s">
        <v>390</v>
      </c>
      <c r="B6" s="182">
        <v>580182038</v>
      </c>
      <c r="C6" s="49">
        <v>1000553071</v>
      </c>
      <c r="D6" s="48">
        <v>40000539</v>
      </c>
      <c r="E6" s="46">
        <v>200000</v>
      </c>
      <c r="F6" s="46">
        <v>163404</v>
      </c>
      <c r="G6" s="46">
        <v>168052</v>
      </c>
      <c r="H6" s="46">
        <v>0</v>
      </c>
      <c r="I6" s="46">
        <v>172065</v>
      </c>
      <c r="J6" s="46">
        <v>211601</v>
      </c>
      <c r="K6" s="46">
        <v>211601</v>
      </c>
      <c r="L6" s="46">
        <f t="shared" si="0"/>
        <v>0</v>
      </c>
      <c r="M6" s="88"/>
    </row>
    <row r="7" spans="1:88" s="62" customFormat="1" ht="45" customHeight="1" x14ac:dyDescent="0.2">
      <c r="A7" s="191" t="s">
        <v>391</v>
      </c>
      <c r="B7" s="192">
        <v>580030799</v>
      </c>
      <c r="C7" s="49">
        <v>1000542217</v>
      </c>
      <c r="D7" s="193">
        <v>40000085</v>
      </c>
      <c r="E7" s="187">
        <v>3890000</v>
      </c>
      <c r="F7" s="187">
        <v>3737450</v>
      </c>
      <c r="G7" s="187">
        <v>3668854</v>
      </c>
      <c r="H7" s="187">
        <v>3874795</v>
      </c>
      <c r="I7" s="187">
        <v>3738233</v>
      </c>
      <c r="J7" s="46">
        <v>3900000</v>
      </c>
      <c r="K7" s="46">
        <v>3900000</v>
      </c>
      <c r="L7" s="194">
        <f t="shared" si="0"/>
        <v>0</v>
      </c>
      <c r="M7" s="75"/>
    </row>
    <row r="8" spans="1:88" s="62" customFormat="1" ht="44.25" customHeight="1" x14ac:dyDescent="0.2">
      <c r="A8" s="191" t="s">
        <v>391</v>
      </c>
      <c r="B8" s="192">
        <v>580030799</v>
      </c>
      <c r="C8" s="49">
        <v>1000604978</v>
      </c>
      <c r="D8" s="193">
        <v>40000085</v>
      </c>
      <c r="E8" s="185"/>
      <c r="F8" s="119"/>
      <c r="G8" s="119"/>
      <c r="H8" s="186"/>
      <c r="I8" s="185"/>
      <c r="J8" s="46">
        <v>850674</v>
      </c>
      <c r="K8" s="46">
        <v>850674</v>
      </c>
      <c r="L8" s="46">
        <f t="shared" si="0"/>
        <v>0</v>
      </c>
      <c r="M8" s="88"/>
    </row>
    <row r="9" spans="1:88" x14ac:dyDescent="0.2">
      <c r="J9" s="282">
        <f>SUM(J3:J8)</f>
        <v>5760000</v>
      </c>
    </row>
  </sheetData>
  <pageMargins left="0.11811023622047245" right="0.15748031496062992" top="0.47244094488188981" bottom="0.47244094488188981" header="0.15748031496062992" footer="0.19685039370078741"/>
  <pageSetup paperSize="9" scale="80" orientation="landscape" r:id="rId1"/>
  <headerFooter alignWithMargins="0">
    <oddHeader>&amp;C&amp;"Guttman Yad-Brush,רגיל"&amp;14תקנת ספריות - 42-02-23</oddHeader>
    <oddFooter>&amp;L&amp;D&amp;C&amp;P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גיליון26"/>
  <dimension ref="A1:CB98"/>
  <sheetViews>
    <sheetView rightToLeft="1" zoomScale="80" zoomScaleNormal="80" zoomScaleSheetLayoutView="100" workbookViewId="0">
      <pane ySplit="1" topLeftCell="A2" activePane="bottomLeft" state="frozen"/>
      <selection pane="bottomLeft" activeCell="B5" sqref="B5"/>
    </sheetView>
  </sheetViews>
  <sheetFormatPr defaultColWidth="0.7109375" defaultRowHeight="12.75" x14ac:dyDescent="0.2"/>
  <cols>
    <col min="1" max="1" width="27" style="41" customWidth="1"/>
    <col min="2" max="2" width="10.85546875" style="41" bestFit="1" customWidth="1"/>
    <col min="3" max="3" width="13.5703125" style="41" customWidth="1"/>
    <col min="4" max="4" width="10.42578125" style="41" customWidth="1"/>
    <col min="5" max="5" width="11.85546875" style="41" hidden="1" customWidth="1"/>
    <col min="6" max="6" width="13.140625" style="41" hidden="1" customWidth="1"/>
    <col min="7" max="7" width="12.85546875" style="117" hidden="1" customWidth="1"/>
    <col min="8" max="9" width="13" style="117" hidden="1" customWidth="1"/>
    <col min="10" max="10" width="16.5703125" style="117" customWidth="1"/>
    <col min="11" max="12" width="13" style="117" customWidth="1"/>
    <col min="13" max="13" width="31.42578125" style="43" customWidth="1"/>
    <col min="14" max="14" width="34" style="115" customWidth="1"/>
    <col min="15" max="16" width="11.5703125" style="115" customWidth="1"/>
    <col min="17" max="17" width="13.85546875" style="115" customWidth="1"/>
    <col min="18" max="18" width="32.28515625" style="43" customWidth="1"/>
    <col min="19" max="19" width="13.5703125" style="43" customWidth="1"/>
    <col min="20" max="20" width="13" style="114" customWidth="1"/>
    <col min="21" max="80" width="0.7109375" style="42"/>
    <col min="81" max="16384" width="0.7109375" style="41"/>
  </cols>
  <sheetData>
    <row r="1" spans="1:71" s="99" customFormat="1" ht="41.2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</row>
    <row r="2" spans="1:71" s="94" customFormat="1" ht="30" customHeight="1" x14ac:dyDescent="0.2">
      <c r="A2" s="145" t="s">
        <v>478</v>
      </c>
      <c r="B2" s="144"/>
      <c r="C2" s="144"/>
      <c r="D2" s="144"/>
      <c r="E2" s="243"/>
      <c r="F2" s="153"/>
      <c r="G2" s="153"/>
      <c r="H2" s="153"/>
      <c r="I2" s="153"/>
      <c r="J2" s="153"/>
      <c r="K2" s="153"/>
      <c r="L2" s="153"/>
      <c r="M2" s="244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</row>
    <row r="3" spans="1:71" s="62" customFormat="1" ht="84" customHeight="1" x14ac:dyDescent="0.2">
      <c r="A3" s="51" t="s">
        <v>479</v>
      </c>
      <c r="B3" s="50">
        <v>580081834</v>
      </c>
      <c r="C3" s="49">
        <v>1000545437</v>
      </c>
      <c r="D3" s="48">
        <v>40000445</v>
      </c>
      <c r="E3" s="46"/>
      <c r="F3" s="119"/>
      <c r="G3" s="119"/>
      <c r="H3" s="46"/>
      <c r="I3" s="46" t="s">
        <v>480</v>
      </c>
      <c r="J3" s="46">
        <v>310215</v>
      </c>
      <c r="K3" s="46">
        <v>243340</v>
      </c>
      <c r="L3" s="74">
        <f>J3-K3</f>
        <v>66875</v>
      </c>
      <c r="M3" s="245" t="s">
        <v>481</v>
      </c>
      <c r="N3" s="92"/>
      <c r="O3" s="121" t="e">
        <f>MATCH(B3,'42-02-07, 42-02-15 תיאטרון'!$A$5:$A$31,0)</f>
        <v>#N/A</v>
      </c>
      <c r="P3" s="121">
        <f>MATCH(B3,'42-02-07, 42-02-15 תיאטרון'!$A$34:$A$96,0)</f>
        <v>18</v>
      </c>
      <c r="Q3" s="121" t="e">
        <f>MATCH(B3,'42-02-07, 42-02-15 תיאטרון'!$A$98:$A$100,0)</f>
        <v>#N/A</v>
      </c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</row>
    <row r="4" spans="1:71" s="62" customFormat="1" ht="45.75" customHeight="1" x14ac:dyDescent="0.2">
      <c r="A4" s="51" t="s">
        <v>482</v>
      </c>
      <c r="B4" s="105">
        <v>580202091</v>
      </c>
      <c r="C4" s="49">
        <v>1000549155</v>
      </c>
      <c r="D4" s="48">
        <v>40000176</v>
      </c>
      <c r="E4" s="46">
        <v>0</v>
      </c>
      <c r="F4" s="46">
        <v>0</v>
      </c>
      <c r="G4" s="119">
        <v>0</v>
      </c>
      <c r="H4" s="46">
        <v>100000</v>
      </c>
      <c r="I4" s="46">
        <v>82500</v>
      </c>
      <c r="J4" s="46">
        <v>17950</v>
      </c>
      <c r="K4" s="47">
        <v>0</v>
      </c>
      <c r="L4" s="74">
        <f>J4-K4</f>
        <v>17950</v>
      </c>
      <c r="M4" s="73" t="s">
        <v>483</v>
      </c>
      <c r="O4" s="121" t="e">
        <f>MATCH(B4,'42-02-07, 42-02-15 תיאטרון'!$A$5:$A$31,0)</f>
        <v>#N/A</v>
      </c>
      <c r="P4" s="121">
        <f>MATCH(B4,'42-02-07, 42-02-15 תיאטרון'!$A$34:$A$96,0)</f>
        <v>4</v>
      </c>
      <c r="Q4" s="121" t="e">
        <f>MATCH(B4,'42-02-07, 42-02-15 תיאטרון'!$A$98:$A$100,0)</f>
        <v>#N/A</v>
      </c>
    </row>
    <row r="5" spans="1:71" s="62" customFormat="1" ht="41.25" customHeight="1" x14ac:dyDescent="0.2">
      <c r="A5" s="55" t="s">
        <v>484</v>
      </c>
      <c r="B5" s="50">
        <v>580466787</v>
      </c>
      <c r="C5" s="49">
        <v>1000541931</v>
      </c>
      <c r="D5" s="48">
        <v>40323479</v>
      </c>
      <c r="E5" s="46">
        <v>0</v>
      </c>
      <c r="F5" s="119">
        <v>47834</v>
      </c>
      <c r="G5" s="119">
        <v>73063</v>
      </c>
      <c r="H5" s="46">
        <v>70531</v>
      </c>
      <c r="I5" s="46">
        <v>0</v>
      </c>
      <c r="J5" s="46">
        <v>55993</v>
      </c>
      <c r="K5" s="47">
        <v>0</v>
      </c>
      <c r="L5" s="74">
        <f>J5-K5</f>
        <v>55993</v>
      </c>
      <c r="M5" s="73" t="s">
        <v>485</v>
      </c>
      <c r="O5" s="121" t="e">
        <f>MATCH(B5,'42-02-07, 42-02-15 תיאטרון'!$A$5:$A$31,0)</f>
        <v>#N/A</v>
      </c>
      <c r="P5" s="121" t="e">
        <f>MATCH(B5,'42-02-07, 42-02-15 תיאטרון'!$A$34:$A$96,0)</f>
        <v>#N/A</v>
      </c>
      <c r="Q5" s="121" t="e">
        <f>MATCH(B5,'42-02-07, 42-02-15 תיאטרון'!$A$98:$A$100,0)</f>
        <v>#N/A</v>
      </c>
    </row>
    <row r="6" spans="1:71" s="44" customFormat="1" ht="60" customHeight="1" x14ac:dyDescent="0.2">
      <c r="A6" s="55" t="s">
        <v>486</v>
      </c>
      <c r="B6" s="182">
        <v>510748734</v>
      </c>
      <c r="C6" s="246">
        <v>1000542803</v>
      </c>
      <c r="D6" s="48">
        <v>40000028</v>
      </c>
      <c r="E6" s="46">
        <v>285000</v>
      </c>
      <c r="F6" s="46">
        <v>315000</v>
      </c>
      <c r="G6" s="46">
        <v>329000</v>
      </c>
      <c r="H6" s="46">
        <v>330000</v>
      </c>
      <c r="I6" s="46">
        <v>330000</v>
      </c>
      <c r="J6" s="46">
        <v>300000</v>
      </c>
      <c r="K6" s="46">
        <v>300000</v>
      </c>
      <c r="L6" s="46">
        <f t="shared" ref="L6:L69" si="0">J6-K6</f>
        <v>0</v>
      </c>
      <c r="M6" s="247"/>
      <c r="O6" s="121" t="e">
        <f>MATCH(B6,'42-02-07, 42-02-15 תיאטרון'!$A$5:$A$31,0)</f>
        <v>#N/A</v>
      </c>
      <c r="P6" s="121">
        <f>MATCH(B6,'42-02-07, 42-02-15 תיאטרון'!$A$34:$A$96,0)</f>
        <v>14</v>
      </c>
      <c r="Q6" s="121" t="e">
        <f>MATCH(B6,'42-02-07, 42-02-15 תיאטרון'!$A$98:$A$100,0)</f>
        <v>#N/A</v>
      </c>
    </row>
    <row r="7" spans="1:71" s="44" customFormat="1" ht="48" customHeight="1" x14ac:dyDescent="0.2">
      <c r="A7" s="55" t="s">
        <v>457</v>
      </c>
      <c r="B7" s="50">
        <v>580482941</v>
      </c>
      <c r="C7" s="130">
        <v>1000539071</v>
      </c>
      <c r="D7" s="48">
        <v>40376018</v>
      </c>
      <c r="E7" s="46">
        <v>75000</v>
      </c>
      <c r="F7" s="119">
        <v>250000</v>
      </c>
      <c r="G7" s="119">
        <v>150000</v>
      </c>
      <c r="H7" s="46">
        <v>200000</v>
      </c>
      <c r="I7" s="46">
        <v>275000</v>
      </c>
      <c r="J7" s="46">
        <v>220000</v>
      </c>
      <c r="K7" s="46">
        <v>220000</v>
      </c>
      <c r="L7" s="46">
        <f t="shared" si="0"/>
        <v>0</v>
      </c>
      <c r="M7" s="51"/>
      <c r="O7" s="121" t="e">
        <f>MATCH(B7,'42-02-07, 42-02-15 תיאטרון'!$A$5:$A$31,0)</f>
        <v>#N/A</v>
      </c>
      <c r="P7" s="121">
        <f>MATCH(B7,'42-02-07, 42-02-15 תיאטרון'!$A$34:$A$96,0)</f>
        <v>24</v>
      </c>
      <c r="Q7" s="121" t="e">
        <f>MATCH(B7,'42-02-07, 42-02-15 תיאטרון'!$A$98:$A$100,0)</f>
        <v>#N/A</v>
      </c>
    </row>
    <row r="8" spans="1:71" s="44" customFormat="1" ht="57.75" customHeight="1" x14ac:dyDescent="0.2">
      <c r="A8" s="51" t="s">
        <v>487</v>
      </c>
      <c r="B8" s="50">
        <v>580475721</v>
      </c>
      <c r="C8" s="130">
        <v>1000537687</v>
      </c>
      <c r="D8" s="48">
        <v>40470605</v>
      </c>
      <c r="E8" s="46">
        <v>0</v>
      </c>
      <c r="F8" s="46">
        <v>350000</v>
      </c>
      <c r="G8" s="119">
        <v>300000</v>
      </c>
      <c r="H8" s="46">
        <v>300000</v>
      </c>
      <c r="I8" s="46">
        <f>330000</f>
        <v>330000</v>
      </c>
      <c r="J8" s="46">
        <v>300000</v>
      </c>
      <c r="K8" s="46">
        <v>300000</v>
      </c>
      <c r="L8" s="46">
        <f t="shared" si="0"/>
        <v>0</v>
      </c>
      <c r="M8" s="248"/>
      <c r="O8" s="121" t="e">
        <f>MATCH(B8,'42-02-07, 42-02-15 תיאטרון'!$A$5:$A$31,0)</f>
        <v>#N/A</v>
      </c>
      <c r="P8" s="121">
        <f>MATCH(B8,'42-02-07, 42-02-15 תיאטרון'!$A$34:$A$96,0)</f>
        <v>63</v>
      </c>
      <c r="Q8" s="121" t="e">
        <f>MATCH(B8,'42-02-07, 42-02-15 תיאטרון'!$A$98:$A$100,0)</f>
        <v>#N/A</v>
      </c>
    </row>
    <row r="9" spans="1:71" s="44" customFormat="1" ht="73.5" customHeight="1" x14ac:dyDescent="0.2">
      <c r="A9" s="249" t="s">
        <v>488</v>
      </c>
      <c r="B9" s="249">
        <v>580474021</v>
      </c>
      <c r="C9" s="246">
        <v>1000536559</v>
      </c>
      <c r="D9" s="249">
        <v>40466334</v>
      </c>
      <c r="E9" s="249">
        <v>0</v>
      </c>
      <c r="F9" s="250">
        <v>0</v>
      </c>
      <c r="G9" s="250">
        <v>0</v>
      </c>
      <c r="H9" s="249">
        <v>73773</v>
      </c>
      <c r="I9" s="150">
        <v>250000</v>
      </c>
      <c r="J9" s="46">
        <v>347499</v>
      </c>
      <c r="K9" s="46">
        <v>347499</v>
      </c>
      <c r="L9" s="46">
        <f>J9-K9</f>
        <v>0</v>
      </c>
      <c r="M9" s="79"/>
      <c r="O9" s="121" t="e">
        <f>MATCH(B9,'42-02-07, 42-02-15 תיאטרון'!$A$5:$A$31,0)</f>
        <v>#N/A</v>
      </c>
      <c r="P9" s="121">
        <f>MATCH(B9,'42-02-07, 42-02-15 תיאטרון'!$A$34:$A$96,0)</f>
        <v>30</v>
      </c>
      <c r="Q9" s="121" t="e">
        <f>MATCH(B9,'42-02-07, 42-02-15 תיאטרון'!$A$98:$A$100,0)</f>
        <v>#N/A</v>
      </c>
    </row>
    <row r="10" spans="1:71" s="44" customFormat="1" ht="72.75" customHeight="1" x14ac:dyDescent="0.2">
      <c r="A10" s="51" t="s">
        <v>489</v>
      </c>
      <c r="B10" s="105">
        <v>580300614</v>
      </c>
      <c r="C10" s="251">
        <v>1000543398</v>
      </c>
      <c r="D10" s="48">
        <v>40133812</v>
      </c>
      <c r="E10" s="46">
        <v>540298</v>
      </c>
      <c r="F10" s="46">
        <v>551356</v>
      </c>
      <c r="G10" s="46">
        <v>536659</v>
      </c>
      <c r="H10" s="46">
        <v>505470</v>
      </c>
      <c r="I10" s="46">
        <v>548019</v>
      </c>
      <c r="J10" s="46">
        <v>629923</v>
      </c>
      <c r="K10" s="46">
        <v>629923</v>
      </c>
      <c r="L10" s="46">
        <f>J10-K10</f>
        <v>0</v>
      </c>
      <c r="M10" s="252"/>
      <c r="O10" s="121" t="e">
        <f>MATCH(B10,'42-02-07, 42-02-15 תיאטרון'!$A$5:$A$31,0)</f>
        <v>#N/A</v>
      </c>
      <c r="P10" s="121">
        <f>MATCH(B10,'42-02-07, 42-02-15 תיאטרון'!$A$34:$A$96,0)</f>
        <v>12</v>
      </c>
      <c r="Q10" s="121" t="e">
        <f>MATCH(B10,'42-02-07, 42-02-15 תיאטרון'!$A$98:$A$100,0)</f>
        <v>#N/A</v>
      </c>
    </row>
    <row r="11" spans="1:71" s="44" customFormat="1" ht="46.5" customHeight="1" x14ac:dyDescent="0.2">
      <c r="A11" s="72" t="s">
        <v>490</v>
      </c>
      <c r="B11" s="53">
        <v>580345403</v>
      </c>
      <c r="C11" s="130">
        <v>1000552062</v>
      </c>
      <c r="D11" s="48">
        <v>40000697</v>
      </c>
      <c r="E11" s="46">
        <v>151227</v>
      </c>
      <c r="F11" s="119">
        <v>248640</v>
      </c>
      <c r="G11" s="46">
        <v>359009</v>
      </c>
      <c r="H11" s="46">
        <v>408870</v>
      </c>
      <c r="I11" s="46">
        <v>501967</v>
      </c>
      <c r="J11" s="46">
        <v>585514</v>
      </c>
      <c r="K11" s="46">
        <v>585514</v>
      </c>
      <c r="L11" s="46">
        <f t="shared" si="0"/>
        <v>0</v>
      </c>
      <c r="M11" s="79"/>
      <c r="O11" s="121" t="e">
        <f>MATCH(B11,'42-02-07, 42-02-15 תיאטרון'!$A$5:$A$31,0)</f>
        <v>#N/A</v>
      </c>
      <c r="P11" s="121">
        <f>MATCH(B11,'42-02-07, 42-02-15 תיאטרון'!$A$34:$A$96,0)</f>
        <v>16</v>
      </c>
      <c r="Q11" s="121" t="e">
        <f>MATCH(B11,'42-02-07, 42-02-15 תיאטרון'!$A$98:$A$100,0)</f>
        <v>#N/A</v>
      </c>
    </row>
    <row r="12" spans="1:71" s="44" customFormat="1" ht="50.25" customHeight="1" x14ac:dyDescent="0.2">
      <c r="A12" s="51" t="s">
        <v>491</v>
      </c>
      <c r="B12" s="105">
        <v>580103026</v>
      </c>
      <c r="C12" s="130">
        <v>1000542914</v>
      </c>
      <c r="D12" s="48">
        <v>40000134</v>
      </c>
      <c r="E12" s="46">
        <v>705350</v>
      </c>
      <c r="F12" s="46">
        <v>800000</v>
      </c>
      <c r="G12" s="46">
        <v>780223</v>
      </c>
      <c r="H12" s="46">
        <v>775520</v>
      </c>
      <c r="I12" s="46">
        <v>720683</v>
      </c>
      <c r="J12" s="46">
        <v>737706</v>
      </c>
      <c r="K12" s="46">
        <v>737706</v>
      </c>
      <c r="L12" s="46">
        <f t="shared" si="0"/>
        <v>0</v>
      </c>
      <c r="M12" s="75"/>
      <c r="O12" s="121" t="e">
        <f>MATCH(B12,'42-02-07, 42-02-15 תיאטרון'!$A$5:$A$31,0)</f>
        <v>#N/A</v>
      </c>
      <c r="P12" s="121">
        <f>MATCH(B12,'42-02-07, 42-02-15 תיאטרון'!$A$34:$A$96,0)</f>
        <v>2</v>
      </c>
      <c r="Q12" s="121" t="e">
        <f>MATCH(B12,'42-02-07, 42-02-15 תיאטרון'!$A$98:$A$100,0)</f>
        <v>#N/A</v>
      </c>
    </row>
    <row r="13" spans="1:71" s="44" customFormat="1" ht="38.25" customHeight="1" x14ac:dyDescent="0.2">
      <c r="A13" s="51" t="s">
        <v>492</v>
      </c>
      <c r="B13" s="105">
        <v>580158210</v>
      </c>
      <c r="C13" s="130">
        <v>1000542847</v>
      </c>
      <c r="D13" s="48">
        <v>40000515</v>
      </c>
      <c r="E13" s="46">
        <v>735812</v>
      </c>
      <c r="F13" s="46">
        <v>694504</v>
      </c>
      <c r="G13" s="46">
        <v>672459</v>
      </c>
      <c r="H13" s="46">
        <v>565234</v>
      </c>
      <c r="I13" s="46">
        <v>757110</v>
      </c>
      <c r="J13" s="46">
        <v>716182</v>
      </c>
      <c r="K13" s="46">
        <v>716182</v>
      </c>
      <c r="L13" s="46">
        <f t="shared" si="0"/>
        <v>0</v>
      </c>
      <c r="M13" s="79"/>
      <c r="O13" s="121" t="e">
        <f>MATCH(B13,'42-02-07, 42-02-15 תיאטרון'!$A$5:$A$31,0)</f>
        <v>#N/A</v>
      </c>
      <c r="P13" s="121">
        <f>MATCH(B13,'42-02-07, 42-02-15 תיאטרון'!$A$34:$A$96,0)</f>
        <v>7</v>
      </c>
      <c r="Q13" s="121" t="e">
        <f>MATCH(B13,'42-02-07, 42-02-15 תיאטרון'!$A$98:$A$100,0)</f>
        <v>#N/A</v>
      </c>
    </row>
    <row r="14" spans="1:71" s="44" customFormat="1" ht="51.75" customHeight="1" x14ac:dyDescent="0.2">
      <c r="A14" s="249" t="s">
        <v>493</v>
      </c>
      <c r="B14" s="249">
        <v>580213288</v>
      </c>
      <c r="C14" s="246">
        <v>1000545782</v>
      </c>
      <c r="D14" s="249">
        <v>40000561</v>
      </c>
      <c r="E14" s="249">
        <v>174492</v>
      </c>
      <c r="F14" s="249">
        <v>143503</v>
      </c>
      <c r="G14" s="249">
        <v>224980</v>
      </c>
      <c r="H14" s="249">
        <v>399418</v>
      </c>
      <c r="I14" s="150">
        <v>490000</v>
      </c>
      <c r="J14" s="46">
        <v>396000</v>
      </c>
      <c r="K14" s="46">
        <v>396000</v>
      </c>
      <c r="L14" s="46">
        <f t="shared" si="0"/>
        <v>0</v>
      </c>
      <c r="M14" s="92"/>
      <c r="O14" s="121" t="e">
        <f>MATCH(B14,'42-02-07, 42-02-15 תיאטרון'!$A$5:$A$31,0)</f>
        <v>#N/A</v>
      </c>
      <c r="P14" s="121">
        <f>MATCH(B14,'42-02-07, 42-02-15 תיאטרון'!$A$34:$A$96,0)</f>
        <v>20</v>
      </c>
      <c r="Q14" s="121" t="e">
        <f>MATCH(B14,'42-02-07, 42-02-15 תיאטרון'!$A$98:$A$100,0)</f>
        <v>#N/A</v>
      </c>
    </row>
    <row r="15" spans="1:71" s="44" customFormat="1" ht="51.75" customHeight="1" x14ac:dyDescent="0.2">
      <c r="A15" s="249" t="s">
        <v>494</v>
      </c>
      <c r="B15" s="249">
        <v>580317766</v>
      </c>
      <c r="C15" s="246">
        <v>1000545218</v>
      </c>
      <c r="D15" s="249">
        <v>40000678</v>
      </c>
      <c r="E15" s="249">
        <v>835965</v>
      </c>
      <c r="F15" s="250">
        <v>1088036</v>
      </c>
      <c r="G15" s="250">
        <v>868884</v>
      </c>
      <c r="H15" s="249">
        <v>866238</v>
      </c>
      <c r="I15" s="150">
        <v>915117</v>
      </c>
      <c r="J15" s="46">
        <v>907287</v>
      </c>
      <c r="K15" s="46">
        <v>907287</v>
      </c>
      <c r="L15" s="46">
        <f t="shared" si="0"/>
        <v>0</v>
      </c>
      <c r="M15" s="92"/>
      <c r="O15" s="121" t="e">
        <f>MATCH(B15,'42-02-07, 42-02-15 תיאטרון'!$A$5:$A$31,0)</f>
        <v>#N/A</v>
      </c>
      <c r="P15" s="121">
        <f>MATCH(B15,'42-02-07, 42-02-15 תיאטרון'!$A$34:$A$96,0)</f>
        <v>3</v>
      </c>
      <c r="Q15" s="121" t="e">
        <f>MATCH(B15,'42-02-07, 42-02-15 תיאטרון'!$A$98:$A$100,0)</f>
        <v>#N/A</v>
      </c>
    </row>
    <row r="16" spans="1:71" s="62" customFormat="1" ht="43.5" customHeight="1" x14ac:dyDescent="0.2">
      <c r="A16" s="55" t="s">
        <v>495</v>
      </c>
      <c r="B16" s="50">
        <v>580270858</v>
      </c>
      <c r="C16" s="130">
        <v>1000541057</v>
      </c>
      <c r="D16" s="48">
        <v>40016790</v>
      </c>
      <c r="E16" s="46">
        <v>104695</v>
      </c>
      <c r="F16" s="119">
        <v>90885</v>
      </c>
      <c r="G16" s="46">
        <v>80339</v>
      </c>
      <c r="H16" s="46">
        <v>124096</v>
      </c>
      <c r="I16" s="46">
        <v>350000</v>
      </c>
      <c r="J16" s="46">
        <v>550000</v>
      </c>
      <c r="K16" s="46">
        <v>550000</v>
      </c>
      <c r="L16" s="46">
        <f t="shared" si="0"/>
        <v>0</v>
      </c>
      <c r="M16" s="247"/>
      <c r="N16" s="121"/>
      <c r="O16" s="121" t="e">
        <f>MATCH(B16,'42-02-07, 42-02-15 תיאטרון'!$A$5:$A$31,0)</f>
        <v>#N/A</v>
      </c>
      <c r="P16" s="121">
        <f>MATCH(B16,'42-02-07, 42-02-15 תיאטרון'!$A$34:$A$96,0)</f>
        <v>25</v>
      </c>
      <c r="Q16" s="121" t="e">
        <f>MATCH(B16,'42-02-07, 42-02-15 תיאטרון'!$A$98:$A$100,0)</f>
        <v>#N/A</v>
      </c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</row>
    <row r="17" spans="1:71" s="62" customFormat="1" ht="48" customHeight="1" x14ac:dyDescent="0.2">
      <c r="A17" s="51" t="s">
        <v>496</v>
      </c>
      <c r="B17" s="105">
        <v>580189769</v>
      </c>
      <c r="C17" s="130">
        <v>1000540619</v>
      </c>
      <c r="D17" s="48">
        <v>40000170</v>
      </c>
      <c r="E17" s="46">
        <v>522014</v>
      </c>
      <c r="F17" s="46">
        <v>370832</v>
      </c>
      <c r="G17" s="46">
        <v>411474</v>
      </c>
      <c r="H17" s="46">
        <v>561909</v>
      </c>
      <c r="I17" s="46">
        <v>521786</v>
      </c>
      <c r="J17" s="46">
        <v>563117</v>
      </c>
      <c r="K17" s="46">
        <v>563117</v>
      </c>
      <c r="L17" s="46">
        <f t="shared" si="0"/>
        <v>0</v>
      </c>
      <c r="M17" s="92"/>
      <c r="N17" s="121"/>
      <c r="O17" s="121" t="e">
        <f>MATCH(B17,'42-02-07, 42-02-15 תיאטרון'!$A$5:$A$31,0)</f>
        <v>#N/A</v>
      </c>
      <c r="P17" s="121">
        <f>MATCH(B17,'42-02-07, 42-02-15 תיאטרון'!$A$34:$A$96,0)</f>
        <v>5</v>
      </c>
      <c r="Q17" s="121" t="e">
        <f>MATCH(B17,'42-02-07, 42-02-15 תיאטרון'!$A$98:$A$100,0)</f>
        <v>#N/A</v>
      </c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</row>
    <row r="18" spans="1:71" s="62" customFormat="1" ht="47.25" customHeight="1" x14ac:dyDescent="0.2">
      <c r="A18" s="249" t="s">
        <v>497</v>
      </c>
      <c r="B18" s="249">
        <v>580080224</v>
      </c>
      <c r="C18" s="246">
        <v>1000543038</v>
      </c>
      <c r="D18" s="249">
        <v>40000442</v>
      </c>
      <c r="E18" s="249">
        <v>605876</v>
      </c>
      <c r="F18" s="250">
        <v>710876</v>
      </c>
      <c r="G18" s="250">
        <v>592803</v>
      </c>
      <c r="H18" s="249">
        <v>534037</v>
      </c>
      <c r="I18" s="150">
        <v>538446</v>
      </c>
      <c r="J18" s="46">
        <v>531172</v>
      </c>
      <c r="K18" s="46">
        <v>531172</v>
      </c>
      <c r="L18" s="46">
        <f t="shared" si="0"/>
        <v>0</v>
      </c>
      <c r="M18" s="253"/>
      <c r="O18" s="121" t="e">
        <f>MATCH(B18,'42-02-07, 42-02-15 תיאטרון'!$A$5:$A$31,0)</f>
        <v>#N/A</v>
      </c>
      <c r="P18" s="121">
        <f>MATCH(B18,'42-02-07, 42-02-15 תיאטרון'!$A$34:$A$96,0)</f>
        <v>1</v>
      </c>
      <c r="Q18" s="121" t="e">
        <f>MATCH(B18,'42-02-07, 42-02-15 תיאטרון'!$A$98:$A$100,0)</f>
        <v>#N/A</v>
      </c>
    </row>
    <row r="19" spans="1:71" s="62" customFormat="1" ht="39" customHeight="1" x14ac:dyDescent="0.2">
      <c r="A19" s="55" t="s">
        <v>498</v>
      </c>
      <c r="B19" s="50">
        <v>580371045</v>
      </c>
      <c r="C19" s="130">
        <v>1000540909</v>
      </c>
      <c r="D19" s="48">
        <v>40216083</v>
      </c>
      <c r="E19" s="46">
        <v>220093</v>
      </c>
      <c r="F19" s="119">
        <v>327583</v>
      </c>
      <c r="G19" s="46">
        <v>335991</v>
      </c>
      <c r="H19" s="46">
        <v>418627</v>
      </c>
      <c r="I19" s="46">
        <v>459555</v>
      </c>
      <c r="J19" s="46">
        <v>394012</v>
      </c>
      <c r="K19" s="46">
        <v>394012</v>
      </c>
      <c r="L19" s="46">
        <f t="shared" si="0"/>
        <v>0</v>
      </c>
      <c r="M19" s="92"/>
      <c r="N19" s="121"/>
      <c r="O19" s="121" t="e">
        <f>MATCH(B19,'42-02-07, 42-02-15 תיאטרון'!$A$5:$A$31,0)</f>
        <v>#N/A</v>
      </c>
      <c r="P19" s="121">
        <f>MATCH(B19,'42-02-07, 42-02-15 תיאטרון'!$A$34:$A$96,0)</f>
        <v>10</v>
      </c>
      <c r="Q19" s="121" t="e">
        <f>MATCH(B19,'42-02-07, 42-02-15 תיאטרון'!$A$98:$A$100,0)</f>
        <v>#N/A</v>
      </c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</row>
    <row r="20" spans="1:71" s="44" customFormat="1" ht="49.5" customHeight="1" x14ac:dyDescent="0.2">
      <c r="A20" s="249" t="s">
        <v>499</v>
      </c>
      <c r="B20" s="249">
        <v>580111185</v>
      </c>
      <c r="C20" s="246">
        <v>1000544871</v>
      </c>
      <c r="D20" s="249">
        <v>40000140</v>
      </c>
      <c r="E20" s="249">
        <v>569759</v>
      </c>
      <c r="F20" s="249">
        <v>532305</v>
      </c>
      <c r="G20" s="249">
        <v>470612</v>
      </c>
      <c r="H20" s="249">
        <v>535764</v>
      </c>
      <c r="I20" s="150">
        <v>597751</v>
      </c>
      <c r="J20" s="46">
        <v>603546</v>
      </c>
      <c r="K20" s="46">
        <v>603546</v>
      </c>
      <c r="L20" s="46">
        <f t="shared" si="0"/>
        <v>0</v>
      </c>
      <c r="M20" s="254"/>
      <c r="O20" s="121" t="e">
        <f>MATCH(B20,'42-02-07, 42-02-15 תיאטרון'!$A$5:$A$31,0)</f>
        <v>#N/A</v>
      </c>
      <c r="P20" s="121" t="e">
        <f>MATCH(B20,'42-02-07, 42-02-15 תיאטרון'!$A$34:$A$96,0)</f>
        <v>#N/A</v>
      </c>
      <c r="Q20" s="121" t="e">
        <f>MATCH(B20,'42-02-07, 42-02-15 תיאטרון'!$A$98:$A$100,0)</f>
        <v>#N/A</v>
      </c>
    </row>
    <row r="21" spans="1:71" s="62" customFormat="1" ht="37.5" customHeight="1" x14ac:dyDescent="0.2">
      <c r="A21" s="51" t="s">
        <v>500</v>
      </c>
      <c r="B21" s="50">
        <v>580396307</v>
      </c>
      <c r="C21" s="130">
        <v>1000543553</v>
      </c>
      <c r="D21" s="48">
        <v>40216100</v>
      </c>
      <c r="E21" s="46">
        <v>162000</v>
      </c>
      <c r="F21" s="119">
        <v>143503</v>
      </c>
      <c r="G21" s="46">
        <v>176054</v>
      </c>
      <c r="H21" s="46">
        <v>378925</v>
      </c>
      <c r="I21" s="46">
        <v>373492</v>
      </c>
      <c r="J21" s="46">
        <v>339560</v>
      </c>
      <c r="K21" s="46">
        <v>339560</v>
      </c>
      <c r="L21" s="46">
        <f t="shared" si="0"/>
        <v>0</v>
      </c>
      <c r="M21" s="92"/>
      <c r="N21" s="121"/>
      <c r="O21" s="121" t="e">
        <f>MATCH(B21,'42-02-07, 42-02-15 תיאטרון'!$A$5:$A$31,0)</f>
        <v>#N/A</v>
      </c>
      <c r="P21" s="121">
        <f>MATCH(B21,'42-02-07, 42-02-15 תיאטרון'!$A$34:$A$96,0)</f>
        <v>17</v>
      </c>
      <c r="Q21" s="121" t="e">
        <f>MATCH(B21,'42-02-07, 42-02-15 תיאטרון'!$A$98:$A$100,0)</f>
        <v>#N/A</v>
      </c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</row>
    <row r="22" spans="1:71" s="62" customFormat="1" ht="47.25" customHeight="1" x14ac:dyDescent="0.2">
      <c r="A22" s="55" t="s">
        <v>501</v>
      </c>
      <c r="B22" s="50">
        <v>500250006</v>
      </c>
      <c r="C22" s="246">
        <v>1000545847</v>
      </c>
      <c r="D22" s="48">
        <v>20000201</v>
      </c>
      <c r="E22" s="46">
        <v>500915</v>
      </c>
      <c r="F22" s="46">
        <v>555731</v>
      </c>
      <c r="G22" s="119">
        <v>630008</v>
      </c>
      <c r="H22" s="46">
        <v>636203</v>
      </c>
      <c r="I22" s="46">
        <v>663532</v>
      </c>
      <c r="J22" s="46">
        <v>697893</v>
      </c>
      <c r="K22" s="46">
        <v>697893</v>
      </c>
      <c r="L22" s="46">
        <f>J22-K22</f>
        <v>0</v>
      </c>
      <c r="M22" s="255"/>
      <c r="O22" s="121" t="e">
        <f>MATCH(B22,'42-02-07, 42-02-15 תיאטרון'!$A$5:$A$31,0)</f>
        <v>#N/A</v>
      </c>
      <c r="P22" s="121" t="e">
        <f>MATCH(B22,'42-02-07, 42-02-15 תיאטרון'!$A$34:$A$96,0)</f>
        <v>#N/A</v>
      </c>
      <c r="Q22" s="121">
        <f>MATCH(B22,'42-02-07, 42-02-15 תיאטרון'!$A$98:$A$100,0)</f>
        <v>1</v>
      </c>
    </row>
    <row r="23" spans="1:71" s="62" customFormat="1" ht="40.5" customHeight="1" x14ac:dyDescent="0.2">
      <c r="A23" s="249" t="s">
        <v>502</v>
      </c>
      <c r="B23" s="249">
        <v>580373769</v>
      </c>
      <c r="C23" s="246">
        <v>1000534923</v>
      </c>
      <c r="D23" s="249">
        <v>40216084</v>
      </c>
      <c r="E23" s="249">
        <v>380531</v>
      </c>
      <c r="F23" s="250">
        <v>536107</v>
      </c>
      <c r="G23" s="249">
        <v>584382</v>
      </c>
      <c r="H23" s="249">
        <v>703261</v>
      </c>
      <c r="I23" s="150">
        <v>788493</v>
      </c>
      <c r="J23" s="46">
        <v>788652</v>
      </c>
      <c r="K23" s="46">
        <v>788652</v>
      </c>
      <c r="L23" s="46">
        <f>J23-K23</f>
        <v>0</v>
      </c>
      <c r="M23" s="75"/>
      <c r="O23" s="121" t="e">
        <f>MATCH(B23,'42-02-07, 42-02-15 תיאטרון'!$A$5:$A$31,0)</f>
        <v>#N/A</v>
      </c>
      <c r="P23" s="121">
        <f>MATCH(B23,'42-02-07, 42-02-15 תיאטרון'!$A$34:$A$96,0)</f>
        <v>15</v>
      </c>
      <c r="Q23" s="121" t="e">
        <f>MATCH(B23,'42-02-07, 42-02-15 תיאטרון'!$A$98:$A$100,0)</f>
        <v>#N/A</v>
      </c>
    </row>
    <row r="24" spans="1:71" s="62" customFormat="1" ht="52.5" customHeight="1" x14ac:dyDescent="0.2">
      <c r="A24" s="51" t="s">
        <v>503</v>
      </c>
      <c r="B24" s="105">
        <v>580415446</v>
      </c>
      <c r="C24" s="130">
        <v>1000533203</v>
      </c>
      <c r="D24" s="48">
        <v>40214697</v>
      </c>
      <c r="E24" s="46">
        <v>740487</v>
      </c>
      <c r="F24" s="119">
        <v>779554</v>
      </c>
      <c r="G24" s="46">
        <v>730817</v>
      </c>
      <c r="H24" s="46">
        <v>647496</v>
      </c>
      <c r="I24" s="46">
        <v>696648</v>
      </c>
      <c r="J24" s="46">
        <v>713118</v>
      </c>
      <c r="K24" s="46">
        <v>713118</v>
      </c>
      <c r="L24" s="46">
        <f>J24-K24</f>
        <v>0</v>
      </c>
      <c r="M24" s="248"/>
      <c r="O24" s="121" t="e">
        <f>MATCH(B24,'42-02-07, 42-02-15 תיאטרון'!$A$5:$A$31,0)</f>
        <v>#N/A</v>
      </c>
      <c r="P24" s="121">
        <f>MATCH(B24,'42-02-07, 42-02-15 תיאטרון'!$A$34:$A$96,0)</f>
        <v>6</v>
      </c>
      <c r="Q24" s="121" t="e">
        <f>MATCH(B24,'42-02-07, 42-02-15 תיאטרון'!$A$98:$A$100,0)</f>
        <v>#N/A</v>
      </c>
    </row>
    <row r="25" spans="1:71" s="62" customFormat="1" ht="61.5" customHeight="1" x14ac:dyDescent="0.2">
      <c r="A25" s="55" t="s">
        <v>504</v>
      </c>
      <c r="B25" s="50">
        <v>580370773</v>
      </c>
      <c r="C25" s="130">
        <v>1000547005</v>
      </c>
      <c r="D25" s="48">
        <v>40002886</v>
      </c>
      <c r="E25" s="46">
        <v>400000</v>
      </c>
      <c r="F25" s="119">
        <v>583673</v>
      </c>
      <c r="G25" s="119">
        <v>625804</v>
      </c>
      <c r="H25" s="46">
        <v>587555</v>
      </c>
      <c r="I25" s="46">
        <v>619583</v>
      </c>
      <c r="J25" s="46">
        <v>711160</v>
      </c>
      <c r="K25" s="46">
        <v>711160</v>
      </c>
      <c r="L25" s="46">
        <f t="shared" ref="L25:L26" si="1">J25-K25</f>
        <v>0</v>
      </c>
      <c r="M25" s="75"/>
      <c r="N25" s="121"/>
      <c r="O25" s="121" t="e">
        <f>MATCH(B25,'42-02-07, 42-02-15 תיאטרון'!$A$5:$A$31,0)</f>
        <v>#N/A</v>
      </c>
      <c r="P25" s="121">
        <f>MATCH(B25,'42-02-07, 42-02-15 תיאטרון'!$A$34:$A$96,0)</f>
        <v>11</v>
      </c>
      <c r="Q25" s="121" t="e">
        <f>MATCH(B25,'42-02-07, 42-02-15 תיאטרון'!$A$98:$A$100,0)</f>
        <v>#N/A</v>
      </c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</row>
    <row r="26" spans="1:71" s="44" customFormat="1" ht="53.25" customHeight="1" x14ac:dyDescent="0.2">
      <c r="A26" s="51" t="s">
        <v>505</v>
      </c>
      <c r="B26" s="105">
        <v>580103026</v>
      </c>
      <c r="C26" s="246">
        <v>1000542962</v>
      </c>
      <c r="D26" s="48">
        <v>40000134</v>
      </c>
      <c r="E26" s="46">
        <v>898456</v>
      </c>
      <c r="F26" s="46">
        <v>916797</v>
      </c>
      <c r="G26" s="46">
        <v>971338</v>
      </c>
      <c r="H26" s="46">
        <v>868824</v>
      </c>
      <c r="I26" s="46">
        <v>877429</v>
      </c>
      <c r="J26" s="46">
        <v>898256</v>
      </c>
      <c r="K26" s="46">
        <v>898256</v>
      </c>
      <c r="L26" s="46">
        <f t="shared" si="1"/>
        <v>0</v>
      </c>
      <c r="M26" s="255"/>
      <c r="N26" s="256"/>
      <c r="O26" s="121" t="e">
        <f>MATCH(B26,'42-02-07, 42-02-15 תיאטרון'!$A$5:$A$31,0)</f>
        <v>#N/A</v>
      </c>
      <c r="P26" s="121">
        <f>MATCH(B26,'42-02-07, 42-02-15 תיאטרון'!$A$34:$A$96,0)</f>
        <v>2</v>
      </c>
      <c r="Q26" s="121" t="e">
        <f>MATCH(B26,'42-02-07, 42-02-15 תיאטרון'!$A$98:$A$100,0)</f>
        <v>#N/A</v>
      </c>
    </row>
    <row r="27" spans="1:71" s="44" customFormat="1" ht="69" customHeight="1" x14ac:dyDescent="0.2">
      <c r="A27" s="257" t="s">
        <v>459</v>
      </c>
      <c r="B27" s="258">
        <v>580402352</v>
      </c>
      <c r="C27" s="130">
        <v>1000551228</v>
      </c>
      <c r="D27" s="259">
        <v>40269761</v>
      </c>
      <c r="E27" s="260">
        <v>110000</v>
      </c>
      <c r="F27" s="260">
        <v>140000</v>
      </c>
      <c r="G27" s="260">
        <v>110000</v>
      </c>
      <c r="H27" s="46">
        <v>400000</v>
      </c>
      <c r="I27" s="46">
        <v>400000</v>
      </c>
      <c r="J27" s="46">
        <v>320000</v>
      </c>
      <c r="K27" s="46">
        <v>320000</v>
      </c>
      <c r="L27" s="46">
        <f>J27-K27</f>
        <v>0</v>
      </c>
      <c r="M27" s="79"/>
      <c r="O27" s="121" t="e">
        <f>MATCH(B27,'42-02-07, 42-02-15 תיאטרון'!$A$5:$A$31,0)</f>
        <v>#N/A</v>
      </c>
      <c r="P27" s="121" t="e">
        <f>MATCH(B27,'42-02-07, 42-02-15 תיאטרון'!$A$34:$A$96,0)</f>
        <v>#N/A</v>
      </c>
      <c r="Q27" s="121" t="e">
        <f>MATCH(B27,'42-02-07, 42-02-15 תיאטרון'!$A$98:$A$100,0)</f>
        <v>#N/A</v>
      </c>
    </row>
    <row r="28" spans="1:71" s="44" customFormat="1" ht="42.75" customHeight="1" x14ac:dyDescent="0.2">
      <c r="A28" s="51" t="s">
        <v>506</v>
      </c>
      <c r="B28" s="105">
        <v>514307719</v>
      </c>
      <c r="C28" s="130">
        <v>1000549065</v>
      </c>
      <c r="D28" s="48">
        <v>40823520</v>
      </c>
      <c r="E28" s="46">
        <v>0</v>
      </c>
      <c r="F28" s="119">
        <v>0</v>
      </c>
      <c r="G28" s="46">
        <v>0</v>
      </c>
      <c r="H28" s="46">
        <v>0</v>
      </c>
      <c r="I28" s="46">
        <v>192713</v>
      </c>
      <c r="J28" s="46">
        <v>377621</v>
      </c>
      <c r="K28" s="46">
        <v>377621</v>
      </c>
      <c r="L28" s="46">
        <f t="shared" ref="L28:L29" si="2">J28-K28</f>
        <v>0</v>
      </c>
      <c r="M28" s="79"/>
      <c r="O28" s="121" t="e">
        <f>MATCH(B28,'42-02-07, 42-02-15 תיאטרון'!$A$5:$A$31,0)</f>
        <v>#N/A</v>
      </c>
      <c r="P28" s="121">
        <f>MATCH(B28,'42-02-07, 42-02-15 תיאטרון'!$A$34:$A$96,0)</f>
        <v>36</v>
      </c>
      <c r="Q28" s="121" t="e">
        <f>MATCH(B28,'42-02-07, 42-02-15 תיאטרון'!$A$98:$A$100,0)</f>
        <v>#N/A</v>
      </c>
    </row>
    <row r="29" spans="1:71" s="44" customFormat="1" ht="45.75" customHeight="1" x14ac:dyDescent="0.2">
      <c r="A29" s="249" t="s">
        <v>507</v>
      </c>
      <c r="B29" s="249">
        <v>580350783</v>
      </c>
      <c r="C29" s="246">
        <v>1000534999</v>
      </c>
      <c r="D29" s="249">
        <v>40001703</v>
      </c>
      <c r="E29" s="249">
        <v>482400</v>
      </c>
      <c r="F29" s="249">
        <v>512400</v>
      </c>
      <c r="G29" s="250">
        <v>497400</v>
      </c>
      <c r="H29" s="249">
        <v>500222</v>
      </c>
      <c r="I29" s="150">
        <v>602400</v>
      </c>
      <c r="J29" s="46">
        <v>650000</v>
      </c>
      <c r="K29" s="46">
        <v>650000</v>
      </c>
      <c r="L29" s="46">
        <f t="shared" si="2"/>
        <v>0</v>
      </c>
      <c r="M29" s="79"/>
      <c r="O29" s="121" t="e">
        <f>MATCH(B29,'42-02-07, 42-02-15 תיאטרון'!$A$5:$A$31,0)</f>
        <v>#N/A</v>
      </c>
      <c r="P29" s="121">
        <f>MATCH(B29,'42-02-07, 42-02-15 תיאטרון'!$A$34:$A$96,0)</f>
        <v>8</v>
      </c>
      <c r="Q29" s="121" t="e">
        <f>MATCH(B29,'42-02-07, 42-02-15 תיאטרון'!$A$98:$A$100,0)</f>
        <v>#N/A</v>
      </c>
    </row>
    <row r="30" spans="1:71" s="44" customFormat="1" ht="53.25" customHeight="1" x14ac:dyDescent="0.2">
      <c r="A30" s="55" t="s">
        <v>508</v>
      </c>
      <c r="B30" s="50">
        <v>513377457</v>
      </c>
      <c r="C30" s="251">
        <v>1000543438</v>
      </c>
      <c r="D30" s="48">
        <v>40474818</v>
      </c>
      <c r="E30" s="46">
        <v>499728</v>
      </c>
      <c r="F30" s="119">
        <v>515664</v>
      </c>
      <c r="G30" s="261">
        <v>474245</v>
      </c>
      <c r="H30" s="46">
        <v>494973</v>
      </c>
      <c r="I30" s="46">
        <v>459039</v>
      </c>
      <c r="J30" s="46">
        <v>403851</v>
      </c>
      <c r="K30" s="46">
        <v>403851</v>
      </c>
      <c r="L30" s="46">
        <f>J30-K30</f>
        <v>0</v>
      </c>
      <c r="M30" s="262"/>
      <c r="O30" s="121" t="e">
        <f>MATCH(B30,'42-02-07, 42-02-15 תיאטרון'!$A$5:$A$31,0)</f>
        <v>#N/A</v>
      </c>
      <c r="P30" s="121">
        <f>MATCH(B30,'42-02-07, 42-02-15 תיאטרון'!$A$34:$A$96,0)</f>
        <v>9</v>
      </c>
      <c r="Q30" s="121" t="e">
        <f>MATCH(B30,'42-02-07, 42-02-15 תיאטרון'!$A$98:$A$100,0)</f>
        <v>#N/A</v>
      </c>
    </row>
    <row r="31" spans="1:71" s="62" customFormat="1" ht="51.75" customHeight="1" x14ac:dyDescent="0.2">
      <c r="A31" s="249" t="s">
        <v>509</v>
      </c>
      <c r="B31" s="249">
        <v>580385797</v>
      </c>
      <c r="C31" s="246">
        <v>1000545267</v>
      </c>
      <c r="D31" s="249">
        <v>40221814</v>
      </c>
      <c r="E31" s="249">
        <v>370000</v>
      </c>
      <c r="F31" s="249">
        <v>324000</v>
      </c>
      <c r="G31" s="250">
        <v>525000</v>
      </c>
      <c r="H31" s="249">
        <v>280000</v>
      </c>
      <c r="I31" s="150">
        <v>248035</v>
      </c>
      <c r="J31" s="46">
        <v>288340</v>
      </c>
      <c r="K31" s="46">
        <v>288340</v>
      </c>
      <c r="L31" s="46">
        <f>J31-K31</f>
        <v>0</v>
      </c>
      <c r="M31" s="79"/>
      <c r="O31" s="121" t="e">
        <f>MATCH(B31,'42-02-07, 42-02-15 תיאטרון'!$A$5:$A$31,0)</f>
        <v>#N/A</v>
      </c>
      <c r="P31" s="121">
        <f>MATCH(B31,'42-02-07, 42-02-15 תיאטרון'!$A$34:$A$96,0)</f>
        <v>19</v>
      </c>
      <c r="Q31" s="121" t="e">
        <f>MATCH(B31,'42-02-07, 42-02-15 תיאטרון'!$A$98:$A$100,0)</f>
        <v>#N/A</v>
      </c>
    </row>
    <row r="32" spans="1:71" s="62" customFormat="1" ht="38.25" customHeight="1" x14ac:dyDescent="0.2">
      <c r="A32" s="51" t="s">
        <v>510</v>
      </c>
      <c r="B32" s="105">
        <v>580202091</v>
      </c>
      <c r="C32" s="130">
        <v>1000545345</v>
      </c>
      <c r="D32" s="48">
        <v>40000176</v>
      </c>
      <c r="E32" s="46">
        <v>843814</v>
      </c>
      <c r="F32" s="46">
        <v>796443</v>
      </c>
      <c r="G32" s="46">
        <v>829848</v>
      </c>
      <c r="H32" s="46">
        <v>713807</v>
      </c>
      <c r="I32" s="46">
        <v>678637</v>
      </c>
      <c r="J32" s="46">
        <v>629344</v>
      </c>
      <c r="K32" s="46">
        <v>629344</v>
      </c>
      <c r="L32" s="46">
        <f t="shared" si="0"/>
        <v>0</v>
      </c>
      <c r="M32" s="263"/>
      <c r="N32" s="121"/>
      <c r="O32" s="121" t="e">
        <f>MATCH(B32,'42-02-07, 42-02-15 תיאטרון'!$A$5:$A$31,0)</f>
        <v>#N/A</v>
      </c>
      <c r="P32" s="121">
        <f>MATCH(B32,'42-02-07, 42-02-15 תיאטרון'!$A$34:$A$96,0)</f>
        <v>4</v>
      </c>
      <c r="Q32" s="121" t="e">
        <f>MATCH(B32,'42-02-07, 42-02-15 תיאטרון'!$A$98:$A$100,0)</f>
        <v>#N/A</v>
      </c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</row>
    <row r="33" spans="1:70" s="44" customFormat="1" ht="30" customHeight="1" x14ac:dyDescent="0.2">
      <c r="A33" s="55" t="s">
        <v>511</v>
      </c>
      <c r="B33" s="50">
        <v>580103026</v>
      </c>
      <c r="C33" s="49">
        <v>1000542945</v>
      </c>
      <c r="D33" s="48">
        <v>40000134</v>
      </c>
      <c r="E33" s="46">
        <v>80000</v>
      </c>
      <c r="F33" s="101">
        <v>86323</v>
      </c>
      <c r="G33" s="119">
        <v>51125</v>
      </c>
      <c r="H33" s="46">
        <v>62694</v>
      </c>
      <c r="I33" s="46">
        <v>116041</v>
      </c>
      <c r="J33" s="46">
        <v>94365</v>
      </c>
      <c r="K33" s="46">
        <v>94365</v>
      </c>
      <c r="L33" s="46">
        <f t="shared" si="0"/>
        <v>0</v>
      </c>
      <c r="M33" s="75"/>
      <c r="O33" s="121" t="e">
        <f>MATCH(B33,'42-02-07, 42-02-15 תיאטרון'!$A$5:$A$31,0)</f>
        <v>#N/A</v>
      </c>
      <c r="P33" s="121">
        <f>MATCH(B33,'42-02-07, 42-02-15 תיאטרון'!$A$34:$A$96,0)</f>
        <v>2</v>
      </c>
      <c r="Q33" s="121" t="e">
        <f>MATCH(B33,'42-02-07, 42-02-15 תיאטרון'!$A$98:$A$100,0)</f>
        <v>#N/A</v>
      </c>
    </row>
    <row r="34" spans="1:70" s="62" customFormat="1" ht="39.950000000000003" customHeight="1" x14ac:dyDescent="0.2">
      <c r="A34" s="51" t="s">
        <v>512</v>
      </c>
      <c r="B34" s="105">
        <v>580321016</v>
      </c>
      <c r="C34" s="49">
        <v>1000542509</v>
      </c>
      <c r="D34" s="48">
        <v>40000234</v>
      </c>
      <c r="E34" s="46">
        <v>0</v>
      </c>
      <c r="F34" s="46">
        <v>0</v>
      </c>
      <c r="G34" s="46">
        <v>0</v>
      </c>
      <c r="H34" s="46">
        <v>0</v>
      </c>
      <c r="I34" s="46">
        <v>30000</v>
      </c>
      <c r="J34" s="46">
        <v>50000</v>
      </c>
      <c r="K34" s="46">
        <v>50000</v>
      </c>
      <c r="L34" s="46">
        <f t="shared" si="0"/>
        <v>0</v>
      </c>
      <c r="M34" s="264"/>
      <c r="O34" s="121" t="e">
        <f>MATCH(B34,'42-02-07, 42-02-15 תיאטרון'!$A$5:$A$31,0)</f>
        <v>#N/A</v>
      </c>
      <c r="P34" s="121">
        <f>MATCH(B34,'42-02-07, 42-02-15 תיאטרון'!$A$34:$A$96,0)</f>
        <v>33</v>
      </c>
      <c r="Q34" s="121" t="e">
        <f>MATCH(B34,'42-02-07, 42-02-15 תיאטרון'!$A$98:$A$100,0)</f>
        <v>#N/A</v>
      </c>
    </row>
    <row r="35" spans="1:70" s="44" customFormat="1" ht="42" customHeight="1" x14ac:dyDescent="0.2">
      <c r="A35" s="190" t="s">
        <v>513</v>
      </c>
      <c r="B35" s="237" t="s">
        <v>469</v>
      </c>
      <c r="C35" s="266">
        <v>1000535592</v>
      </c>
      <c r="D35" s="184">
        <v>40528079</v>
      </c>
      <c r="E35" s="46"/>
      <c r="F35" s="119"/>
      <c r="G35" s="119"/>
      <c r="H35" s="46">
        <v>0</v>
      </c>
      <c r="I35" s="46">
        <v>55000</v>
      </c>
      <c r="J35" s="46">
        <v>50000</v>
      </c>
      <c r="K35" s="46">
        <v>50000</v>
      </c>
      <c r="L35" s="46">
        <f t="shared" si="0"/>
        <v>0</v>
      </c>
      <c r="M35" s="267"/>
      <c r="O35" s="121" t="e">
        <f>MATCH(B35,'42-02-07, 42-02-15 תיאטרון'!$A$5:$A$31,0)</f>
        <v>#N/A</v>
      </c>
      <c r="P35" s="121">
        <f>MATCH(B35,'42-02-07, 42-02-15 תיאטרון'!$A$34:$A$96,0)</f>
        <v>34</v>
      </c>
      <c r="Q35" s="121" t="e">
        <f>MATCH(B35,'42-02-07, 42-02-15 תיאטרון'!$A$98:$A$100,0)</f>
        <v>#N/A</v>
      </c>
    </row>
    <row r="36" spans="1:70" s="44" customFormat="1" ht="49.5" customHeight="1" x14ac:dyDescent="0.2">
      <c r="A36" s="51" t="s">
        <v>514</v>
      </c>
      <c r="B36" s="105">
        <v>580202091</v>
      </c>
      <c r="C36" s="268">
        <v>1000547046</v>
      </c>
      <c r="D36" s="48">
        <v>40000176</v>
      </c>
      <c r="E36" s="46"/>
      <c r="F36" s="46"/>
      <c r="G36" s="119"/>
      <c r="H36" s="46"/>
      <c r="I36" s="46">
        <v>0</v>
      </c>
      <c r="J36" s="46">
        <v>41940</v>
      </c>
      <c r="K36" s="46">
        <v>41940</v>
      </c>
      <c r="L36" s="46">
        <f t="shared" si="0"/>
        <v>0</v>
      </c>
      <c r="M36" s="129"/>
      <c r="O36" s="121" t="e">
        <f>MATCH(B36,'42-02-07, 42-02-15 תיאטרון'!$A$5:$A$31,0)</f>
        <v>#N/A</v>
      </c>
      <c r="P36" s="121">
        <f>MATCH(B36,'42-02-07, 42-02-15 תיאטרון'!$A$34:$A$96,0)</f>
        <v>4</v>
      </c>
      <c r="Q36" s="121" t="e">
        <f>MATCH(B36,'42-02-07, 42-02-15 תיאטרון'!$A$98:$A$100,0)</f>
        <v>#N/A</v>
      </c>
    </row>
    <row r="37" spans="1:70" s="44" customFormat="1" ht="42" customHeight="1" x14ac:dyDescent="0.2">
      <c r="A37" s="190" t="s">
        <v>515</v>
      </c>
      <c r="B37" s="265">
        <v>580490811</v>
      </c>
      <c r="C37" s="266">
        <v>1000545544</v>
      </c>
      <c r="D37" s="184">
        <v>40819694</v>
      </c>
      <c r="E37" s="46"/>
      <c r="F37" s="119"/>
      <c r="G37" s="119"/>
      <c r="H37" s="46">
        <v>0</v>
      </c>
      <c r="I37" s="46">
        <v>40000</v>
      </c>
      <c r="J37" s="46">
        <v>30000</v>
      </c>
      <c r="K37" s="46">
        <v>30000</v>
      </c>
      <c r="L37" s="46">
        <f t="shared" si="0"/>
        <v>0</v>
      </c>
      <c r="M37" s="75"/>
      <c r="O37" s="121" t="e">
        <f>MATCH(B37,'42-02-07, 42-02-15 תיאטרון'!$A$5:$A$31,0)</f>
        <v>#N/A</v>
      </c>
      <c r="P37" s="121">
        <f>MATCH(B37,'42-02-07, 42-02-15 תיאטרון'!$A$34:$A$96,0)</f>
        <v>35</v>
      </c>
      <c r="Q37" s="121" t="e">
        <f>MATCH(B37,'42-02-07, 42-02-15 תיאטרון'!$A$98:$A$100,0)</f>
        <v>#N/A</v>
      </c>
    </row>
    <row r="38" spans="1:70" s="44" customFormat="1" ht="42" customHeight="1" x14ac:dyDescent="0.2">
      <c r="A38" s="190" t="s">
        <v>516</v>
      </c>
      <c r="B38" s="265">
        <v>580490811</v>
      </c>
      <c r="C38" s="266">
        <v>1000617064</v>
      </c>
      <c r="D38" s="184">
        <v>40819694</v>
      </c>
      <c r="E38" s="46"/>
      <c r="F38" s="119"/>
      <c r="G38" s="119"/>
      <c r="H38" s="46"/>
      <c r="I38" s="46">
        <v>0</v>
      </c>
      <c r="J38" s="46">
        <v>22750</v>
      </c>
      <c r="K38" s="46">
        <v>22750</v>
      </c>
      <c r="L38" s="46">
        <f t="shared" si="0"/>
        <v>0</v>
      </c>
      <c r="M38" s="75"/>
      <c r="O38" s="121" t="e">
        <f>MATCH(B38,'42-02-07, 42-02-15 תיאטרון'!$A$5:$A$31,0)</f>
        <v>#N/A</v>
      </c>
      <c r="P38" s="121">
        <f>MATCH(B38,'42-02-07, 42-02-15 תיאטרון'!$A$34:$A$96,0)</f>
        <v>35</v>
      </c>
      <c r="Q38" s="121" t="e">
        <f>MATCH(B38,'42-02-07, 42-02-15 תיאטרון'!$A$98:$A$100,0)</f>
        <v>#N/A</v>
      </c>
    </row>
    <row r="39" spans="1:70" s="44" customFormat="1" ht="45.75" customHeight="1" x14ac:dyDescent="0.2">
      <c r="A39" s="190" t="s">
        <v>517</v>
      </c>
      <c r="B39" s="265">
        <v>580421378</v>
      </c>
      <c r="C39" s="266">
        <v>1000546243</v>
      </c>
      <c r="D39" s="184">
        <v>40017589</v>
      </c>
      <c r="E39" s="194"/>
      <c r="F39" s="269"/>
      <c r="G39" s="270"/>
      <c r="H39" s="194"/>
      <c r="I39" s="46">
        <v>0</v>
      </c>
      <c r="J39" s="46">
        <v>73395</v>
      </c>
      <c r="K39" s="46">
        <v>73395</v>
      </c>
      <c r="L39" s="46">
        <f t="shared" si="0"/>
        <v>0</v>
      </c>
      <c r="M39" s="92"/>
      <c r="O39" s="121" t="e">
        <f>MATCH(B39,'42-02-07, 42-02-15 תיאטרון'!$A$5:$A$31,0)</f>
        <v>#N/A</v>
      </c>
      <c r="P39" s="121">
        <f>MATCH(B39,'42-02-07, 42-02-15 תיאטרון'!$A$34:$A$96,0)</f>
        <v>23</v>
      </c>
      <c r="Q39" s="121" t="e">
        <f>MATCH(B39,'42-02-07, 42-02-15 תיאטרון'!$A$98:$A$100,0)</f>
        <v>#N/A</v>
      </c>
    </row>
    <row r="40" spans="1:70" s="44" customFormat="1" ht="42.75" customHeight="1" x14ac:dyDescent="0.2">
      <c r="A40" s="51" t="s">
        <v>518</v>
      </c>
      <c r="B40" s="50">
        <v>580279537</v>
      </c>
      <c r="C40" s="49">
        <v>1000545512</v>
      </c>
      <c r="D40" s="48">
        <v>40240216</v>
      </c>
      <c r="E40" s="46"/>
      <c r="F40" s="101"/>
      <c r="G40" s="119"/>
      <c r="H40" s="46">
        <v>0</v>
      </c>
      <c r="I40" s="46">
        <v>69625</v>
      </c>
      <c r="J40" s="46">
        <v>50527</v>
      </c>
      <c r="K40" s="46">
        <v>50527</v>
      </c>
      <c r="L40" s="46">
        <f t="shared" si="0"/>
        <v>0</v>
      </c>
      <c r="M40" s="271"/>
      <c r="O40" s="121" t="e">
        <f>MATCH(B40,'42-02-07, 42-02-15 תיאטרון'!$A$5:$A$31,0)</f>
        <v>#N/A</v>
      </c>
      <c r="P40" s="121">
        <f>MATCH(B40,'42-02-07, 42-02-15 תיאטרון'!$A$34:$A$96,0)</f>
        <v>26</v>
      </c>
      <c r="Q40" s="121" t="e">
        <f>MATCH(B40,'42-02-07, 42-02-15 תיאטרון'!$A$98:$A$100,0)</f>
        <v>#N/A</v>
      </c>
    </row>
    <row r="41" spans="1:70" s="62" customFormat="1" ht="38.25" customHeight="1" x14ac:dyDescent="0.2">
      <c r="A41" s="55" t="s">
        <v>519</v>
      </c>
      <c r="B41" s="182">
        <v>580408896</v>
      </c>
      <c r="C41" s="49">
        <v>1000538914</v>
      </c>
      <c r="D41" s="48">
        <v>40221572</v>
      </c>
      <c r="E41" s="46">
        <v>0</v>
      </c>
      <c r="F41" s="46">
        <v>25000</v>
      </c>
      <c r="G41" s="119">
        <v>30000</v>
      </c>
      <c r="H41" s="46">
        <v>9770</v>
      </c>
      <c r="I41" s="46">
        <v>20100</v>
      </c>
      <c r="J41" s="46">
        <v>20000</v>
      </c>
      <c r="K41" s="46">
        <v>20000</v>
      </c>
      <c r="L41" s="46">
        <f t="shared" si="0"/>
        <v>0</v>
      </c>
      <c r="M41" s="79"/>
      <c r="O41" s="121" t="e">
        <f>MATCH(B41,'42-02-07, 42-02-15 תיאטרון'!$A$5:$A$31,0)</f>
        <v>#N/A</v>
      </c>
      <c r="P41" s="121">
        <f>MATCH(B41,'42-02-07, 42-02-15 תיאטרון'!$A$34:$A$96,0)</f>
        <v>21</v>
      </c>
      <c r="Q41" s="121" t="e">
        <f>MATCH(B41,'42-02-07, 42-02-15 תיאטרון'!$A$98:$A$100,0)</f>
        <v>#N/A</v>
      </c>
    </row>
    <row r="42" spans="1:70" s="62" customFormat="1" ht="38.25" customHeight="1" x14ac:dyDescent="0.2">
      <c r="A42" s="51" t="s">
        <v>520</v>
      </c>
      <c r="B42" s="105">
        <v>580374270</v>
      </c>
      <c r="C42" s="130">
        <v>1000546201</v>
      </c>
      <c r="D42" s="48">
        <v>40207301</v>
      </c>
      <c r="E42" s="46"/>
      <c r="F42" s="46"/>
      <c r="G42" s="46"/>
      <c r="H42" s="46"/>
      <c r="I42" s="46">
        <v>0</v>
      </c>
      <c r="J42" s="46">
        <v>104850</v>
      </c>
      <c r="K42" s="46">
        <v>104850</v>
      </c>
      <c r="L42" s="46">
        <f t="shared" si="0"/>
        <v>0</v>
      </c>
      <c r="M42" s="263"/>
      <c r="N42" s="121"/>
      <c r="O42" s="121" t="e">
        <f>MATCH(B42,'42-02-07, 42-02-15 תיאטרון'!$A$5:$A$31,0)</f>
        <v>#N/A</v>
      </c>
      <c r="P42" s="121" t="e">
        <f>MATCH(B42,'42-02-07, 42-02-15 תיאטרון'!$A$34:$A$96,0)</f>
        <v>#N/A</v>
      </c>
      <c r="Q42" s="121" t="e">
        <f>MATCH(B42,'42-02-07, 42-02-15 תיאטרון'!$A$98:$A$100,0)</f>
        <v>#N/A</v>
      </c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</row>
    <row r="43" spans="1:70" s="62" customFormat="1" ht="50.25" customHeight="1" x14ac:dyDescent="0.2">
      <c r="A43" s="51" t="s">
        <v>521</v>
      </c>
      <c r="B43" s="50">
        <v>580462760</v>
      </c>
      <c r="C43" s="268">
        <v>1000547030</v>
      </c>
      <c r="D43" s="48">
        <v>40465124</v>
      </c>
      <c r="E43" s="272">
        <v>110000</v>
      </c>
      <c r="F43" s="272">
        <v>120000</v>
      </c>
      <c r="G43" s="272">
        <v>100000</v>
      </c>
      <c r="H43" s="46">
        <v>110000</v>
      </c>
      <c r="I43" s="46">
        <v>110000</v>
      </c>
      <c r="J43" s="46">
        <v>100000</v>
      </c>
      <c r="K43" s="46">
        <v>100000</v>
      </c>
      <c r="L43" s="46">
        <f t="shared" si="0"/>
        <v>0</v>
      </c>
      <c r="M43" s="92"/>
      <c r="O43" s="121" t="e">
        <f>MATCH(B43,'42-02-07, 42-02-15 תיאטרון'!$A$5:$A$31,0)</f>
        <v>#N/A</v>
      </c>
      <c r="P43" s="121">
        <f>MATCH(B43,'42-02-07, 42-02-15 תיאטרון'!$A$34:$A$96,0)</f>
        <v>29</v>
      </c>
      <c r="Q43" s="121" t="e">
        <f>MATCH(B43,'42-02-07, 42-02-15 תיאטרון'!$A$98:$A$100,0)</f>
        <v>#N/A</v>
      </c>
    </row>
    <row r="44" spans="1:70" s="44" customFormat="1" ht="42.75" customHeight="1" x14ac:dyDescent="0.2">
      <c r="A44" s="51" t="s">
        <v>522</v>
      </c>
      <c r="B44" s="50">
        <v>580462760</v>
      </c>
      <c r="C44" s="49">
        <v>1000546989</v>
      </c>
      <c r="D44" s="48">
        <v>40465124</v>
      </c>
      <c r="E44" s="272">
        <v>0</v>
      </c>
      <c r="F44" s="273">
        <v>0</v>
      </c>
      <c r="G44" s="272">
        <v>29167</v>
      </c>
      <c r="H44" s="46">
        <v>50000</v>
      </c>
      <c r="I44" s="46">
        <v>60000</v>
      </c>
      <c r="J44" s="46">
        <v>50000</v>
      </c>
      <c r="K44" s="46">
        <v>50000</v>
      </c>
      <c r="L44" s="46">
        <f t="shared" si="0"/>
        <v>0</v>
      </c>
      <c r="M44" s="92"/>
      <c r="O44" s="121" t="e">
        <f>MATCH(B44,'42-02-07, 42-02-15 תיאטרון'!$A$5:$A$31,0)</f>
        <v>#N/A</v>
      </c>
      <c r="P44" s="121">
        <f>MATCH(B44,'42-02-07, 42-02-15 תיאטרון'!$A$34:$A$96,0)</f>
        <v>29</v>
      </c>
      <c r="Q44" s="121" t="e">
        <f>MATCH(B44,'42-02-07, 42-02-15 תיאטרון'!$A$98:$A$100,0)</f>
        <v>#N/A</v>
      </c>
    </row>
    <row r="45" spans="1:70" s="44" customFormat="1" ht="42" customHeight="1" x14ac:dyDescent="0.2">
      <c r="A45" s="190" t="s">
        <v>523</v>
      </c>
      <c r="B45" s="265">
        <v>580497741</v>
      </c>
      <c r="C45" s="266">
        <v>1000544858</v>
      </c>
      <c r="D45" s="184">
        <v>40472081</v>
      </c>
      <c r="E45" s="46">
        <v>0</v>
      </c>
      <c r="F45" s="119">
        <v>0</v>
      </c>
      <c r="G45" s="46">
        <v>0</v>
      </c>
      <c r="H45" s="46">
        <v>50000</v>
      </c>
      <c r="I45" s="46">
        <v>70000</v>
      </c>
      <c r="J45" s="46">
        <v>70000</v>
      </c>
      <c r="K45" s="46">
        <v>70000</v>
      </c>
      <c r="L45" s="46">
        <f t="shared" si="0"/>
        <v>0</v>
      </c>
      <c r="M45" s="75"/>
      <c r="O45" s="121" t="e">
        <f>MATCH(B45,'42-02-07, 42-02-15 תיאטרון'!$A$5:$A$31,0)</f>
        <v>#N/A</v>
      </c>
      <c r="P45" s="121">
        <f>MATCH(B45,'42-02-07, 42-02-15 תיאטרון'!$A$34:$A$96,0)</f>
        <v>32</v>
      </c>
      <c r="Q45" s="121" t="e">
        <f>MATCH(B45,'42-02-07, 42-02-15 תיאטרון'!$A$98:$A$100,0)</f>
        <v>#N/A</v>
      </c>
    </row>
    <row r="46" spans="1:70" s="44" customFormat="1" ht="45.75" customHeight="1" x14ac:dyDescent="0.2">
      <c r="A46" s="190" t="s">
        <v>524</v>
      </c>
      <c r="B46" s="265">
        <v>580080224</v>
      </c>
      <c r="C46" s="266">
        <v>1000545432</v>
      </c>
      <c r="D46" s="184">
        <v>40000442</v>
      </c>
      <c r="E46" s="194">
        <v>69797</v>
      </c>
      <c r="F46" s="269">
        <v>160000</v>
      </c>
      <c r="G46" s="194"/>
      <c r="H46" s="194"/>
      <c r="I46" s="194">
        <v>0</v>
      </c>
      <c r="J46" s="46">
        <v>104850</v>
      </c>
      <c r="K46" s="46">
        <v>104850</v>
      </c>
      <c r="L46" s="46">
        <f t="shared" si="0"/>
        <v>0</v>
      </c>
      <c r="M46" s="92"/>
      <c r="O46" s="121" t="e">
        <f>MATCH(B46,'42-02-07, 42-02-15 תיאטרון'!$A$5:$A$31,0)</f>
        <v>#N/A</v>
      </c>
      <c r="P46" s="121">
        <f>MATCH(B46,'42-02-07, 42-02-15 תיאטרון'!$A$34:$A$96,0)</f>
        <v>1</v>
      </c>
      <c r="Q46" s="121" t="e">
        <f>MATCH(B46,'42-02-07, 42-02-15 תיאטרון'!$A$98:$A$100,0)</f>
        <v>#N/A</v>
      </c>
    </row>
    <row r="47" spans="1:70" s="44" customFormat="1" ht="42" customHeight="1" x14ac:dyDescent="0.2">
      <c r="A47" s="190" t="s">
        <v>525</v>
      </c>
      <c r="B47" s="265">
        <v>580533941</v>
      </c>
      <c r="C47" s="266">
        <v>1000576573</v>
      </c>
      <c r="D47" s="184">
        <v>40992259</v>
      </c>
      <c r="E47" s="46"/>
      <c r="F47" s="119"/>
      <c r="G47" s="119"/>
      <c r="H47" s="46"/>
      <c r="I47" s="46">
        <v>0</v>
      </c>
      <c r="J47" s="46">
        <v>40000</v>
      </c>
      <c r="K47" s="46">
        <v>40000</v>
      </c>
      <c r="L47" s="46">
        <f t="shared" si="0"/>
        <v>0</v>
      </c>
      <c r="M47" s="267"/>
      <c r="O47" s="121" t="e">
        <f>MATCH(B47,'42-02-07, 42-02-15 תיאטרון'!$A$5:$A$31,0)</f>
        <v>#N/A</v>
      </c>
      <c r="P47" s="121">
        <f>MATCH(B47,'42-02-07, 42-02-15 תיאטרון'!$A$34:$A$96,0)</f>
        <v>37</v>
      </c>
      <c r="Q47" s="121" t="e">
        <f>MATCH(B47,'42-02-07, 42-02-15 תיאטרון'!$A$98:$A$100,0)</f>
        <v>#N/A</v>
      </c>
    </row>
    <row r="48" spans="1:70" s="44" customFormat="1" ht="34.5" customHeight="1" x14ac:dyDescent="0.2">
      <c r="A48" s="55" t="s">
        <v>526</v>
      </c>
      <c r="B48" s="50">
        <v>500250006</v>
      </c>
      <c r="C48" s="49">
        <v>1000545854</v>
      </c>
      <c r="D48" s="48">
        <v>20000201</v>
      </c>
      <c r="E48" s="46"/>
      <c r="F48" s="46"/>
      <c r="G48" s="119"/>
      <c r="H48" s="46"/>
      <c r="I48" s="46">
        <v>0</v>
      </c>
      <c r="J48" s="46">
        <v>67221</v>
      </c>
      <c r="K48" s="46">
        <v>67221</v>
      </c>
      <c r="L48" s="46">
        <f>J48-K48</f>
        <v>0</v>
      </c>
      <c r="M48" s="92"/>
      <c r="O48" s="121" t="e">
        <f>MATCH(B48,'42-02-07, 42-02-15 תיאטרון'!$A$5:$A$31,0)</f>
        <v>#N/A</v>
      </c>
      <c r="P48" s="121" t="e">
        <f>MATCH(B48,'42-02-07, 42-02-15 תיאטרון'!$A$34:$A$96,0)</f>
        <v>#N/A</v>
      </c>
      <c r="Q48" s="121">
        <f>MATCH(B48,'42-02-07, 42-02-15 תיאטרון'!$A$98:$A$100,0)</f>
        <v>1</v>
      </c>
    </row>
    <row r="49" spans="1:17" s="44" customFormat="1" ht="42" customHeight="1" x14ac:dyDescent="0.2">
      <c r="A49" s="190" t="s">
        <v>527</v>
      </c>
      <c r="B49" s="265">
        <v>580063568</v>
      </c>
      <c r="C49" s="266">
        <v>1000542370</v>
      </c>
      <c r="D49" s="184">
        <v>40818068</v>
      </c>
      <c r="E49" s="46"/>
      <c r="F49" s="119"/>
      <c r="G49" s="119"/>
      <c r="H49" s="46"/>
      <c r="I49" s="46">
        <v>0</v>
      </c>
      <c r="J49" s="46">
        <v>40400</v>
      </c>
      <c r="K49" s="46">
        <v>40400</v>
      </c>
      <c r="L49" s="46">
        <f>J49-K49</f>
        <v>0</v>
      </c>
      <c r="M49" s="267"/>
      <c r="O49" s="121" t="e">
        <f>MATCH(B49,'42-02-07, 42-02-15 תיאטרון'!$A$5:$A$31,0)</f>
        <v>#N/A</v>
      </c>
      <c r="P49" s="121">
        <f>MATCH(B49,'42-02-07, 42-02-15 תיאטרון'!$A$34:$A$96,0)</f>
        <v>38</v>
      </c>
      <c r="Q49" s="121" t="e">
        <f>MATCH(B49,'42-02-07, 42-02-15 תיאטרון'!$A$98:$A$100,0)</f>
        <v>#N/A</v>
      </c>
    </row>
    <row r="50" spans="1:17" s="44" customFormat="1" ht="48" customHeight="1" x14ac:dyDescent="0.2">
      <c r="A50" s="55" t="s">
        <v>528</v>
      </c>
      <c r="B50" s="50">
        <v>580283281</v>
      </c>
      <c r="C50" s="49">
        <v>1000533325</v>
      </c>
      <c r="D50" s="48">
        <v>40000650</v>
      </c>
      <c r="E50" s="46">
        <v>220000</v>
      </c>
      <c r="F50" s="46">
        <v>175000</v>
      </c>
      <c r="G50" s="119">
        <v>120000</v>
      </c>
      <c r="H50" s="46">
        <v>80000</v>
      </c>
      <c r="I50" s="46">
        <v>99500</v>
      </c>
      <c r="J50" s="46">
        <v>188964</v>
      </c>
      <c r="K50" s="46">
        <v>188964</v>
      </c>
      <c r="L50" s="46">
        <f t="shared" ref="L50:L51" si="3">J50-K50</f>
        <v>0</v>
      </c>
      <c r="M50" s="92"/>
      <c r="O50" s="121" t="e">
        <f>MATCH(B50,'42-02-07, 42-02-15 תיאטרון'!$A$5:$A$31,0)</f>
        <v>#N/A</v>
      </c>
      <c r="P50" s="121">
        <f>MATCH(B50,'42-02-07, 42-02-15 תיאטרון'!$A$34:$A$96,0)</f>
        <v>13</v>
      </c>
      <c r="Q50" s="121" t="e">
        <f>MATCH(B50,'42-02-07, 42-02-15 תיאטרון'!$A$98:$A$100,0)</f>
        <v>#N/A</v>
      </c>
    </row>
    <row r="51" spans="1:17" s="44" customFormat="1" ht="48" customHeight="1" x14ac:dyDescent="0.2">
      <c r="A51" s="55" t="s">
        <v>529</v>
      </c>
      <c r="B51" s="50">
        <v>580283281</v>
      </c>
      <c r="C51" s="49">
        <v>1000541199</v>
      </c>
      <c r="D51" s="48">
        <v>40000650</v>
      </c>
      <c r="E51" s="46"/>
      <c r="F51" s="46"/>
      <c r="G51" s="119"/>
      <c r="H51" s="46"/>
      <c r="I51" s="46">
        <v>0</v>
      </c>
      <c r="J51" s="46">
        <v>58000</v>
      </c>
      <c r="K51" s="46">
        <v>58000</v>
      </c>
      <c r="L51" s="46">
        <f t="shared" si="3"/>
        <v>0</v>
      </c>
      <c r="M51" s="92"/>
      <c r="O51" s="121" t="e">
        <f>MATCH(B51,'42-02-07, 42-02-15 תיאטרון'!$A$5:$A$31,0)</f>
        <v>#N/A</v>
      </c>
      <c r="P51" s="121">
        <f>MATCH(B51,'42-02-07, 42-02-15 תיאטרון'!$A$34:$A$96,0)</f>
        <v>13</v>
      </c>
      <c r="Q51" s="121" t="e">
        <f>MATCH(B51,'42-02-07, 42-02-15 תיאטרון'!$A$98:$A$100,0)</f>
        <v>#N/A</v>
      </c>
    </row>
    <row r="52" spans="1:17" s="44" customFormat="1" ht="49.5" customHeight="1" x14ac:dyDescent="0.2">
      <c r="A52" s="51" t="s">
        <v>530</v>
      </c>
      <c r="B52" s="105">
        <v>580202091</v>
      </c>
      <c r="C52" s="268">
        <v>1000547047</v>
      </c>
      <c r="D52" s="48">
        <v>40000176</v>
      </c>
      <c r="E52" s="46"/>
      <c r="F52" s="46"/>
      <c r="G52" s="119"/>
      <c r="H52" s="46"/>
      <c r="I52" s="46">
        <v>0</v>
      </c>
      <c r="J52" s="46">
        <v>41940</v>
      </c>
      <c r="K52" s="46">
        <v>41940</v>
      </c>
      <c r="L52" s="46">
        <f>J52-K52</f>
        <v>0</v>
      </c>
      <c r="M52" s="129"/>
      <c r="O52" s="121" t="e">
        <f>MATCH(B52,'42-02-07, 42-02-15 תיאטרון'!$A$5:$A$31,0)</f>
        <v>#N/A</v>
      </c>
      <c r="P52" s="121">
        <f>MATCH(B52,'42-02-07, 42-02-15 תיאטרון'!$A$34:$A$96,0)</f>
        <v>4</v>
      </c>
      <c r="Q52" s="121" t="e">
        <f>MATCH(B52,'42-02-07, 42-02-15 תיאטרון'!$A$98:$A$100,0)</f>
        <v>#N/A</v>
      </c>
    </row>
    <row r="53" spans="1:17" s="44" customFormat="1" ht="42.75" customHeight="1" x14ac:dyDescent="0.2">
      <c r="A53" s="51" t="s">
        <v>531</v>
      </c>
      <c r="B53" s="50">
        <v>580423283</v>
      </c>
      <c r="C53" s="49">
        <v>1000536884</v>
      </c>
      <c r="D53" s="48">
        <v>40221581</v>
      </c>
      <c r="E53" s="46">
        <v>144000</v>
      </c>
      <c r="F53" s="101">
        <v>190000</v>
      </c>
      <c r="G53" s="119">
        <v>135000</v>
      </c>
      <c r="H53" s="46">
        <v>100000</v>
      </c>
      <c r="I53" s="46">
        <v>75547</v>
      </c>
      <c r="J53" s="46">
        <v>85000</v>
      </c>
      <c r="K53" s="46">
        <v>85000</v>
      </c>
      <c r="L53" s="46">
        <f>J53-K53</f>
        <v>0</v>
      </c>
      <c r="M53" s="271"/>
      <c r="O53" s="121" t="e">
        <f>MATCH(B53,'42-02-07, 42-02-15 תיאטרון'!$A$5:$A$31,0)</f>
        <v>#N/A</v>
      </c>
      <c r="P53" s="121">
        <f>MATCH(B53,'42-02-07, 42-02-15 תיאטרון'!$A$34:$A$96,0)</f>
        <v>22</v>
      </c>
      <c r="Q53" s="121" t="e">
        <f>MATCH(B53,'42-02-07, 42-02-15 תיאטרון'!$A$98:$A$100,0)</f>
        <v>#N/A</v>
      </c>
    </row>
    <row r="54" spans="1:17" s="44" customFormat="1" ht="39" customHeight="1" x14ac:dyDescent="0.2">
      <c r="A54" s="55" t="s">
        <v>532</v>
      </c>
      <c r="B54" s="50">
        <v>513377457</v>
      </c>
      <c r="C54" s="49">
        <v>1000543524</v>
      </c>
      <c r="D54" s="48">
        <v>40474818</v>
      </c>
      <c r="E54" s="46">
        <v>104695</v>
      </c>
      <c r="F54" s="46">
        <v>76534</v>
      </c>
      <c r="G54" s="119">
        <v>94946</v>
      </c>
      <c r="H54" s="46">
        <v>86204</v>
      </c>
      <c r="I54" s="46">
        <v>127645</v>
      </c>
      <c r="J54" s="46">
        <v>83880</v>
      </c>
      <c r="K54" s="46">
        <v>83880</v>
      </c>
      <c r="L54" s="46">
        <f>J54-K54</f>
        <v>0</v>
      </c>
      <c r="M54" s="274"/>
      <c r="O54" s="121" t="e">
        <f>MATCH(B54,'42-02-07, 42-02-15 תיאטרון'!$A$5:$A$31,0)</f>
        <v>#N/A</v>
      </c>
      <c r="P54" s="121">
        <f>MATCH(B54,'42-02-07, 42-02-15 תיאטרון'!$A$34:$A$96,0)</f>
        <v>9</v>
      </c>
      <c r="Q54" s="121" t="e">
        <f>MATCH(B54,'42-02-07, 42-02-15 תיאטרון'!$A$98:$A$100,0)</f>
        <v>#N/A</v>
      </c>
    </row>
    <row r="55" spans="1:17" s="62" customFormat="1" ht="39.950000000000003" customHeight="1" x14ac:dyDescent="0.2">
      <c r="A55" s="51" t="s">
        <v>533</v>
      </c>
      <c r="B55" s="50">
        <v>580459261</v>
      </c>
      <c r="C55" s="49">
        <v>1000553156</v>
      </c>
      <c r="D55" s="48">
        <v>40462863</v>
      </c>
      <c r="E55" s="46"/>
      <c r="F55" s="46"/>
      <c r="G55" s="119"/>
      <c r="H55" s="46"/>
      <c r="I55" s="46">
        <v>0</v>
      </c>
      <c r="J55" s="46">
        <v>32000</v>
      </c>
      <c r="K55" s="46">
        <v>32000</v>
      </c>
      <c r="L55" s="46">
        <f>J55-K55</f>
        <v>0</v>
      </c>
      <c r="M55" s="264"/>
      <c r="O55" s="121" t="e">
        <f>MATCH(B55,'42-02-07, 42-02-15 תיאטרון'!$A$5:$A$31,0)</f>
        <v>#N/A</v>
      </c>
      <c r="P55" s="121">
        <f>MATCH(B55,'42-02-07, 42-02-15 תיאטרון'!$A$34:$A$96,0)</f>
        <v>28</v>
      </c>
      <c r="Q55" s="121" t="e">
        <f>MATCH(B55,'42-02-07, 42-02-15 תיאטרון'!$A$98:$A$100,0)</f>
        <v>#N/A</v>
      </c>
    </row>
    <row r="56" spans="1:17" s="44" customFormat="1" ht="33" customHeight="1" x14ac:dyDescent="0.2">
      <c r="A56" s="51" t="s">
        <v>534</v>
      </c>
      <c r="B56" s="105">
        <v>580202091</v>
      </c>
      <c r="C56" s="49">
        <v>1000547034</v>
      </c>
      <c r="D56" s="48">
        <v>40000176</v>
      </c>
      <c r="E56" s="46">
        <v>0</v>
      </c>
      <c r="F56" s="119">
        <v>0</v>
      </c>
      <c r="G56" s="119">
        <v>0</v>
      </c>
      <c r="H56" s="46">
        <v>0</v>
      </c>
      <c r="I56" s="46">
        <v>69625</v>
      </c>
      <c r="J56" s="46">
        <v>52425</v>
      </c>
      <c r="K56" s="46">
        <v>52425</v>
      </c>
      <c r="L56" s="46">
        <f>J56-K56</f>
        <v>0</v>
      </c>
      <c r="M56" s="129"/>
      <c r="O56" s="121" t="e">
        <f>MATCH(B56,'42-02-07, 42-02-15 תיאטרון'!$A$5:$A$31,0)</f>
        <v>#N/A</v>
      </c>
      <c r="P56" s="121">
        <f>MATCH(B56,'42-02-07, 42-02-15 תיאטרון'!$A$34:$A$96,0)</f>
        <v>4</v>
      </c>
      <c r="Q56" s="121" t="e">
        <f>MATCH(B56,'42-02-07, 42-02-15 תיאטרון'!$A$98:$A$100,0)</f>
        <v>#N/A</v>
      </c>
    </row>
    <row r="57" spans="1:17" s="62" customFormat="1" ht="45.75" customHeight="1" x14ac:dyDescent="0.2">
      <c r="A57" s="51" t="s">
        <v>535</v>
      </c>
      <c r="B57" s="105">
        <v>580202091</v>
      </c>
      <c r="C57" s="49">
        <v>1000545322</v>
      </c>
      <c r="D57" s="48">
        <v>40000176</v>
      </c>
      <c r="E57" s="46">
        <v>0</v>
      </c>
      <c r="F57" s="46">
        <v>0</v>
      </c>
      <c r="G57" s="119">
        <v>0</v>
      </c>
      <c r="H57" s="46">
        <v>0</v>
      </c>
      <c r="I57" s="46">
        <v>50000</v>
      </c>
      <c r="J57" s="46">
        <v>45000</v>
      </c>
      <c r="K57" s="46">
        <v>45000</v>
      </c>
      <c r="L57" s="46">
        <f t="shared" si="0"/>
        <v>0</v>
      </c>
      <c r="M57" s="129"/>
      <c r="O57" s="121" t="e">
        <f>MATCH(B57,'42-02-07, 42-02-15 תיאטרון'!$A$5:$A$31,0)</f>
        <v>#N/A</v>
      </c>
      <c r="P57" s="121">
        <f>MATCH(B57,'42-02-07, 42-02-15 תיאטרון'!$A$34:$A$96,0)</f>
        <v>4</v>
      </c>
      <c r="Q57" s="121" t="e">
        <f>MATCH(B57,'42-02-07, 42-02-15 תיאטרון'!$A$98:$A$100,0)</f>
        <v>#N/A</v>
      </c>
    </row>
    <row r="58" spans="1:17" s="44" customFormat="1" ht="89.25" customHeight="1" x14ac:dyDescent="0.2">
      <c r="A58" s="51" t="s">
        <v>536</v>
      </c>
      <c r="B58" s="105">
        <v>580202091</v>
      </c>
      <c r="C58" s="268">
        <v>1000545348</v>
      </c>
      <c r="D58" s="48">
        <v>40000176</v>
      </c>
      <c r="E58" s="46">
        <v>0</v>
      </c>
      <c r="F58" s="46">
        <v>0</v>
      </c>
      <c r="G58" s="46">
        <v>0</v>
      </c>
      <c r="H58" s="46">
        <v>100000</v>
      </c>
      <c r="I58" s="46">
        <v>110000</v>
      </c>
      <c r="J58" s="46">
        <v>98231</v>
      </c>
      <c r="K58" s="46">
        <v>98231</v>
      </c>
      <c r="L58" s="46">
        <f>J58-K58</f>
        <v>0</v>
      </c>
      <c r="M58" s="129"/>
      <c r="O58" s="121" t="e">
        <f>MATCH(B58,'42-02-07, 42-02-15 תיאטרון'!$A$5:$A$31,0)</f>
        <v>#N/A</v>
      </c>
      <c r="P58" s="121">
        <f>MATCH(B58,'42-02-07, 42-02-15 תיאטרון'!$A$34:$A$96,0)</f>
        <v>4</v>
      </c>
      <c r="Q58" s="121" t="e">
        <f>MATCH(B58,'42-02-07, 42-02-15 תיאטרון'!$A$98:$A$100,0)</f>
        <v>#N/A</v>
      </c>
    </row>
    <row r="59" spans="1:17" s="62" customFormat="1" ht="47.25" customHeight="1" x14ac:dyDescent="0.2">
      <c r="A59" s="51" t="s">
        <v>537</v>
      </c>
      <c r="B59" s="105">
        <v>580202091</v>
      </c>
      <c r="C59" s="49">
        <v>1000545337</v>
      </c>
      <c r="D59" s="48">
        <v>40000176</v>
      </c>
      <c r="E59" s="46">
        <v>0</v>
      </c>
      <c r="F59" s="46">
        <v>0</v>
      </c>
      <c r="G59" s="119">
        <v>0</v>
      </c>
      <c r="H59" s="46">
        <v>130000</v>
      </c>
      <c r="I59" s="46">
        <v>143000</v>
      </c>
      <c r="J59" s="46">
        <v>81126</v>
      </c>
      <c r="K59" s="46">
        <v>81126</v>
      </c>
      <c r="L59" s="46">
        <f t="shared" si="0"/>
        <v>0</v>
      </c>
      <c r="M59" s="129"/>
      <c r="O59" s="121" t="e">
        <f>MATCH(B59,'42-02-07, 42-02-15 תיאטרון'!$A$5:$A$31,0)</f>
        <v>#N/A</v>
      </c>
      <c r="P59" s="121">
        <f>MATCH(B59,'42-02-07, 42-02-15 תיאטרון'!$A$34:$A$96,0)</f>
        <v>4</v>
      </c>
      <c r="Q59" s="121" t="e">
        <f>MATCH(B59,'42-02-07, 42-02-15 תיאטרון'!$A$98:$A$100,0)</f>
        <v>#N/A</v>
      </c>
    </row>
    <row r="60" spans="1:17" s="44" customFormat="1" ht="49.5" customHeight="1" x14ac:dyDescent="0.2">
      <c r="A60" s="51" t="s">
        <v>538</v>
      </c>
      <c r="B60" s="105">
        <v>580202091</v>
      </c>
      <c r="C60" s="268">
        <v>1000547036</v>
      </c>
      <c r="D60" s="48">
        <v>40000176</v>
      </c>
      <c r="E60" s="46"/>
      <c r="F60" s="46"/>
      <c r="G60" s="119"/>
      <c r="H60" s="46"/>
      <c r="I60" s="46">
        <v>0</v>
      </c>
      <c r="J60" s="46">
        <v>94365</v>
      </c>
      <c r="K60" s="46">
        <v>94365</v>
      </c>
      <c r="L60" s="46">
        <f t="shared" si="0"/>
        <v>0</v>
      </c>
      <c r="M60" s="129"/>
      <c r="O60" s="121" t="e">
        <f>MATCH(B60,'42-02-07, 42-02-15 תיאטרון'!$A$5:$A$31,0)</f>
        <v>#N/A</v>
      </c>
      <c r="P60" s="121">
        <f>MATCH(B60,'42-02-07, 42-02-15 תיאטרון'!$A$34:$A$96,0)</f>
        <v>4</v>
      </c>
      <c r="Q60" s="121" t="e">
        <f>MATCH(B60,'42-02-07, 42-02-15 תיאטרון'!$A$98:$A$100,0)</f>
        <v>#N/A</v>
      </c>
    </row>
    <row r="61" spans="1:17" s="44" customFormat="1" ht="30" customHeight="1" x14ac:dyDescent="0.2">
      <c r="A61" s="51" t="s">
        <v>539</v>
      </c>
      <c r="B61" s="105">
        <v>580202091</v>
      </c>
      <c r="C61" s="49">
        <v>1000547026</v>
      </c>
      <c r="D61" s="48">
        <v>40000176</v>
      </c>
      <c r="E61" s="46">
        <v>0</v>
      </c>
      <c r="F61" s="119">
        <v>0</v>
      </c>
      <c r="G61" s="119">
        <v>0</v>
      </c>
      <c r="H61" s="46">
        <v>86204</v>
      </c>
      <c r="I61" s="46">
        <v>127645</v>
      </c>
      <c r="J61" s="46">
        <v>136305</v>
      </c>
      <c r="K61" s="46">
        <v>136305</v>
      </c>
      <c r="L61" s="46">
        <f t="shared" si="0"/>
        <v>0</v>
      </c>
      <c r="M61" s="129"/>
      <c r="O61" s="121" t="e">
        <f>MATCH(B61,'42-02-07, 42-02-15 תיאטרון'!$A$5:$A$31,0)</f>
        <v>#N/A</v>
      </c>
      <c r="P61" s="121">
        <f>MATCH(B61,'42-02-07, 42-02-15 תיאטרון'!$A$34:$A$96,0)</f>
        <v>4</v>
      </c>
      <c r="Q61" s="121" t="e">
        <f>MATCH(B61,'42-02-07, 42-02-15 תיאטרון'!$A$98:$A$100,0)</f>
        <v>#N/A</v>
      </c>
    </row>
    <row r="62" spans="1:17" s="44" customFormat="1" ht="49.5" customHeight="1" x14ac:dyDescent="0.2">
      <c r="A62" s="51" t="s">
        <v>540</v>
      </c>
      <c r="B62" s="105">
        <v>580202091</v>
      </c>
      <c r="C62" s="268">
        <v>1000547031</v>
      </c>
      <c r="D62" s="48">
        <v>40000176</v>
      </c>
      <c r="E62" s="46"/>
      <c r="F62" s="46"/>
      <c r="G62" s="119"/>
      <c r="H62" s="46"/>
      <c r="I62" s="46">
        <v>0</v>
      </c>
      <c r="J62" s="46">
        <v>52425</v>
      </c>
      <c r="K62" s="46">
        <v>52425</v>
      </c>
      <c r="L62" s="46">
        <f t="shared" si="0"/>
        <v>0</v>
      </c>
      <c r="M62" s="129"/>
      <c r="O62" s="121" t="e">
        <f>MATCH(B62,'42-02-07, 42-02-15 תיאטרון'!$A$5:$A$31,0)</f>
        <v>#N/A</v>
      </c>
      <c r="P62" s="121">
        <f>MATCH(B62,'42-02-07, 42-02-15 תיאטרון'!$A$34:$A$96,0)</f>
        <v>4</v>
      </c>
      <c r="Q62" s="121" t="e">
        <f>MATCH(B62,'42-02-07, 42-02-15 תיאטרון'!$A$98:$A$100,0)</f>
        <v>#N/A</v>
      </c>
    </row>
    <row r="63" spans="1:17" s="44" customFormat="1" ht="49.5" customHeight="1" x14ac:dyDescent="0.2">
      <c r="A63" s="51" t="s">
        <v>541</v>
      </c>
      <c r="B63" s="105">
        <v>580202091</v>
      </c>
      <c r="C63" s="268">
        <v>1000547038</v>
      </c>
      <c r="D63" s="48">
        <v>40000176</v>
      </c>
      <c r="E63" s="46"/>
      <c r="F63" s="46"/>
      <c r="G63" s="119"/>
      <c r="H63" s="46"/>
      <c r="I63" s="46">
        <v>0</v>
      </c>
      <c r="J63" s="46">
        <v>83880</v>
      </c>
      <c r="K63" s="46">
        <v>83880</v>
      </c>
      <c r="L63" s="46">
        <f t="shared" si="0"/>
        <v>0</v>
      </c>
      <c r="M63" s="129"/>
      <c r="O63" s="121" t="e">
        <f>MATCH(B63,'42-02-07, 42-02-15 תיאטרון'!$A$5:$A$31,0)</f>
        <v>#N/A</v>
      </c>
      <c r="P63" s="121">
        <f>MATCH(B63,'42-02-07, 42-02-15 תיאטרון'!$A$34:$A$96,0)</f>
        <v>4</v>
      </c>
      <c r="Q63" s="121" t="e">
        <f>MATCH(B63,'42-02-07, 42-02-15 תיאטרון'!$A$98:$A$100,0)</f>
        <v>#N/A</v>
      </c>
    </row>
    <row r="64" spans="1:17" s="44" customFormat="1" ht="49.5" customHeight="1" x14ac:dyDescent="0.2">
      <c r="A64" s="51" t="s">
        <v>542</v>
      </c>
      <c r="B64" s="105">
        <v>580202091</v>
      </c>
      <c r="C64" s="268">
        <v>1000547061</v>
      </c>
      <c r="D64" s="48">
        <v>40000176</v>
      </c>
      <c r="E64" s="46"/>
      <c r="F64" s="46"/>
      <c r="G64" s="119"/>
      <c r="H64" s="46"/>
      <c r="I64" s="46">
        <v>0</v>
      </c>
      <c r="J64" s="46">
        <v>52425</v>
      </c>
      <c r="K64" s="46">
        <v>52425</v>
      </c>
      <c r="L64" s="46">
        <f t="shared" si="0"/>
        <v>0</v>
      </c>
      <c r="M64" s="129"/>
      <c r="O64" s="121" t="e">
        <f>MATCH(B64,'42-02-07, 42-02-15 תיאטרון'!$A$5:$A$31,0)</f>
        <v>#N/A</v>
      </c>
      <c r="P64" s="121">
        <f>MATCH(B64,'42-02-07, 42-02-15 תיאטרון'!$A$34:$A$96,0)</f>
        <v>4</v>
      </c>
      <c r="Q64" s="121" t="e">
        <f>MATCH(B64,'42-02-07, 42-02-15 תיאטרון'!$A$98:$A$100,0)</f>
        <v>#N/A</v>
      </c>
    </row>
    <row r="65" spans="1:17" s="44" customFormat="1" ht="49.5" customHeight="1" x14ac:dyDescent="0.2">
      <c r="A65" s="51" t="s">
        <v>543</v>
      </c>
      <c r="B65" s="105">
        <v>580202091</v>
      </c>
      <c r="C65" s="268">
        <v>1000549141</v>
      </c>
      <c r="D65" s="48">
        <v>40000176</v>
      </c>
      <c r="E65" s="46"/>
      <c r="F65" s="46"/>
      <c r="G65" s="119"/>
      <c r="H65" s="46"/>
      <c r="I65" s="46">
        <v>0</v>
      </c>
      <c r="J65" s="46">
        <v>52425</v>
      </c>
      <c r="K65" s="46">
        <v>52425</v>
      </c>
      <c r="L65" s="46">
        <f t="shared" si="0"/>
        <v>0</v>
      </c>
      <c r="M65" s="129"/>
      <c r="O65" s="121" t="e">
        <f>MATCH(B65,'42-02-07, 42-02-15 תיאטרון'!$A$5:$A$31,0)</f>
        <v>#N/A</v>
      </c>
      <c r="P65" s="121">
        <f>MATCH(B65,'42-02-07, 42-02-15 תיאטרון'!$A$34:$A$96,0)</f>
        <v>4</v>
      </c>
      <c r="Q65" s="121" t="e">
        <f>MATCH(B65,'42-02-07, 42-02-15 תיאטרון'!$A$98:$A$100,0)</f>
        <v>#N/A</v>
      </c>
    </row>
    <row r="66" spans="1:17" s="44" customFormat="1" ht="49.5" customHeight="1" x14ac:dyDescent="0.2">
      <c r="A66" s="51" t="s">
        <v>544</v>
      </c>
      <c r="B66" s="105">
        <v>580202091</v>
      </c>
      <c r="C66" s="268">
        <v>1000547037</v>
      </c>
      <c r="D66" s="48">
        <v>40000176</v>
      </c>
      <c r="E66" s="46"/>
      <c r="F66" s="46"/>
      <c r="G66" s="119"/>
      <c r="H66" s="46"/>
      <c r="I66" s="46">
        <v>0</v>
      </c>
      <c r="J66" s="46">
        <v>52425</v>
      </c>
      <c r="K66" s="46">
        <v>52425</v>
      </c>
      <c r="L66" s="46">
        <f t="shared" si="0"/>
        <v>0</v>
      </c>
      <c r="M66" s="129"/>
      <c r="O66" s="121" t="e">
        <f>MATCH(B66,'42-02-07, 42-02-15 תיאטרון'!$A$5:$A$31,0)</f>
        <v>#N/A</v>
      </c>
      <c r="P66" s="121">
        <f>MATCH(B66,'42-02-07, 42-02-15 תיאטרון'!$A$34:$A$96,0)</f>
        <v>4</v>
      </c>
      <c r="Q66" s="121" t="e">
        <f>MATCH(B66,'42-02-07, 42-02-15 תיאטרון'!$A$98:$A$100,0)</f>
        <v>#N/A</v>
      </c>
    </row>
    <row r="67" spans="1:17" s="44" customFormat="1" ht="33" customHeight="1" x14ac:dyDescent="0.2">
      <c r="A67" s="51" t="s">
        <v>545</v>
      </c>
      <c r="B67" s="105">
        <v>580202091</v>
      </c>
      <c r="C67" s="49">
        <v>1000546996</v>
      </c>
      <c r="D67" s="48">
        <v>40000176</v>
      </c>
      <c r="E67" s="46">
        <v>0</v>
      </c>
      <c r="F67" s="119">
        <v>0</v>
      </c>
      <c r="G67" s="119">
        <v>0</v>
      </c>
      <c r="H67" s="46">
        <v>0</v>
      </c>
      <c r="I67" s="46">
        <v>111353</v>
      </c>
      <c r="J67" s="46">
        <v>73395</v>
      </c>
      <c r="K67" s="46">
        <v>73395</v>
      </c>
      <c r="L67" s="46">
        <f t="shared" si="0"/>
        <v>0</v>
      </c>
      <c r="M67" s="129"/>
      <c r="O67" s="121" t="e">
        <f>MATCH(B67,'42-02-07, 42-02-15 תיאטרון'!$A$5:$A$31,0)</f>
        <v>#N/A</v>
      </c>
      <c r="P67" s="121">
        <f>MATCH(B67,'42-02-07, 42-02-15 תיאטרון'!$A$34:$A$96,0)</f>
        <v>4</v>
      </c>
      <c r="Q67" s="121" t="e">
        <f>MATCH(B67,'42-02-07, 42-02-15 תיאטרון'!$A$98:$A$100,0)</f>
        <v>#N/A</v>
      </c>
    </row>
    <row r="68" spans="1:17" s="44" customFormat="1" ht="38.25" customHeight="1" x14ac:dyDescent="0.2">
      <c r="A68" s="51" t="s">
        <v>546</v>
      </c>
      <c r="B68" s="105">
        <v>580202091</v>
      </c>
      <c r="C68" s="49">
        <v>1000547035</v>
      </c>
      <c r="D68" s="48">
        <v>40000176</v>
      </c>
      <c r="E68" s="46">
        <v>0</v>
      </c>
      <c r="F68" s="119">
        <v>0</v>
      </c>
      <c r="G68" s="119">
        <v>0</v>
      </c>
      <c r="H68" s="46">
        <v>54857</v>
      </c>
      <c r="I68" s="46">
        <v>87382</v>
      </c>
      <c r="J68" s="46">
        <v>104850</v>
      </c>
      <c r="K68" s="46">
        <v>104850</v>
      </c>
      <c r="L68" s="46">
        <f t="shared" si="0"/>
        <v>0</v>
      </c>
      <c r="M68" s="129"/>
      <c r="O68" s="121" t="e">
        <f>MATCH(B68,'42-02-07, 42-02-15 תיאטרון'!$A$5:$A$31,0)</f>
        <v>#N/A</v>
      </c>
      <c r="P68" s="121">
        <f>MATCH(B68,'42-02-07, 42-02-15 תיאטרון'!$A$34:$A$96,0)</f>
        <v>4</v>
      </c>
      <c r="Q68" s="121" t="e">
        <f>MATCH(B68,'42-02-07, 42-02-15 תיאטרון'!$A$98:$A$100,0)</f>
        <v>#N/A</v>
      </c>
    </row>
    <row r="69" spans="1:17" s="44" customFormat="1" ht="49.5" customHeight="1" x14ac:dyDescent="0.2">
      <c r="A69" s="51" t="s">
        <v>547</v>
      </c>
      <c r="B69" s="105">
        <v>580202091</v>
      </c>
      <c r="C69" s="268">
        <v>1000547042</v>
      </c>
      <c r="D69" s="48">
        <v>40000176</v>
      </c>
      <c r="E69" s="46"/>
      <c r="F69" s="46"/>
      <c r="G69" s="119"/>
      <c r="H69" s="46"/>
      <c r="I69" s="46">
        <v>0</v>
      </c>
      <c r="J69" s="46">
        <v>52425</v>
      </c>
      <c r="K69" s="46">
        <v>52425</v>
      </c>
      <c r="L69" s="46">
        <f t="shared" si="0"/>
        <v>0</v>
      </c>
      <c r="M69" s="129"/>
      <c r="O69" s="121" t="e">
        <f>MATCH(B69,'42-02-07, 42-02-15 תיאטרון'!$A$5:$A$31,0)</f>
        <v>#N/A</v>
      </c>
      <c r="P69" s="121">
        <f>MATCH(B69,'42-02-07, 42-02-15 תיאטרון'!$A$34:$A$96,0)</f>
        <v>4</v>
      </c>
      <c r="Q69" s="121" t="e">
        <f>MATCH(B69,'42-02-07, 42-02-15 תיאטרון'!$A$98:$A$100,0)</f>
        <v>#N/A</v>
      </c>
    </row>
    <row r="70" spans="1:17" s="44" customFormat="1" ht="49.5" customHeight="1" x14ac:dyDescent="0.2">
      <c r="A70" s="51" t="s">
        <v>548</v>
      </c>
      <c r="B70" s="105">
        <v>580202091</v>
      </c>
      <c r="C70" s="268">
        <v>1000547043</v>
      </c>
      <c r="D70" s="48">
        <v>40000176</v>
      </c>
      <c r="E70" s="46"/>
      <c r="F70" s="46"/>
      <c r="G70" s="119"/>
      <c r="H70" s="46"/>
      <c r="I70" s="46">
        <v>0</v>
      </c>
      <c r="J70" s="46">
        <v>73395</v>
      </c>
      <c r="K70" s="46">
        <v>73395</v>
      </c>
      <c r="L70" s="46">
        <f t="shared" ref="L70:L97" si="4">J70-K70</f>
        <v>0</v>
      </c>
      <c r="M70" s="129"/>
      <c r="O70" s="121" t="e">
        <f>MATCH(B70,'42-02-07, 42-02-15 תיאטרון'!$A$5:$A$31,0)</f>
        <v>#N/A</v>
      </c>
      <c r="P70" s="121">
        <f>MATCH(B70,'42-02-07, 42-02-15 תיאטרון'!$A$34:$A$96,0)</f>
        <v>4</v>
      </c>
      <c r="Q70" s="121" t="e">
        <f>MATCH(B70,'42-02-07, 42-02-15 תיאטרון'!$A$98:$A$100,0)</f>
        <v>#N/A</v>
      </c>
    </row>
    <row r="71" spans="1:17" s="44" customFormat="1" ht="49.5" customHeight="1" x14ac:dyDescent="0.2">
      <c r="A71" s="51" t="s">
        <v>549</v>
      </c>
      <c r="B71" s="105">
        <v>580202091</v>
      </c>
      <c r="C71" s="268">
        <v>1000547051</v>
      </c>
      <c r="D71" s="48">
        <v>40000176</v>
      </c>
      <c r="E71" s="46"/>
      <c r="F71" s="46"/>
      <c r="G71" s="119"/>
      <c r="H71" s="46"/>
      <c r="I71" s="46">
        <v>0</v>
      </c>
      <c r="J71" s="46">
        <v>62910</v>
      </c>
      <c r="K71" s="46">
        <v>62910</v>
      </c>
      <c r="L71" s="46">
        <f t="shared" si="4"/>
        <v>0</v>
      </c>
      <c r="M71" s="129"/>
      <c r="O71" s="121" t="e">
        <f>MATCH(B71,'42-02-07, 42-02-15 תיאטרון'!$A$5:$A$31,0)</f>
        <v>#N/A</v>
      </c>
      <c r="P71" s="121">
        <f>MATCH(B71,'42-02-07, 42-02-15 תיאטרון'!$A$34:$A$96,0)</f>
        <v>4</v>
      </c>
      <c r="Q71" s="121" t="e">
        <f>MATCH(B71,'42-02-07, 42-02-15 תיאטרון'!$A$98:$A$100,0)</f>
        <v>#N/A</v>
      </c>
    </row>
    <row r="72" spans="1:17" x14ac:dyDescent="0.2">
      <c r="A72" s="51" t="s">
        <v>382</v>
      </c>
      <c r="B72" s="105">
        <v>580084713</v>
      </c>
      <c r="C72" s="151">
        <v>1000537141</v>
      </c>
      <c r="D72" s="48">
        <v>40000449</v>
      </c>
      <c r="E72" s="46">
        <v>8818918</v>
      </c>
      <c r="F72" s="46">
        <v>8885186</v>
      </c>
      <c r="G72" s="46">
        <v>8700100</v>
      </c>
      <c r="H72" s="46">
        <v>8671066</v>
      </c>
      <c r="I72" s="46">
        <v>8783219</v>
      </c>
      <c r="J72" s="150">
        <v>8754851</v>
      </c>
      <c r="K72" s="150">
        <v>8754851</v>
      </c>
      <c r="L72" s="150">
        <f t="shared" si="4"/>
        <v>0</v>
      </c>
      <c r="M72" s="75"/>
      <c r="O72" s="121">
        <f>MATCH(B72,'42-02-07, 42-02-15 תיאטרון'!$A$5:$A$31,0)</f>
        <v>3</v>
      </c>
      <c r="P72" s="121" t="e">
        <f>MATCH(B72,'42-02-07, 42-02-15 תיאטרון'!$A$34:$A$96,0)</f>
        <v>#N/A</v>
      </c>
      <c r="Q72" s="121" t="e">
        <f>MATCH(B72,'42-02-07, 42-02-15 תיאטרון'!$A$98:$A$100,0)</f>
        <v>#N/A</v>
      </c>
    </row>
    <row r="73" spans="1:17" x14ac:dyDescent="0.2">
      <c r="A73" s="249" t="s">
        <v>550</v>
      </c>
      <c r="B73" s="249">
        <v>580116515</v>
      </c>
      <c r="C73" s="275">
        <v>1000539255</v>
      </c>
      <c r="D73" s="249">
        <v>40000478</v>
      </c>
      <c r="E73" s="249">
        <v>2442357</v>
      </c>
      <c r="F73" s="250">
        <v>2037537</v>
      </c>
      <c r="G73" s="250">
        <v>3700000</v>
      </c>
      <c r="H73" s="249">
        <v>4396496</v>
      </c>
      <c r="I73" s="249">
        <v>4360249</v>
      </c>
      <c r="J73" s="150">
        <v>5013949</v>
      </c>
      <c r="K73" s="150">
        <v>5013949</v>
      </c>
      <c r="L73" s="150">
        <f t="shared" si="4"/>
        <v>0</v>
      </c>
      <c r="M73" s="92"/>
      <c r="O73" s="121">
        <f>MATCH(B73,'42-02-07, 42-02-15 תיאטרון'!$A$5:$A$31,0)</f>
        <v>8</v>
      </c>
      <c r="P73" s="121" t="e">
        <f>MATCH(B73,'42-02-07, 42-02-15 תיאטרון'!$A$34:$A$96,0)</f>
        <v>#N/A</v>
      </c>
      <c r="Q73" s="121" t="e">
        <f>MATCH(B73,'42-02-07, 42-02-15 תיאטרון'!$A$98:$A$100,0)</f>
        <v>#N/A</v>
      </c>
    </row>
    <row r="74" spans="1:17" x14ac:dyDescent="0.2">
      <c r="A74" s="249" t="s">
        <v>551</v>
      </c>
      <c r="B74" s="249">
        <v>580037224</v>
      </c>
      <c r="C74" s="275">
        <v>1000541147</v>
      </c>
      <c r="D74" s="249">
        <v>40000381</v>
      </c>
      <c r="E74" s="249">
        <v>5512913</v>
      </c>
      <c r="F74" s="249">
        <v>5765230</v>
      </c>
      <c r="G74" s="249">
        <v>5530463</v>
      </c>
      <c r="H74" s="249">
        <v>6448520</v>
      </c>
      <c r="I74" s="249">
        <v>6551921</v>
      </c>
      <c r="J74" s="150">
        <v>6698163</v>
      </c>
      <c r="K74" s="150">
        <v>6698163</v>
      </c>
      <c r="L74" s="150">
        <f t="shared" si="4"/>
        <v>0</v>
      </c>
      <c r="M74" s="88"/>
      <c r="O74" s="121">
        <f>MATCH(B74,'42-02-07, 42-02-15 תיאטרון'!$A$5:$A$31,0)</f>
        <v>4</v>
      </c>
      <c r="P74" s="121" t="e">
        <f>MATCH(B74,'42-02-07, 42-02-15 תיאטרון'!$A$34:$A$96,0)</f>
        <v>#N/A</v>
      </c>
      <c r="Q74" s="121" t="e">
        <f>MATCH(B74,'42-02-07, 42-02-15 תיאטרון'!$A$98:$A$100,0)</f>
        <v>#N/A</v>
      </c>
    </row>
    <row r="75" spans="1:17" ht="25.5" x14ac:dyDescent="0.2">
      <c r="A75" s="249" t="s">
        <v>552</v>
      </c>
      <c r="B75" s="249">
        <v>590000659</v>
      </c>
      <c r="C75" s="276">
        <v>1000540688</v>
      </c>
      <c r="D75" s="249">
        <v>40000712</v>
      </c>
      <c r="E75" s="249">
        <v>11525685</v>
      </c>
      <c r="F75" s="250">
        <v>12052616</v>
      </c>
      <c r="G75" s="250">
        <v>11982957</v>
      </c>
      <c r="H75" s="249">
        <v>12081036</v>
      </c>
      <c r="I75" s="249">
        <v>12228072</v>
      </c>
      <c r="J75" s="150">
        <v>12082192</v>
      </c>
      <c r="K75" s="150">
        <v>12082192</v>
      </c>
      <c r="L75" s="150">
        <f t="shared" si="4"/>
        <v>0</v>
      </c>
      <c r="M75" s="277"/>
      <c r="O75" s="121">
        <f>MATCH(B75,'42-02-07, 42-02-15 תיאטרון'!$A$5:$A$31,0)</f>
        <v>2</v>
      </c>
      <c r="P75" s="121" t="e">
        <f>MATCH(B75,'42-02-07, 42-02-15 תיאטרון'!$A$34:$A$96,0)</f>
        <v>#N/A</v>
      </c>
      <c r="Q75" s="121" t="e">
        <f>MATCH(B75,'42-02-07, 42-02-15 תיאטרון'!$A$98:$A$100,0)</f>
        <v>#N/A</v>
      </c>
    </row>
    <row r="76" spans="1:17" x14ac:dyDescent="0.2">
      <c r="A76" s="249" t="s">
        <v>553</v>
      </c>
      <c r="B76" s="249">
        <v>510341993</v>
      </c>
      <c r="C76" s="275">
        <v>1000545212</v>
      </c>
      <c r="D76" s="249">
        <v>40000254</v>
      </c>
      <c r="E76" s="249">
        <v>3823436</v>
      </c>
      <c r="F76" s="249">
        <v>3727605</v>
      </c>
      <c r="G76" s="249">
        <v>3857617</v>
      </c>
      <c r="H76" s="249">
        <v>4050683</v>
      </c>
      <c r="I76" s="249">
        <v>3951183</v>
      </c>
      <c r="J76" s="150">
        <v>4326383</v>
      </c>
      <c r="K76" s="150">
        <v>4326383</v>
      </c>
      <c r="L76" s="150">
        <f t="shared" si="4"/>
        <v>0</v>
      </c>
      <c r="M76" s="278"/>
      <c r="O76" s="121">
        <f>MATCH(B76,'42-02-07, 42-02-15 תיאטרון'!$A$5:$A$31,0)</f>
        <v>5</v>
      </c>
      <c r="P76" s="121" t="e">
        <f>MATCH(B76,'42-02-07, 42-02-15 תיאטרון'!$A$34:$A$96,0)</f>
        <v>#N/A</v>
      </c>
      <c r="Q76" s="121" t="e">
        <f>MATCH(B76,'42-02-07, 42-02-15 תיאטרון'!$A$98:$A$100,0)</f>
        <v>#N/A</v>
      </c>
    </row>
    <row r="77" spans="1:17" ht="25.5" x14ac:dyDescent="0.2">
      <c r="A77" s="249" t="s">
        <v>554</v>
      </c>
      <c r="B77" s="249">
        <v>580392165</v>
      </c>
      <c r="C77" s="275">
        <v>1000533175</v>
      </c>
      <c r="D77" s="249">
        <v>40113010</v>
      </c>
      <c r="E77" s="249">
        <v>307888</v>
      </c>
      <c r="F77" s="249">
        <v>105236</v>
      </c>
      <c r="G77" s="249">
        <v>212658</v>
      </c>
      <c r="H77" s="249">
        <v>335910</v>
      </c>
      <c r="I77" s="249">
        <v>420824</v>
      </c>
      <c r="J77" s="150">
        <v>436399</v>
      </c>
      <c r="K77" s="150">
        <v>436399</v>
      </c>
      <c r="L77" s="150">
        <f t="shared" si="4"/>
        <v>0</v>
      </c>
      <c r="M77" s="51"/>
      <c r="O77" s="121">
        <f>MATCH(B77,'42-02-07, 42-02-15 תיאטרון'!$A$5:$A$31,0)</f>
        <v>19</v>
      </c>
      <c r="P77" s="121" t="e">
        <f>MATCH(B77,'42-02-07, 42-02-15 תיאטרון'!$A$34:$A$96,0)</f>
        <v>#N/A</v>
      </c>
      <c r="Q77" s="121" t="e">
        <f>MATCH(B77,'42-02-07, 42-02-15 תיאטרון'!$A$98:$A$100,0)</f>
        <v>#N/A</v>
      </c>
    </row>
    <row r="78" spans="1:17" x14ac:dyDescent="0.2">
      <c r="A78" s="51" t="s">
        <v>555</v>
      </c>
      <c r="B78" s="105">
        <v>580190080</v>
      </c>
      <c r="C78" s="151">
        <v>1000596091</v>
      </c>
      <c r="D78" s="48">
        <v>40000171</v>
      </c>
      <c r="E78" s="46">
        <v>6606315</v>
      </c>
      <c r="F78" s="46">
        <v>7059882</v>
      </c>
      <c r="G78" s="46">
        <v>6811209</v>
      </c>
      <c r="H78" s="46">
        <v>6217068</v>
      </c>
      <c r="I78" s="46">
        <v>5596030</v>
      </c>
      <c r="J78" s="150">
        <v>5215883</v>
      </c>
      <c r="K78" s="150">
        <v>5215883</v>
      </c>
      <c r="L78" s="150">
        <f t="shared" si="4"/>
        <v>0</v>
      </c>
      <c r="M78" s="79"/>
      <c r="O78" s="121">
        <f>MATCH(B78,'42-02-07, 42-02-15 תיאטרון'!$A$5:$A$31,0)</f>
        <v>6</v>
      </c>
      <c r="P78" s="121" t="e">
        <f>MATCH(B78,'42-02-07, 42-02-15 תיאטרון'!$A$34:$A$96,0)</f>
        <v>#N/A</v>
      </c>
      <c r="Q78" s="121" t="e">
        <f>MATCH(B78,'42-02-07, 42-02-15 תיאטרון'!$A$98:$A$100,0)</f>
        <v>#N/A</v>
      </c>
    </row>
    <row r="79" spans="1:17" x14ac:dyDescent="0.2">
      <c r="A79" s="51" t="s">
        <v>420</v>
      </c>
      <c r="B79" s="105">
        <v>580215846</v>
      </c>
      <c r="C79" s="151">
        <v>1000542705</v>
      </c>
      <c r="D79" s="48">
        <v>40000567</v>
      </c>
      <c r="E79" s="46">
        <v>1173380</v>
      </c>
      <c r="F79" s="119">
        <v>968488</v>
      </c>
      <c r="G79" s="119">
        <v>1429571</v>
      </c>
      <c r="H79" s="46">
        <v>1684929</v>
      </c>
      <c r="I79" s="46">
        <v>1938022</v>
      </c>
      <c r="J79" s="150">
        <v>2853738</v>
      </c>
      <c r="K79" s="150">
        <v>2853738</v>
      </c>
      <c r="L79" s="150">
        <f t="shared" si="4"/>
        <v>0</v>
      </c>
      <c r="M79" s="279"/>
      <c r="O79" s="121">
        <f>MATCH(B79,'42-02-07, 42-02-15 תיאטרון'!$A$5:$A$31,0)</f>
        <v>21</v>
      </c>
      <c r="P79" s="121" t="e">
        <f>MATCH(B79,'42-02-07, 42-02-15 תיאטרון'!$A$34:$A$96,0)</f>
        <v>#N/A</v>
      </c>
      <c r="Q79" s="121" t="e">
        <f>MATCH(B79,'42-02-07, 42-02-15 תיאטרון'!$A$98:$A$100,0)</f>
        <v>#N/A</v>
      </c>
    </row>
    <row r="80" spans="1:17" x14ac:dyDescent="0.2">
      <c r="A80" s="51" t="s">
        <v>556</v>
      </c>
      <c r="B80" s="50">
        <v>514628247</v>
      </c>
      <c r="C80" s="151">
        <v>1000553664</v>
      </c>
      <c r="D80" s="48">
        <v>40820736</v>
      </c>
      <c r="E80" s="46">
        <v>16727669</v>
      </c>
      <c r="F80" s="119">
        <v>17375513</v>
      </c>
      <c r="G80" s="119">
        <v>17124968</v>
      </c>
      <c r="H80" s="46">
        <v>15846720</v>
      </c>
      <c r="I80" s="46">
        <v>17111031</v>
      </c>
      <c r="J80" s="150">
        <v>16269085</v>
      </c>
      <c r="K80" s="150">
        <v>16269085</v>
      </c>
      <c r="L80" s="150">
        <f t="shared" si="4"/>
        <v>0</v>
      </c>
      <c r="M80" s="79"/>
      <c r="O80" s="121">
        <f>MATCH(B80,'42-02-07, 42-02-15 תיאטרון'!$A$5:$A$31,0)</f>
        <v>1</v>
      </c>
      <c r="P80" s="121" t="e">
        <f>MATCH(B80,'42-02-07, 42-02-15 תיאטרון'!$A$34:$A$96,0)</f>
        <v>#N/A</v>
      </c>
      <c r="Q80" s="121" t="e">
        <f>MATCH(B80,'42-02-07, 42-02-15 תיאטרון'!$A$98:$A$100,0)</f>
        <v>#N/A</v>
      </c>
    </row>
    <row r="81" spans="1:17" ht="25.5" x14ac:dyDescent="0.2">
      <c r="A81" s="51" t="s">
        <v>557</v>
      </c>
      <c r="B81" s="105">
        <v>580037745</v>
      </c>
      <c r="C81" s="151">
        <v>1000537712</v>
      </c>
      <c r="D81" s="48">
        <v>40000095</v>
      </c>
      <c r="E81" s="272">
        <v>1490443</v>
      </c>
      <c r="F81" s="272">
        <v>1541670</v>
      </c>
      <c r="G81" s="272">
        <v>1423049</v>
      </c>
      <c r="H81" s="46">
        <v>1223916</v>
      </c>
      <c r="I81" s="46">
        <v>1179086</v>
      </c>
      <c r="J81" s="150">
        <v>1235032</v>
      </c>
      <c r="K81" s="150">
        <v>1235032</v>
      </c>
      <c r="L81" s="150">
        <f>J81-K81</f>
        <v>0</v>
      </c>
      <c r="M81" s="51"/>
      <c r="O81" s="121">
        <f>MATCH(B81,'42-02-07, 42-02-15 תיאטרון'!$A$5:$A$31,0)</f>
        <v>15</v>
      </c>
      <c r="P81" s="121" t="e">
        <f>MATCH(B81,'42-02-07, 42-02-15 תיאטרון'!$A$34:$A$96,0)</f>
        <v>#N/A</v>
      </c>
      <c r="Q81" s="121" t="e">
        <f>MATCH(B81,'42-02-07, 42-02-15 תיאטרון'!$A$98:$A$100,0)</f>
        <v>#N/A</v>
      </c>
    </row>
    <row r="82" spans="1:17" ht="25.5" x14ac:dyDescent="0.2">
      <c r="A82" s="45" t="s">
        <v>558</v>
      </c>
      <c r="B82" s="66">
        <v>512287350</v>
      </c>
      <c r="C82" s="280">
        <v>1000551793</v>
      </c>
      <c r="D82" s="48">
        <v>40000293</v>
      </c>
      <c r="E82" s="46">
        <v>327655</v>
      </c>
      <c r="F82" s="119">
        <v>477603</v>
      </c>
      <c r="G82" s="119">
        <v>644497</v>
      </c>
      <c r="H82" s="46">
        <v>797933</v>
      </c>
      <c r="I82" s="46">
        <v>870620</v>
      </c>
      <c r="J82" s="150">
        <v>1303577</v>
      </c>
      <c r="K82" s="150">
        <v>1303577</v>
      </c>
      <c r="L82" s="150">
        <f>J82-K82</f>
        <v>0</v>
      </c>
      <c r="M82" s="88"/>
      <c r="O82" s="121">
        <f>MATCH(B82,'42-02-07, 42-02-15 תיאטרון'!$A$5:$A$31,0)</f>
        <v>27</v>
      </c>
      <c r="P82" s="121" t="e">
        <f>MATCH(B82,'42-02-07, 42-02-15 תיאטרון'!$A$34:$A$96,0)</f>
        <v>#N/A</v>
      </c>
      <c r="Q82" s="121" t="e">
        <f>MATCH(B82,'42-02-07, 42-02-15 תיאטרון'!$A$98:$A$100,0)</f>
        <v>#N/A</v>
      </c>
    </row>
    <row r="83" spans="1:17" ht="25.5" x14ac:dyDescent="0.2">
      <c r="A83" s="249" t="s">
        <v>559</v>
      </c>
      <c r="B83" s="249">
        <v>580010684</v>
      </c>
      <c r="C83" s="275">
        <v>1000535996</v>
      </c>
      <c r="D83" s="249">
        <v>40000060</v>
      </c>
      <c r="E83" s="249">
        <v>1352027</v>
      </c>
      <c r="F83" s="249">
        <v>1361474</v>
      </c>
      <c r="G83" s="249">
        <v>1274700</v>
      </c>
      <c r="H83" s="249">
        <v>1405271</v>
      </c>
      <c r="I83" s="249">
        <v>1532468</v>
      </c>
      <c r="J83" s="150">
        <v>1612256</v>
      </c>
      <c r="K83" s="150">
        <v>1612256</v>
      </c>
      <c r="L83" s="150">
        <f>J83-K83</f>
        <v>0</v>
      </c>
      <c r="M83" s="92"/>
      <c r="O83" s="121">
        <f>MATCH(B83,'42-02-07, 42-02-15 תיאטרון'!$A$5:$A$31,0)</f>
        <v>14</v>
      </c>
      <c r="P83" s="121" t="e">
        <f>MATCH(B83,'42-02-07, 42-02-15 תיאטרון'!$A$34:$A$96,0)</f>
        <v>#N/A</v>
      </c>
      <c r="Q83" s="121" t="e">
        <f>MATCH(B83,'42-02-07, 42-02-15 תיאטרון'!$A$98:$A$100,0)</f>
        <v>#N/A</v>
      </c>
    </row>
    <row r="84" spans="1:17" ht="25.5" x14ac:dyDescent="0.2">
      <c r="A84" s="72" t="s">
        <v>560</v>
      </c>
      <c r="B84" s="182">
        <v>580276764</v>
      </c>
      <c r="C84" s="151">
        <v>1000542605</v>
      </c>
      <c r="D84" s="48">
        <v>40000644</v>
      </c>
      <c r="E84" s="46">
        <v>423170</v>
      </c>
      <c r="F84" s="119">
        <v>588246</v>
      </c>
      <c r="G84" s="119">
        <v>601627</v>
      </c>
      <c r="H84" s="46">
        <v>711880</v>
      </c>
      <c r="I84" s="46">
        <v>718666</v>
      </c>
      <c r="J84" s="150">
        <v>838054</v>
      </c>
      <c r="K84" s="150">
        <v>838054</v>
      </c>
      <c r="L84" s="150">
        <f t="shared" ref="L84" si="5">J84-K84</f>
        <v>0</v>
      </c>
      <c r="M84" s="75"/>
      <c r="O84" s="121">
        <f>MATCH(B84,'42-02-07, 42-02-15 תיאטרון'!$A$5:$A$31,0)</f>
        <v>18</v>
      </c>
      <c r="P84" s="121" t="e">
        <f>MATCH(B84,'42-02-07, 42-02-15 תיאטרון'!$A$34:$A$96,0)</f>
        <v>#N/A</v>
      </c>
      <c r="Q84" s="121" t="e">
        <f>MATCH(B84,'42-02-07, 42-02-15 תיאטרון'!$A$98:$A$100,0)</f>
        <v>#N/A</v>
      </c>
    </row>
    <row r="85" spans="1:17" x14ac:dyDescent="0.2">
      <c r="A85" s="249" t="s">
        <v>414</v>
      </c>
      <c r="B85" s="249">
        <v>580234995</v>
      </c>
      <c r="C85" s="275">
        <v>1000538027</v>
      </c>
      <c r="D85" s="249">
        <v>40000192</v>
      </c>
      <c r="E85" s="249">
        <v>752634</v>
      </c>
      <c r="F85" s="250">
        <v>730690</v>
      </c>
      <c r="G85" s="250">
        <v>847414</v>
      </c>
      <c r="H85" s="249">
        <v>873587</v>
      </c>
      <c r="I85" s="249">
        <v>981933</v>
      </c>
      <c r="J85" s="150">
        <v>906286</v>
      </c>
      <c r="K85" s="150">
        <v>906286</v>
      </c>
      <c r="L85" s="150">
        <f>J85-K85</f>
        <v>0</v>
      </c>
      <c r="M85" s="71"/>
      <c r="O85" s="121">
        <f>MATCH(B85,'42-02-07, 42-02-15 תיאטרון'!$A$5:$A$31,0)</f>
        <v>17</v>
      </c>
      <c r="P85" s="121" t="e">
        <f>MATCH(B85,'42-02-07, 42-02-15 תיאטרון'!$A$34:$A$96,0)</f>
        <v>#N/A</v>
      </c>
      <c r="Q85" s="121" t="e">
        <f>MATCH(B85,'42-02-07, 42-02-15 תיאטרון'!$A$98:$A$100,0)</f>
        <v>#N/A</v>
      </c>
    </row>
    <row r="86" spans="1:17" x14ac:dyDescent="0.2">
      <c r="A86" s="51" t="s">
        <v>561</v>
      </c>
      <c r="B86" s="105">
        <v>580352490</v>
      </c>
      <c r="C86" s="151">
        <v>1000546337</v>
      </c>
      <c r="D86" s="48">
        <v>40000242</v>
      </c>
      <c r="E86" s="46">
        <v>1165730</v>
      </c>
      <c r="F86" s="119">
        <v>944185</v>
      </c>
      <c r="G86" s="119">
        <v>959224</v>
      </c>
      <c r="H86" s="46">
        <v>987009</v>
      </c>
      <c r="I86" s="46">
        <v>950266</v>
      </c>
      <c r="J86" s="150">
        <v>875436</v>
      </c>
      <c r="K86" s="150">
        <v>875436</v>
      </c>
      <c r="L86" s="150">
        <f t="shared" si="4"/>
        <v>0</v>
      </c>
      <c r="M86" s="88"/>
      <c r="O86" s="121">
        <f>MATCH(B86,'42-02-07, 42-02-15 תיאטרון'!$A$5:$A$31,0)</f>
        <v>9</v>
      </c>
      <c r="P86" s="121" t="e">
        <f>MATCH(B86,'42-02-07, 42-02-15 תיאטרון'!$A$34:$A$96,0)</f>
        <v>#N/A</v>
      </c>
      <c r="Q86" s="121" t="e">
        <f>MATCH(B86,'42-02-07, 42-02-15 תיאטרון'!$A$98:$A$100,0)</f>
        <v>#N/A</v>
      </c>
    </row>
    <row r="87" spans="1:17" x14ac:dyDescent="0.2">
      <c r="A87" s="51" t="s">
        <v>410</v>
      </c>
      <c r="B87" s="105">
        <v>580516805</v>
      </c>
      <c r="C87" s="151">
        <v>1000542706</v>
      </c>
      <c r="D87" s="48">
        <v>40527701</v>
      </c>
      <c r="E87" s="46">
        <v>545229</v>
      </c>
      <c r="F87" s="46">
        <v>535832</v>
      </c>
      <c r="G87" s="46">
        <v>440639</v>
      </c>
      <c r="H87" s="119">
        <v>578777</v>
      </c>
      <c r="I87" s="46">
        <v>572368</v>
      </c>
      <c r="J87" s="150">
        <v>541544</v>
      </c>
      <c r="K87" s="150">
        <v>541544</v>
      </c>
      <c r="L87" s="150">
        <f>J87-K87</f>
        <v>0</v>
      </c>
      <c r="M87" s="79"/>
      <c r="O87" s="121">
        <f>MATCH(B87,'42-02-07, 42-02-15 תיאטרון'!$A$5:$A$31,0)</f>
        <v>13</v>
      </c>
      <c r="P87" s="121" t="e">
        <f>MATCH(B87,'42-02-07, 42-02-15 תיאטרון'!$A$34:$A$96,0)</f>
        <v>#N/A</v>
      </c>
      <c r="Q87" s="121" t="e">
        <f>MATCH(B87,'42-02-07, 42-02-15 תיאטרון'!$A$98:$A$100,0)</f>
        <v>#N/A</v>
      </c>
    </row>
    <row r="88" spans="1:17" x14ac:dyDescent="0.2">
      <c r="A88" s="51" t="s">
        <v>562</v>
      </c>
      <c r="B88" s="105">
        <v>580082824</v>
      </c>
      <c r="C88" s="151">
        <v>1000533794</v>
      </c>
      <c r="D88" s="48">
        <v>40000448</v>
      </c>
      <c r="E88" s="46">
        <v>1531480</v>
      </c>
      <c r="F88" s="119">
        <v>1519814</v>
      </c>
      <c r="G88" s="119">
        <v>1393542</v>
      </c>
      <c r="H88" s="46">
        <v>1289495</v>
      </c>
      <c r="I88" s="46">
        <v>1322854</v>
      </c>
      <c r="J88" s="150">
        <v>1290486</v>
      </c>
      <c r="K88" s="150">
        <v>1290486</v>
      </c>
      <c r="L88" s="150">
        <f>J88-K88</f>
        <v>0</v>
      </c>
      <c r="M88" s="92"/>
      <c r="O88" s="121">
        <f>MATCH(B88,'42-02-07, 42-02-15 תיאטרון'!$A$5:$A$31,0)</f>
        <v>10</v>
      </c>
      <c r="P88" s="121" t="e">
        <f>MATCH(B88,'42-02-07, 42-02-15 תיאטרון'!$A$34:$A$96,0)</f>
        <v>#N/A</v>
      </c>
      <c r="Q88" s="121" t="e">
        <f>MATCH(B88,'42-02-07, 42-02-15 תיאטרון'!$A$98:$A$100,0)</f>
        <v>#N/A</v>
      </c>
    </row>
    <row r="89" spans="1:17" ht="25.5" x14ac:dyDescent="0.2">
      <c r="A89" s="249" t="s">
        <v>407</v>
      </c>
      <c r="B89" s="249">
        <v>580446433</v>
      </c>
      <c r="C89" s="275">
        <v>1000532605</v>
      </c>
      <c r="D89" s="249">
        <v>40221588</v>
      </c>
      <c r="E89" s="249">
        <v>618860</v>
      </c>
      <c r="F89" s="250">
        <v>635127</v>
      </c>
      <c r="G89" s="250">
        <v>579232</v>
      </c>
      <c r="H89" s="249">
        <v>698008</v>
      </c>
      <c r="I89" s="249">
        <v>673303</v>
      </c>
      <c r="J89" s="150">
        <v>673232</v>
      </c>
      <c r="K89" s="150">
        <v>673232</v>
      </c>
      <c r="L89" s="150">
        <f>J89-K89</f>
        <v>0</v>
      </c>
      <c r="M89" s="79"/>
      <c r="O89" s="121">
        <f>MATCH(B89,'42-02-07, 42-02-15 תיאטרון'!$A$5:$A$31,0)</f>
        <v>11</v>
      </c>
      <c r="P89" s="121" t="e">
        <f>MATCH(B89,'42-02-07, 42-02-15 תיאטרון'!$A$34:$A$96,0)</f>
        <v>#N/A</v>
      </c>
      <c r="Q89" s="121" t="e">
        <f>MATCH(B89,'42-02-07, 42-02-15 תיאטרון'!$A$98:$A$100,0)</f>
        <v>#N/A</v>
      </c>
    </row>
    <row r="90" spans="1:17" ht="25.5" x14ac:dyDescent="0.2">
      <c r="A90" s="249" t="s">
        <v>563</v>
      </c>
      <c r="B90" s="249">
        <v>580097210</v>
      </c>
      <c r="C90" s="276">
        <v>1000532243</v>
      </c>
      <c r="D90" s="249">
        <v>40000132</v>
      </c>
      <c r="E90" s="249">
        <v>636413</v>
      </c>
      <c r="F90" s="250">
        <v>622578</v>
      </c>
      <c r="G90" s="250">
        <v>633776</v>
      </c>
      <c r="H90" s="249">
        <v>700415</v>
      </c>
      <c r="I90" s="249">
        <v>632460</v>
      </c>
      <c r="J90" s="150">
        <v>615874</v>
      </c>
      <c r="K90" s="150">
        <v>615874</v>
      </c>
      <c r="L90" s="150">
        <f t="shared" ref="L90" si="6">J90-K90</f>
        <v>0</v>
      </c>
      <c r="M90" s="79"/>
      <c r="O90" s="121">
        <f>MATCH(B90,'42-02-07, 42-02-15 תיאטרון'!$A$5:$A$31,0)</f>
        <v>16</v>
      </c>
      <c r="P90" s="121" t="e">
        <f>MATCH(B90,'42-02-07, 42-02-15 תיאטרון'!$A$34:$A$96,0)</f>
        <v>#N/A</v>
      </c>
      <c r="Q90" s="121" t="e">
        <f>MATCH(B90,'42-02-07, 42-02-15 תיאטרון'!$A$98:$A$100,0)</f>
        <v>#N/A</v>
      </c>
    </row>
    <row r="91" spans="1:17" x14ac:dyDescent="0.2">
      <c r="A91" s="72" t="s">
        <v>564</v>
      </c>
      <c r="B91" s="53">
        <v>580402345</v>
      </c>
      <c r="C91" s="151">
        <v>1000545198</v>
      </c>
      <c r="D91" s="48">
        <v>40216107</v>
      </c>
      <c r="E91" s="46">
        <v>314998</v>
      </c>
      <c r="F91" s="46">
        <v>353513</v>
      </c>
      <c r="G91" s="46">
        <v>359363</v>
      </c>
      <c r="H91" s="46">
        <v>461856</v>
      </c>
      <c r="I91" s="46">
        <f>453416-200000</f>
        <v>253416</v>
      </c>
      <c r="J91" s="150">
        <v>444976</v>
      </c>
      <c r="K91" s="150">
        <v>444976</v>
      </c>
      <c r="L91" s="150">
        <f>J91-K91</f>
        <v>0</v>
      </c>
      <c r="M91" s="248"/>
      <c r="O91" s="121">
        <f>MATCH(B91,'42-02-07, 42-02-15 תיאטרון'!$A$5:$A$31,0)</f>
        <v>20</v>
      </c>
      <c r="P91" s="121" t="e">
        <f>MATCH(B91,'42-02-07, 42-02-15 תיאטרון'!$A$34:$A$96,0)</f>
        <v>#N/A</v>
      </c>
      <c r="Q91" s="121" t="e">
        <f>MATCH(B91,'42-02-07, 42-02-15 תיאטרון'!$A$98:$A$100,0)</f>
        <v>#N/A</v>
      </c>
    </row>
    <row r="92" spans="1:17" ht="25.5" x14ac:dyDescent="0.2">
      <c r="A92" s="51" t="s">
        <v>565</v>
      </c>
      <c r="B92" s="105">
        <v>580272086</v>
      </c>
      <c r="C92" s="151">
        <v>1000596092</v>
      </c>
      <c r="D92" s="48">
        <v>40000210</v>
      </c>
      <c r="E92" s="46">
        <v>1260936</v>
      </c>
      <c r="F92" s="46">
        <v>1051936</v>
      </c>
      <c r="G92" s="46">
        <v>992998</v>
      </c>
      <c r="H92" s="46">
        <v>1075270</v>
      </c>
      <c r="I92" s="46">
        <v>1041491</v>
      </c>
      <c r="J92" s="150">
        <v>1027965</v>
      </c>
      <c r="K92" s="150">
        <v>1027965</v>
      </c>
      <c r="L92" s="150">
        <f>J92-K92</f>
        <v>0</v>
      </c>
      <c r="M92" s="92"/>
      <c r="O92" s="121" t="e">
        <f>MATCH(B92,'42-02-07, 42-02-15 תיאטרון'!$A$5:$A$31,0)</f>
        <v>#N/A</v>
      </c>
      <c r="P92" s="121" t="e">
        <f>MATCH(B92,'42-02-07, 42-02-15 תיאטרון'!$A$34:$A$96,0)</f>
        <v>#N/A</v>
      </c>
      <c r="Q92" s="121" t="e">
        <f>MATCH(B92,'42-02-07, 42-02-15 תיאטרון'!$A$98:$A$100,0)</f>
        <v>#N/A</v>
      </c>
    </row>
    <row r="93" spans="1:17" ht="25.5" x14ac:dyDescent="0.2">
      <c r="A93" s="45" t="s">
        <v>566</v>
      </c>
      <c r="B93" s="66">
        <v>580502946</v>
      </c>
      <c r="C93" s="151">
        <v>1000551161</v>
      </c>
      <c r="D93" s="48">
        <v>40465932</v>
      </c>
      <c r="E93" s="46">
        <v>135000</v>
      </c>
      <c r="F93" s="46">
        <v>147778</v>
      </c>
      <c r="G93" s="119">
        <v>151433</v>
      </c>
      <c r="H93" s="46">
        <v>150000</v>
      </c>
      <c r="I93" s="46">
        <v>529362</v>
      </c>
      <c r="J93" s="150">
        <v>843420</v>
      </c>
      <c r="K93" s="150">
        <v>843420</v>
      </c>
      <c r="L93" s="150">
        <f>J93-K93</f>
        <v>0</v>
      </c>
      <c r="M93" s="76"/>
      <c r="O93" s="121">
        <f>MATCH(B93,'42-02-07, 42-02-15 תיאטרון'!$A$5:$A$31,0)</f>
        <v>24</v>
      </c>
      <c r="P93" s="121" t="e">
        <f>MATCH(B93,'42-02-07, 42-02-15 תיאטרון'!$A$34:$A$96,0)</f>
        <v>#N/A</v>
      </c>
      <c r="Q93" s="121" t="e">
        <f>MATCH(B93,'42-02-07, 42-02-15 תיאטרון'!$A$98:$A$100,0)</f>
        <v>#N/A</v>
      </c>
    </row>
    <row r="94" spans="1:17" x14ac:dyDescent="0.2">
      <c r="A94" s="55" t="s">
        <v>567</v>
      </c>
      <c r="B94" s="182">
        <v>580423168</v>
      </c>
      <c r="C94" s="151">
        <v>1000544884</v>
      </c>
      <c r="D94" s="48">
        <v>40221579</v>
      </c>
      <c r="E94" s="46">
        <v>81430</v>
      </c>
      <c r="F94" s="119">
        <v>124370</v>
      </c>
      <c r="G94" s="119">
        <v>84626</v>
      </c>
      <c r="H94" s="46">
        <v>328956</v>
      </c>
      <c r="I94" s="46">
        <v>654597</v>
      </c>
      <c r="J94" s="150">
        <v>777619</v>
      </c>
      <c r="K94" s="150">
        <v>777619</v>
      </c>
      <c r="L94" s="150">
        <f>J94-K94</f>
        <v>0</v>
      </c>
      <c r="M94" s="92"/>
      <c r="O94" s="121" t="e">
        <f>MATCH(B94,'42-02-07, 42-02-15 תיאטרון'!$A$5:$A$31,0)</f>
        <v>#N/A</v>
      </c>
      <c r="P94" s="121" t="e">
        <f>MATCH(B94,'42-02-07, 42-02-15 תיאטרון'!$A$34:$A$96,0)</f>
        <v>#N/A</v>
      </c>
      <c r="Q94" s="121" t="e">
        <f>MATCH(B94,'42-02-07, 42-02-15 תיאטרון'!$A$98:$A$100,0)</f>
        <v>#N/A</v>
      </c>
    </row>
    <row r="95" spans="1:17" x14ac:dyDescent="0.2">
      <c r="A95" s="249" t="s">
        <v>568</v>
      </c>
      <c r="B95" s="249">
        <v>580013167</v>
      </c>
      <c r="C95" s="275">
        <v>1000538831</v>
      </c>
      <c r="D95" s="249">
        <v>40000062</v>
      </c>
      <c r="E95" s="249">
        <v>3842578</v>
      </c>
      <c r="F95" s="249">
        <v>4222498</v>
      </c>
      <c r="G95" s="249">
        <v>4475570</v>
      </c>
      <c r="H95" s="249">
        <v>4588928</v>
      </c>
      <c r="I95" s="249">
        <v>4832749</v>
      </c>
      <c r="J95" s="150">
        <v>4995736</v>
      </c>
      <c r="K95" s="150">
        <v>4995736</v>
      </c>
      <c r="L95" s="150">
        <f t="shared" si="4"/>
        <v>0</v>
      </c>
      <c r="M95" s="71"/>
      <c r="O95" s="121">
        <f>MATCH(B95,'42-02-07, 42-02-15 תיאטרון'!$A$5:$A$31,0)</f>
        <v>12</v>
      </c>
      <c r="P95" s="121" t="e">
        <f>MATCH(B95,'42-02-07, 42-02-15 תיאטרון'!$A$34:$A$96,0)</f>
        <v>#N/A</v>
      </c>
      <c r="Q95" s="121" t="e">
        <f>MATCH(B95,'42-02-07, 42-02-15 תיאטרון'!$A$98:$A$100,0)</f>
        <v>#N/A</v>
      </c>
    </row>
    <row r="96" spans="1:17" x14ac:dyDescent="0.2">
      <c r="A96" s="51" t="s">
        <v>403</v>
      </c>
      <c r="B96" s="105">
        <v>580051902</v>
      </c>
      <c r="C96" s="151">
        <v>1000536691</v>
      </c>
      <c r="D96" s="48">
        <v>40000402</v>
      </c>
      <c r="E96" s="46">
        <v>5465254</v>
      </c>
      <c r="F96" s="46">
        <v>5940504</v>
      </c>
      <c r="G96" s="46">
        <v>5379754</v>
      </c>
      <c r="H96" s="46">
        <v>5621739</v>
      </c>
      <c r="I96" s="46">
        <v>5918581</v>
      </c>
      <c r="J96" s="150">
        <v>5732670</v>
      </c>
      <c r="K96" s="150">
        <v>5732670</v>
      </c>
      <c r="L96" s="150">
        <f t="shared" si="4"/>
        <v>0</v>
      </c>
      <c r="M96" s="75"/>
      <c r="O96" s="121">
        <f>MATCH(B96,'42-02-07, 42-02-15 תיאטרון'!$A$5:$A$31,0)</f>
        <v>7</v>
      </c>
      <c r="P96" s="121" t="e">
        <f>MATCH(B96,'42-02-07, 42-02-15 תיאטרון'!$A$34:$A$96,0)</f>
        <v>#N/A</v>
      </c>
      <c r="Q96" s="121" t="e">
        <f>MATCH(B96,'42-02-07, 42-02-15 תיאטרון'!$A$98:$A$100,0)</f>
        <v>#N/A</v>
      </c>
    </row>
    <row r="97" spans="1:17" x14ac:dyDescent="0.2">
      <c r="A97" s="249" t="s">
        <v>569</v>
      </c>
      <c r="B97" s="249">
        <v>580477982</v>
      </c>
      <c r="C97" s="275">
        <v>1000532678</v>
      </c>
      <c r="D97" s="249">
        <v>40461779</v>
      </c>
      <c r="E97" s="249">
        <v>0</v>
      </c>
      <c r="F97" s="249">
        <v>0</v>
      </c>
      <c r="G97" s="249">
        <v>0</v>
      </c>
      <c r="H97" s="249">
        <v>333994</v>
      </c>
      <c r="I97" s="249">
        <v>509742</v>
      </c>
      <c r="J97" s="150">
        <v>635193</v>
      </c>
      <c r="K97" s="150">
        <v>635193</v>
      </c>
      <c r="L97" s="150">
        <f t="shared" si="4"/>
        <v>0</v>
      </c>
      <c r="M97" s="79"/>
      <c r="O97" s="121">
        <f>MATCH(B97,'42-02-07, 42-02-15 תיאטרון'!$A$5:$A$31,0)</f>
        <v>23</v>
      </c>
      <c r="P97" s="121" t="e">
        <f>MATCH(B97,'42-02-07, 42-02-15 תיאטרון'!$A$34:$A$96,0)</f>
        <v>#N/A</v>
      </c>
      <c r="Q97" s="121" t="e">
        <f>MATCH(B97,'42-02-07, 42-02-15 תיאטרון'!$A$98:$A$100,0)</f>
        <v>#N/A</v>
      </c>
    </row>
    <row r="98" spans="1:17" x14ac:dyDescent="0.2">
      <c r="J98" s="281">
        <f>SUM(J3:J97)</f>
        <v>103651999</v>
      </c>
      <c r="K98" s="150">
        <f>SUM(K72:K97)</f>
        <v>85999999</v>
      </c>
    </row>
  </sheetData>
  <conditionalFormatting sqref="O3:Q97">
    <cfRule type="containsErrors" dxfId="12" priority="1">
      <formula>ISERROR(O3)</formula>
    </cfRule>
  </conditionalFormatting>
  <pageMargins left="0.11811023622047245" right="0.15748031496062992" top="0.47244094488188981" bottom="0.47244094488188981" header="0.15748031496062992" footer="0.19685039370078741"/>
  <pageSetup paperSize="9" scale="80" orientation="landscape" r:id="rId1"/>
  <headerFooter alignWithMargins="0">
    <oddHeader>&amp;C&amp;"Guttman Yad-Brush,רגיל"&amp;14תקנת קבוצות תיאטרון - 42-02-07</oddHeader>
    <oddFooter>&amp;L&amp;D&amp;C&amp;P</oddFooter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HG80"/>
  <sheetViews>
    <sheetView rightToLeft="1" zoomScale="80" zoomScaleNormal="80" workbookViewId="0">
      <pane ySplit="1" topLeftCell="A2" activePane="bottomLeft" state="frozen"/>
      <selection pane="bottomLeft" activeCell="B3" sqref="B3"/>
    </sheetView>
  </sheetViews>
  <sheetFormatPr defaultRowHeight="14.25" x14ac:dyDescent="0.2"/>
  <cols>
    <col min="1" max="1" width="27.7109375" style="322" customWidth="1"/>
    <col min="2" max="2" width="12.5703125" style="322" customWidth="1"/>
    <col min="3" max="3" width="14.42578125" style="322" customWidth="1"/>
    <col min="4" max="4" width="13.85546875" style="322" customWidth="1"/>
    <col min="5" max="7" width="10.28515625" style="322" hidden="1" customWidth="1"/>
    <col min="8" max="8" width="11.42578125" style="322" hidden="1" customWidth="1"/>
    <col min="9" max="9" width="12.5703125" style="322" hidden="1" customWidth="1"/>
    <col min="10" max="10" width="12.85546875" style="322" customWidth="1"/>
    <col min="11" max="12" width="12" style="322" customWidth="1"/>
    <col min="13" max="13" width="32" style="322" customWidth="1"/>
    <col min="14" max="16384" width="9.140625" style="322"/>
  </cols>
  <sheetData>
    <row r="1" spans="1:215" s="99" customFormat="1" ht="48.75" customHeight="1" x14ac:dyDescent="0.2">
      <c r="A1" s="142" t="s">
        <v>273</v>
      </c>
      <c r="B1" s="142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3" t="s">
        <v>269</v>
      </c>
      <c r="K1" s="103" t="s">
        <v>268</v>
      </c>
      <c r="L1" s="103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</row>
    <row r="2" spans="1:215" s="41" customFormat="1" ht="37.5" customHeight="1" x14ac:dyDescent="0.2">
      <c r="A2" s="145" t="s">
        <v>570</v>
      </c>
      <c r="B2" s="283"/>
      <c r="C2" s="283"/>
      <c r="D2" s="283"/>
      <c r="E2" s="283"/>
      <c r="F2" s="283"/>
      <c r="G2" s="283"/>
      <c r="H2" s="283"/>
      <c r="I2" s="283"/>
    </row>
    <row r="3" spans="1:215" s="62" customFormat="1" ht="46.5" customHeight="1" x14ac:dyDescent="0.2">
      <c r="A3" s="55" t="s">
        <v>571</v>
      </c>
      <c r="B3" s="50">
        <v>580310290</v>
      </c>
      <c r="C3" s="49">
        <v>1000553450</v>
      </c>
      <c r="D3" s="48">
        <v>40000229</v>
      </c>
      <c r="E3" s="46">
        <v>1260000</v>
      </c>
      <c r="F3" s="101">
        <v>1260000</v>
      </c>
      <c r="G3" s="284">
        <v>1250000</v>
      </c>
      <c r="H3" s="46">
        <v>1290728</v>
      </c>
      <c r="I3" s="46">
        <v>1290000</v>
      </c>
      <c r="J3" s="59">
        <v>1368012</v>
      </c>
      <c r="K3" s="59">
        <v>1168012</v>
      </c>
      <c r="L3" s="285">
        <f>J3-K3</f>
        <v>200000</v>
      </c>
      <c r="M3" s="286" t="s">
        <v>572</v>
      </c>
      <c r="N3" s="287"/>
      <c r="O3" s="287"/>
      <c r="P3" s="288">
        <f>MATCH(B3,'42-02-26 פסטיבלים'!$A$5:$A$64,0)</f>
        <v>3</v>
      </c>
      <c r="Q3" s="289" t="e">
        <f>MATCH(B3,'42-02-26 פסטיבלים'!$A$100:$A$127,0)</f>
        <v>#N/A</v>
      </c>
      <c r="R3" s="290"/>
      <c r="S3" s="183"/>
      <c r="T3" s="287"/>
      <c r="U3" s="287"/>
      <c r="V3" s="287"/>
      <c r="W3" s="287"/>
      <c r="X3" s="288"/>
      <c r="Y3" s="289"/>
      <c r="Z3" s="290"/>
      <c r="AA3" s="183"/>
      <c r="AB3" s="287"/>
      <c r="AC3" s="287"/>
      <c r="AD3" s="287"/>
      <c r="AE3" s="287"/>
      <c r="AF3" s="288"/>
      <c r="AG3" s="289"/>
      <c r="AH3" s="290"/>
      <c r="AI3" s="183"/>
      <c r="AJ3" s="287"/>
      <c r="AK3" s="287"/>
      <c r="AL3" s="287"/>
      <c r="AM3" s="287"/>
      <c r="AN3" s="288"/>
      <c r="AO3" s="289"/>
      <c r="AP3" s="290"/>
      <c r="AQ3" s="183"/>
      <c r="AR3" s="287"/>
      <c r="AS3" s="287"/>
      <c r="AT3" s="287"/>
      <c r="AU3" s="287"/>
      <c r="AV3" s="288"/>
      <c r="AW3" s="289"/>
      <c r="AX3" s="290"/>
      <c r="AY3" s="183"/>
      <c r="AZ3" s="287"/>
      <c r="BA3" s="287"/>
      <c r="BB3" s="287"/>
      <c r="BC3" s="287"/>
      <c r="BD3" s="288"/>
      <c r="BE3" s="289"/>
      <c r="BF3" s="290"/>
      <c r="BG3" s="183"/>
      <c r="BH3" s="287"/>
      <c r="BI3" s="287"/>
      <c r="BJ3" s="287"/>
      <c r="BK3" s="287"/>
      <c r="BL3" s="288"/>
      <c r="BM3" s="289"/>
      <c r="BN3" s="290"/>
      <c r="BO3" s="183"/>
      <c r="BP3" s="287"/>
      <c r="BQ3" s="287"/>
      <c r="BR3" s="287"/>
      <c r="BS3" s="287"/>
      <c r="BT3" s="288"/>
      <c r="BU3" s="289"/>
      <c r="BV3" s="290"/>
      <c r="BW3" s="183"/>
      <c r="BX3" s="287"/>
      <c r="BY3" s="287"/>
      <c r="BZ3" s="287"/>
      <c r="CA3" s="287"/>
      <c r="CB3" s="288"/>
      <c r="CC3" s="289"/>
      <c r="CD3" s="290"/>
      <c r="CE3" s="183"/>
      <c r="CF3" s="287"/>
      <c r="CG3" s="287"/>
      <c r="CH3" s="287"/>
      <c r="CI3" s="287"/>
      <c r="CJ3" s="288"/>
      <c r="CK3" s="289"/>
      <c r="CL3" s="290"/>
      <c r="CM3" s="183"/>
      <c r="CN3" s="287"/>
      <c r="CO3" s="287"/>
      <c r="CP3" s="287"/>
      <c r="CQ3" s="287"/>
      <c r="CR3" s="288"/>
      <c r="CS3" s="289"/>
      <c r="CT3" s="290"/>
      <c r="CU3" s="183"/>
      <c r="CV3" s="287"/>
      <c r="CW3" s="287"/>
      <c r="CX3" s="287"/>
      <c r="CY3" s="287"/>
      <c r="CZ3" s="288"/>
      <c r="DA3" s="289"/>
      <c r="DB3" s="290"/>
      <c r="DC3" s="183"/>
      <c r="DD3" s="287"/>
      <c r="DE3" s="287"/>
      <c r="DF3" s="287"/>
      <c r="DG3" s="287"/>
      <c r="DH3" s="288"/>
      <c r="DI3" s="289"/>
      <c r="DJ3" s="290"/>
      <c r="DK3" s="183"/>
      <c r="DL3" s="287"/>
      <c r="DM3" s="287"/>
      <c r="DN3" s="287"/>
      <c r="DO3" s="287"/>
      <c r="DP3" s="288"/>
      <c r="DQ3" s="289"/>
      <c r="DR3" s="290"/>
      <c r="DS3" s="183"/>
      <c r="DT3" s="287"/>
      <c r="DU3" s="287"/>
      <c r="DV3" s="287"/>
      <c r="DW3" s="287"/>
      <c r="DX3" s="288"/>
      <c r="DY3" s="289"/>
      <c r="DZ3" s="290"/>
      <c r="EA3" s="183"/>
      <c r="EB3" s="287"/>
      <c r="EC3" s="287"/>
      <c r="ED3" s="287"/>
      <c r="EE3" s="287"/>
      <c r="EF3" s="288"/>
      <c r="EG3" s="289"/>
      <c r="EH3" s="290"/>
      <c r="EI3" s="183"/>
      <c r="EJ3" s="287"/>
      <c r="EK3" s="287"/>
      <c r="EL3" s="287"/>
      <c r="EM3" s="287"/>
      <c r="EN3" s="288"/>
      <c r="EO3" s="289"/>
      <c r="EP3" s="290"/>
      <c r="EQ3" s="183"/>
      <c r="ER3" s="287"/>
      <c r="ES3" s="287"/>
      <c r="ET3" s="287"/>
      <c r="EU3" s="287"/>
      <c r="EV3" s="288"/>
      <c r="EW3" s="289"/>
      <c r="EX3" s="290"/>
      <c r="EY3" s="183"/>
      <c r="EZ3" s="287"/>
      <c r="FA3" s="287"/>
      <c r="FB3" s="287"/>
      <c r="FC3" s="287"/>
      <c r="FD3" s="288"/>
      <c r="FE3" s="289"/>
      <c r="FF3" s="290"/>
      <c r="FG3" s="183"/>
      <c r="FH3" s="287"/>
      <c r="FI3" s="287"/>
      <c r="FJ3" s="287"/>
      <c r="FK3" s="287"/>
      <c r="FL3" s="288"/>
      <c r="FM3" s="289"/>
      <c r="FN3" s="290"/>
      <c r="FO3" s="183"/>
      <c r="FP3" s="287"/>
      <c r="FQ3" s="287"/>
      <c r="FR3" s="287"/>
      <c r="FS3" s="287"/>
      <c r="FT3" s="288"/>
      <c r="FU3" s="289"/>
      <c r="FV3" s="290"/>
      <c r="FW3" s="183"/>
      <c r="FX3" s="287"/>
      <c r="FY3" s="287"/>
      <c r="FZ3" s="287"/>
      <c r="GA3" s="287"/>
      <c r="GB3" s="288"/>
      <c r="GC3" s="289"/>
      <c r="GD3" s="290"/>
      <c r="GE3" s="183"/>
      <c r="GF3" s="287"/>
      <c r="GG3" s="287"/>
      <c r="GH3" s="287"/>
      <c r="GI3" s="287"/>
      <c r="GJ3" s="288"/>
      <c r="GK3" s="289"/>
      <c r="GL3" s="290"/>
      <c r="GM3" s="183"/>
      <c r="GN3" s="287"/>
      <c r="GO3" s="287"/>
      <c r="GP3" s="287"/>
      <c r="GQ3" s="287"/>
      <c r="GR3" s="288"/>
      <c r="GS3" s="289"/>
      <c r="GT3" s="290"/>
      <c r="GU3" s="183"/>
      <c r="GV3" s="287"/>
      <c r="GW3" s="287"/>
      <c r="GX3" s="287"/>
      <c r="GY3" s="287"/>
      <c r="GZ3" s="288"/>
      <c r="HA3" s="289"/>
      <c r="HB3" s="290"/>
      <c r="HC3" s="183"/>
      <c r="HD3" s="287"/>
      <c r="HE3" s="287"/>
      <c r="HF3" s="287"/>
      <c r="HG3" s="287"/>
    </row>
    <row r="4" spans="1:215" s="62" customFormat="1" ht="39.950000000000003" customHeight="1" x14ac:dyDescent="0.2">
      <c r="A4" s="55" t="s">
        <v>573</v>
      </c>
      <c r="B4" s="50">
        <v>580006559</v>
      </c>
      <c r="C4" s="49">
        <v>1000538202</v>
      </c>
      <c r="D4" s="48">
        <v>40000054</v>
      </c>
      <c r="E4" s="46">
        <v>1700000</v>
      </c>
      <c r="F4" s="101">
        <v>2230000</v>
      </c>
      <c r="G4" s="284">
        <v>2040000</v>
      </c>
      <c r="H4" s="46">
        <v>2116793</v>
      </c>
      <c r="I4" s="46">
        <v>1888640</v>
      </c>
      <c r="J4" s="59">
        <v>1900000</v>
      </c>
      <c r="K4" s="59">
        <v>1900000</v>
      </c>
      <c r="L4" s="59">
        <f t="shared" ref="L4:L9" si="0">J4-K4</f>
        <v>0</v>
      </c>
      <c r="M4" s="80"/>
      <c r="N4" s="121"/>
      <c r="O4" s="121"/>
      <c r="P4" s="288">
        <f>MATCH(B4,'42-02-26 פסטיבלים'!$A$5:$A$64,0)</f>
        <v>1</v>
      </c>
      <c r="Q4" s="289" t="e">
        <f>MATCH(B4,'42-02-26 פסטיבלים'!$A$100:$A$127,0)</f>
        <v>#N/A</v>
      </c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</row>
    <row r="5" spans="1:215" s="62" customFormat="1" ht="45.75" customHeight="1" x14ac:dyDescent="0.2">
      <c r="A5" s="291" t="s">
        <v>574</v>
      </c>
      <c r="B5" s="292">
        <v>510341993</v>
      </c>
      <c r="C5" s="293">
        <v>1000545495</v>
      </c>
      <c r="D5" s="294">
        <v>40000254</v>
      </c>
      <c r="E5" s="295">
        <v>500000</v>
      </c>
      <c r="F5" s="296">
        <v>35000</v>
      </c>
      <c r="G5" s="284"/>
      <c r="H5" s="46"/>
      <c r="I5" s="296">
        <v>500000</v>
      </c>
      <c r="J5" s="59">
        <v>500000</v>
      </c>
      <c r="K5" s="59">
        <v>500000</v>
      </c>
      <c r="L5" s="59">
        <f t="shared" si="0"/>
        <v>0</v>
      </c>
      <c r="M5" s="92"/>
      <c r="P5" s="288">
        <f>MATCH(B5,'42-02-26 פסטיבלים'!$A$5:$A$64,0)</f>
        <v>29</v>
      </c>
      <c r="Q5" s="289" t="e">
        <f>MATCH(B5,'42-02-26 פסטיבלים'!$A$100:$A$127,0)</f>
        <v>#N/A</v>
      </c>
    </row>
    <row r="6" spans="1:215" s="62" customFormat="1" ht="46.5" customHeight="1" x14ac:dyDescent="0.2">
      <c r="A6" s="51" t="s">
        <v>575</v>
      </c>
      <c r="B6" s="50">
        <v>500222062</v>
      </c>
      <c r="C6" s="49">
        <v>1000543409</v>
      </c>
      <c r="D6" s="48">
        <v>20000132</v>
      </c>
      <c r="E6" s="46">
        <v>100000</v>
      </c>
      <c r="F6" s="119">
        <v>170000</v>
      </c>
      <c r="G6" s="297">
        <v>170000</v>
      </c>
      <c r="H6" s="46">
        <v>170000</v>
      </c>
      <c r="I6" s="46">
        <v>170000</v>
      </c>
      <c r="J6" s="59">
        <v>170000</v>
      </c>
      <c r="K6" s="59">
        <v>170000</v>
      </c>
      <c r="L6" s="59">
        <f t="shared" si="0"/>
        <v>0</v>
      </c>
      <c r="M6" s="298"/>
      <c r="N6" s="121"/>
      <c r="O6" s="121"/>
      <c r="P6" s="288" t="e">
        <f>MATCH(B6,'42-02-26 פסטיבלים'!$A$5:$A$64,0)</f>
        <v>#N/A</v>
      </c>
      <c r="Q6" s="289">
        <f>MATCH(B6,'42-02-26 פסטיבלים'!$A$100:$A$127,0)</f>
        <v>18</v>
      </c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</row>
    <row r="7" spans="1:215" s="62" customFormat="1" ht="39" customHeight="1" x14ac:dyDescent="0.2">
      <c r="A7" s="86" t="s">
        <v>576</v>
      </c>
      <c r="B7" s="66">
        <v>580150761</v>
      </c>
      <c r="C7" s="49">
        <v>1000536732</v>
      </c>
      <c r="D7" s="48">
        <v>40000155</v>
      </c>
      <c r="E7" s="46">
        <v>95981</v>
      </c>
      <c r="F7" s="119">
        <v>100000</v>
      </c>
      <c r="G7" s="297">
        <v>100000</v>
      </c>
      <c r="H7" s="46">
        <v>100000</v>
      </c>
      <c r="I7" s="46">
        <v>100000</v>
      </c>
      <c r="J7" s="59">
        <v>120000</v>
      </c>
      <c r="K7" s="59">
        <v>120000</v>
      </c>
      <c r="L7" s="59">
        <f t="shared" si="0"/>
        <v>0</v>
      </c>
      <c r="M7" s="298"/>
      <c r="P7" s="288">
        <f>MATCH(B7,'42-02-26 פסטיבלים'!$A$5:$A$64,0)</f>
        <v>26</v>
      </c>
      <c r="Q7" s="289" t="e">
        <f>MATCH(B7,'42-02-26 פסטיבלים'!$A$100:$A$127,0)</f>
        <v>#N/A</v>
      </c>
    </row>
    <row r="8" spans="1:215" s="44" customFormat="1" ht="50.25" customHeight="1" x14ac:dyDescent="0.2">
      <c r="A8" s="291" t="s">
        <v>577</v>
      </c>
      <c r="B8" s="292">
        <v>580234995</v>
      </c>
      <c r="C8" s="293">
        <v>1000538348</v>
      </c>
      <c r="D8" s="294">
        <v>40000192</v>
      </c>
      <c r="E8" s="295">
        <v>240000</v>
      </c>
      <c r="F8" s="296">
        <v>16800</v>
      </c>
      <c r="G8" s="284"/>
      <c r="H8" s="46"/>
      <c r="I8" s="296">
        <v>240000</v>
      </c>
      <c r="J8" s="59">
        <v>215000</v>
      </c>
      <c r="K8" s="59">
        <v>215000</v>
      </c>
      <c r="L8" s="59">
        <f t="shared" si="0"/>
        <v>0</v>
      </c>
      <c r="M8" s="71"/>
      <c r="P8" s="288">
        <f>MATCH(B8,'42-02-26 פסטיבלים'!$A$5:$A$64,0)</f>
        <v>31</v>
      </c>
      <c r="Q8" s="289" t="e">
        <f>MATCH(B8,'42-02-26 פסטיבלים'!$A$100:$A$127,0)</f>
        <v>#N/A</v>
      </c>
    </row>
    <row r="9" spans="1:215" s="44" customFormat="1" ht="39.950000000000003" customHeight="1" x14ac:dyDescent="0.2">
      <c r="A9" s="72" t="s">
        <v>578</v>
      </c>
      <c r="B9" s="53">
        <v>580262855</v>
      </c>
      <c r="C9" s="49">
        <v>1000544842</v>
      </c>
      <c r="D9" s="48">
        <v>40000631</v>
      </c>
      <c r="E9" s="46">
        <v>100000</v>
      </c>
      <c r="F9" s="46">
        <v>120000</v>
      </c>
      <c r="G9" s="284">
        <v>120000</v>
      </c>
      <c r="H9" s="46">
        <v>140000</v>
      </c>
      <c r="I9" s="46">
        <v>140000</v>
      </c>
      <c r="J9" s="59">
        <v>150000</v>
      </c>
      <c r="K9" s="59">
        <v>150000</v>
      </c>
      <c r="L9" s="59">
        <f t="shared" si="0"/>
        <v>0</v>
      </c>
      <c r="M9" s="118"/>
      <c r="P9" s="288">
        <f>MATCH(B9,'42-02-26 פסטיבלים'!$A$5:$A$64,0)</f>
        <v>28</v>
      </c>
      <c r="Q9" s="289" t="e">
        <f>MATCH(B9,'42-02-26 פסטיבלים'!$A$100:$A$127,0)</f>
        <v>#N/A</v>
      </c>
    </row>
    <row r="10" spans="1:215" s="62" customFormat="1" ht="39" customHeight="1" x14ac:dyDescent="0.2">
      <c r="A10" s="86" t="s">
        <v>579</v>
      </c>
      <c r="B10" s="66">
        <v>580154938</v>
      </c>
      <c r="C10" s="49">
        <v>1000545398</v>
      </c>
      <c r="D10" s="48">
        <v>40000157</v>
      </c>
      <c r="E10" s="46"/>
      <c r="F10" s="119"/>
      <c r="G10" s="297"/>
      <c r="H10" s="46"/>
      <c r="I10" s="46">
        <v>0</v>
      </c>
      <c r="J10" s="59">
        <v>200000</v>
      </c>
      <c r="K10" s="59">
        <v>200000</v>
      </c>
      <c r="L10" s="59">
        <f>J10-K10</f>
        <v>0</v>
      </c>
      <c r="M10" s="248"/>
      <c r="P10" s="288">
        <f>MATCH(B10,'42-02-26 פסטיבלים'!$A$5:$A$64,0)</f>
        <v>57</v>
      </c>
      <c r="Q10" s="289" t="e">
        <f>MATCH(B10,'42-02-26 פסטיבלים'!$A$100:$A$127,0)</f>
        <v>#N/A</v>
      </c>
    </row>
    <row r="11" spans="1:215" s="62" customFormat="1" ht="54" customHeight="1" x14ac:dyDescent="0.2">
      <c r="A11" s="55" t="s">
        <v>580</v>
      </c>
      <c r="B11" s="182">
        <v>500210638</v>
      </c>
      <c r="C11" s="49">
        <v>1000536769</v>
      </c>
      <c r="D11" s="48">
        <v>20000102</v>
      </c>
      <c r="E11" s="46">
        <v>80000</v>
      </c>
      <c r="F11" s="46">
        <v>100050</v>
      </c>
      <c r="G11" s="284">
        <v>80000</v>
      </c>
      <c r="H11" s="46">
        <v>90000</v>
      </c>
      <c r="I11" s="46">
        <v>80000</v>
      </c>
      <c r="J11" s="59">
        <v>70000</v>
      </c>
      <c r="K11" s="299">
        <v>70000</v>
      </c>
      <c r="L11" s="59">
        <f t="shared" ref="L11:L79" si="1">J11-K11</f>
        <v>0</v>
      </c>
      <c r="M11" s="300"/>
      <c r="P11" s="288" t="e">
        <f>MATCH(B11,'42-02-26 פסטיבלים'!$A$5:$A$64,0)</f>
        <v>#N/A</v>
      </c>
      <c r="Q11" s="289" t="e">
        <f>MATCH(B11,'42-02-26 פסטיבלים'!$A$100:$A$127,0)</f>
        <v>#N/A</v>
      </c>
    </row>
    <row r="12" spans="1:215" s="44" customFormat="1" ht="50.25" customHeight="1" x14ac:dyDescent="0.2">
      <c r="A12" s="55" t="s">
        <v>581</v>
      </c>
      <c r="B12" s="182">
        <v>500221015</v>
      </c>
      <c r="C12" s="49">
        <v>1000546720</v>
      </c>
      <c r="D12" s="48">
        <v>20000127</v>
      </c>
      <c r="E12" s="46">
        <v>240000</v>
      </c>
      <c r="F12" s="46">
        <v>250000</v>
      </c>
      <c r="G12" s="284">
        <v>250000</v>
      </c>
      <c r="H12" s="46">
        <v>250000</v>
      </c>
      <c r="I12" s="46">
        <f>250000</f>
        <v>250000</v>
      </c>
      <c r="J12" s="59">
        <v>300000</v>
      </c>
      <c r="K12" s="59">
        <v>300000</v>
      </c>
      <c r="L12" s="59">
        <f t="shared" si="1"/>
        <v>0</v>
      </c>
      <c r="M12" s="118"/>
      <c r="P12" s="288" t="e">
        <f>MATCH(B12,'42-02-26 פסטיבלים'!$A$5:$A$64,0)</f>
        <v>#N/A</v>
      </c>
      <c r="Q12" s="289">
        <f>MATCH(B12,'42-02-26 פסטיבלים'!$A$100:$A$127,0)</f>
        <v>11</v>
      </c>
    </row>
    <row r="13" spans="1:215" s="44" customFormat="1" ht="37.5" customHeight="1" x14ac:dyDescent="0.2">
      <c r="A13" s="72" t="s">
        <v>582</v>
      </c>
      <c r="B13" s="53">
        <v>580370773</v>
      </c>
      <c r="C13" s="49">
        <v>1000546992</v>
      </c>
      <c r="D13" s="48">
        <v>40002886</v>
      </c>
      <c r="E13" s="46">
        <v>30000</v>
      </c>
      <c r="F13" s="101">
        <v>0</v>
      </c>
      <c r="G13" s="284">
        <v>20000</v>
      </c>
      <c r="H13" s="46">
        <v>30000</v>
      </c>
      <c r="I13" s="46">
        <v>30000</v>
      </c>
      <c r="J13" s="59">
        <v>50000</v>
      </c>
      <c r="K13" s="59">
        <v>50000</v>
      </c>
      <c r="L13" s="59">
        <f t="shared" si="1"/>
        <v>0</v>
      </c>
      <c r="M13" s="301"/>
      <c r="P13" s="288" t="e">
        <f>MATCH(B13,'42-02-26 פסטיבלים'!$A$5:$A$64,0)</f>
        <v>#N/A</v>
      </c>
      <c r="Q13" s="289" t="e">
        <f>MATCH(B13,'42-02-26 פסטיבלים'!$A$100:$A$127,0)</f>
        <v>#N/A</v>
      </c>
    </row>
    <row r="14" spans="1:215" s="44" customFormat="1" ht="42.75" customHeight="1" x14ac:dyDescent="0.2">
      <c r="A14" s="72" t="s">
        <v>583</v>
      </c>
      <c r="B14" s="53">
        <v>510748734</v>
      </c>
      <c r="C14" s="49">
        <v>1000542373</v>
      </c>
      <c r="D14" s="48">
        <v>40000028</v>
      </c>
      <c r="E14" s="46">
        <v>250000</v>
      </c>
      <c r="F14" s="101">
        <v>300000</v>
      </c>
      <c r="G14" s="284">
        <v>280000</v>
      </c>
      <c r="H14" s="46">
        <v>290000</v>
      </c>
      <c r="I14" s="46">
        <v>290000</v>
      </c>
      <c r="J14" s="59">
        <v>290000</v>
      </c>
      <c r="K14" s="59">
        <v>290000</v>
      </c>
      <c r="L14" s="59">
        <f t="shared" si="1"/>
        <v>0</v>
      </c>
      <c r="M14" s="82"/>
      <c r="P14" s="288">
        <f>MATCH(B14,'42-02-26 פסטיבלים'!$A$5:$A$64,0)</f>
        <v>6</v>
      </c>
      <c r="Q14" s="289" t="e">
        <f>MATCH(B14,'42-02-26 פסטיבלים'!$A$100:$A$127,0)</f>
        <v>#N/A</v>
      </c>
    </row>
    <row r="15" spans="1:215" s="62" customFormat="1" ht="46.5" customHeight="1" x14ac:dyDescent="0.2">
      <c r="A15" s="291" t="s">
        <v>584</v>
      </c>
      <c r="B15" s="292">
        <v>500283007</v>
      </c>
      <c r="C15" s="293">
        <v>1000540976</v>
      </c>
      <c r="D15" s="294">
        <v>20000247</v>
      </c>
      <c r="E15" s="295">
        <v>120000</v>
      </c>
      <c r="F15" s="302">
        <v>8400</v>
      </c>
      <c r="G15" s="297"/>
      <c r="H15" s="46"/>
      <c r="I15" s="296">
        <v>120000</v>
      </c>
      <c r="J15" s="59">
        <v>160000</v>
      </c>
      <c r="K15" s="59">
        <v>160000</v>
      </c>
      <c r="L15" s="59">
        <f t="shared" si="1"/>
        <v>0</v>
      </c>
      <c r="M15" s="92"/>
      <c r="N15" s="121"/>
      <c r="O15" s="121"/>
      <c r="P15" s="288" t="e">
        <f>MATCH(B15,'42-02-26 פסטיבלים'!$A$5:$A$64,0)</f>
        <v>#N/A</v>
      </c>
      <c r="Q15" s="289">
        <f>MATCH(B15,'42-02-26 פסטיבלים'!$A$100:$A$127,0)</f>
        <v>15</v>
      </c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</row>
    <row r="16" spans="1:215" s="44" customFormat="1" ht="39.950000000000003" customHeight="1" x14ac:dyDescent="0.2">
      <c r="A16" s="55" t="s">
        <v>585</v>
      </c>
      <c r="B16" s="50">
        <v>500223136</v>
      </c>
      <c r="C16" s="49">
        <v>1000540639</v>
      </c>
      <c r="D16" s="48">
        <v>20000137</v>
      </c>
      <c r="E16" s="46">
        <v>0</v>
      </c>
      <c r="F16" s="46">
        <v>0</v>
      </c>
      <c r="G16" s="284">
        <v>0</v>
      </c>
      <c r="H16" s="46">
        <v>20000</v>
      </c>
      <c r="I16" s="46">
        <v>30000</v>
      </c>
      <c r="J16" s="59">
        <v>30000</v>
      </c>
      <c r="K16" s="59">
        <v>30000</v>
      </c>
      <c r="L16" s="59">
        <f t="shared" si="1"/>
        <v>0</v>
      </c>
      <c r="M16" s="303"/>
      <c r="P16" s="288" t="e">
        <f>MATCH(B16,'42-02-26 פסטיבלים'!$A$5:$A$64,0)</f>
        <v>#N/A</v>
      </c>
      <c r="Q16" s="289">
        <f>MATCH(B16,'42-02-26 פסטיבלים'!$A$100:$A$127,0)</f>
        <v>28</v>
      </c>
    </row>
    <row r="17" spans="1:215" s="62" customFormat="1" ht="39.950000000000003" customHeight="1" x14ac:dyDescent="0.2">
      <c r="A17" s="72" t="s">
        <v>586</v>
      </c>
      <c r="B17" s="53">
        <v>500223094</v>
      </c>
      <c r="C17" s="49">
        <v>1000543830</v>
      </c>
      <c r="D17" s="48">
        <v>20000136</v>
      </c>
      <c r="E17" s="46">
        <v>70000</v>
      </c>
      <c r="F17" s="46">
        <v>80000</v>
      </c>
      <c r="G17" s="284">
        <v>80000</v>
      </c>
      <c r="H17" s="46">
        <v>80000</v>
      </c>
      <c r="I17" s="46">
        <v>80000</v>
      </c>
      <c r="J17" s="59">
        <v>80000</v>
      </c>
      <c r="K17" s="59">
        <v>80000</v>
      </c>
      <c r="L17" s="59">
        <f t="shared" si="1"/>
        <v>0</v>
      </c>
      <c r="M17" s="82"/>
      <c r="P17" s="288" t="e">
        <f>MATCH(B17,'42-02-26 פסטיבלים'!$A$5:$A$64,0)</f>
        <v>#N/A</v>
      </c>
      <c r="Q17" s="289">
        <f>MATCH(B17,'42-02-26 פסטיבלים'!$A$100:$A$127,0)</f>
        <v>20</v>
      </c>
    </row>
    <row r="18" spans="1:215" s="62" customFormat="1" ht="39.950000000000003" customHeight="1" x14ac:dyDescent="0.2">
      <c r="A18" s="86" t="s">
        <v>587</v>
      </c>
      <c r="B18" s="66">
        <v>580082824</v>
      </c>
      <c r="C18" s="49">
        <v>1000533815</v>
      </c>
      <c r="D18" s="48">
        <v>40000448</v>
      </c>
      <c r="E18" s="46">
        <v>140436</v>
      </c>
      <c r="F18" s="46">
        <v>163149</v>
      </c>
      <c r="G18" s="284">
        <v>160000</v>
      </c>
      <c r="H18" s="46">
        <v>180000</v>
      </c>
      <c r="I18" s="46">
        <v>180000</v>
      </c>
      <c r="J18" s="59">
        <v>200000</v>
      </c>
      <c r="K18" s="59">
        <v>200000</v>
      </c>
      <c r="L18" s="59">
        <f t="shared" si="1"/>
        <v>0</v>
      </c>
      <c r="M18" s="76"/>
      <c r="N18" s="121"/>
      <c r="O18" s="121"/>
      <c r="P18" s="288">
        <f>MATCH(B18,'42-02-26 פסטיבלים'!$A$5:$A$64,0)</f>
        <v>47</v>
      </c>
      <c r="Q18" s="289" t="e">
        <f>MATCH(B18,'42-02-26 פסטיבלים'!$A$100:$A$127,0)</f>
        <v>#N/A</v>
      </c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</row>
    <row r="19" spans="1:215" s="62" customFormat="1" ht="48.75" customHeight="1" x14ac:dyDescent="0.2">
      <c r="A19" s="55" t="s">
        <v>588</v>
      </c>
      <c r="B19" s="50">
        <v>513377457</v>
      </c>
      <c r="C19" s="49">
        <v>1000576579</v>
      </c>
      <c r="D19" s="48">
        <v>40474818</v>
      </c>
      <c r="E19" s="101">
        <v>50000</v>
      </c>
      <c r="F19" s="101">
        <v>50000</v>
      </c>
      <c r="G19" s="46">
        <v>30000</v>
      </c>
      <c r="H19" s="46">
        <v>30000</v>
      </c>
      <c r="I19" s="46">
        <v>30000</v>
      </c>
      <c r="J19" s="59">
        <v>30000</v>
      </c>
      <c r="K19" s="299">
        <v>30000</v>
      </c>
      <c r="L19" s="59">
        <f t="shared" si="1"/>
        <v>0</v>
      </c>
      <c r="M19" s="262"/>
      <c r="P19" s="288">
        <f>MATCH(B19,'42-02-26 פסטיבלים'!$A$5:$A$64,0)</f>
        <v>50</v>
      </c>
      <c r="Q19" s="289" t="e">
        <f>MATCH(B19,'42-02-26 פסטיבלים'!$A$100:$A$127,0)</f>
        <v>#N/A</v>
      </c>
    </row>
    <row r="20" spans="1:215" s="62" customFormat="1" ht="39.950000000000003" customHeight="1" x14ac:dyDescent="0.2">
      <c r="A20" s="51" t="s">
        <v>589</v>
      </c>
      <c r="B20" s="105">
        <v>580317766</v>
      </c>
      <c r="C20" s="49">
        <v>1000545234</v>
      </c>
      <c r="D20" s="48">
        <v>40000678</v>
      </c>
      <c r="E20" s="46">
        <v>40000</v>
      </c>
      <c r="F20" s="46">
        <v>40000</v>
      </c>
      <c r="G20" s="284">
        <v>40000</v>
      </c>
      <c r="H20" s="46">
        <v>50000</v>
      </c>
      <c r="I20" s="46">
        <v>50000</v>
      </c>
      <c r="J20" s="59">
        <v>50000</v>
      </c>
      <c r="K20" s="59">
        <v>50000</v>
      </c>
      <c r="L20" s="59">
        <f t="shared" si="1"/>
        <v>0</v>
      </c>
      <c r="M20" s="92"/>
      <c r="N20" s="287"/>
      <c r="O20" s="287"/>
      <c r="P20" s="288" t="e">
        <f>MATCH(B20,'42-02-26 פסטיבלים'!$A$5:$A$64,0)</f>
        <v>#N/A</v>
      </c>
      <c r="Q20" s="289" t="e">
        <f>MATCH(B20,'42-02-26 פסטיבלים'!$A$100:$A$127,0)</f>
        <v>#N/A</v>
      </c>
      <c r="R20" s="290"/>
      <c r="S20" s="183"/>
      <c r="T20" s="287"/>
      <c r="U20" s="287"/>
      <c r="V20" s="287"/>
      <c r="W20" s="287"/>
      <c r="X20" s="288"/>
      <c r="Y20" s="289"/>
      <c r="Z20" s="290"/>
      <c r="AA20" s="183"/>
      <c r="AB20" s="287"/>
      <c r="AC20" s="287"/>
      <c r="AD20" s="287"/>
      <c r="AE20" s="287"/>
      <c r="AF20" s="288"/>
      <c r="AG20" s="289"/>
      <c r="AH20" s="290"/>
      <c r="AI20" s="183"/>
      <c r="AJ20" s="287"/>
      <c r="AK20" s="287"/>
      <c r="AL20" s="287"/>
      <c r="AM20" s="287"/>
      <c r="AN20" s="288"/>
      <c r="AO20" s="289"/>
      <c r="AP20" s="290"/>
      <c r="AQ20" s="183"/>
      <c r="AR20" s="287"/>
      <c r="AS20" s="287"/>
      <c r="AT20" s="287"/>
      <c r="AU20" s="287"/>
      <c r="AV20" s="288"/>
      <c r="AW20" s="289"/>
      <c r="AX20" s="290"/>
      <c r="AY20" s="183"/>
      <c r="AZ20" s="287"/>
      <c r="BA20" s="287"/>
      <c r="BB20" s="287"/>
      <c r="BC20" s="287"/>
      <c r="BD20" s="288"/>
      <c r="BE20" s="289"/>
      <c r="BF20" s="290"/>
      <c r="BG20" s="183"/>
      <c r="BH20" s="287"/>
      <c r="BI20" s="287"/>
      <c r="BJ20" s="287"/>
      <c r="BK20" s="287"/>
      <c r="BL20" s="288"/>
      <c r="BM20" s="289"/>
      <c r="BN20" s="290"/>
      <c r="BO20" s="183"/>
      <c r="BP20" s="287"/>
      <c r="BQ20" s="287"/>
      <c r="BR20" s="287"/>
      <c r="BS20" s="287"/>
      <c r="BT20" s="288"/>
      <c r="BU20" s="289"/>
      <c r="BV20" s="290"/>
      <c r="BW20" s="183"/>
      <c r="BX20" s="287"/>
      <c r="BY20" s="287"/>
      <c r="BZ20" s="287"/>
      <c r="CA20" s="287"/>
      <c r="CB20" s="288"/>
      <c r="CC20" s="289"/>
      <c r="CD20" s="290"/>
      <c r="CE20" s="183"/>
      <c r="CF20" s="287"/>
      <c r="CG20" s="287"/>
      <c r="CH20" s="287"/>
      <c r="CI20" s="287"/>
      <c r="CJ20" s="288"/>
      <c r="CK20" s="289"/>
      <c r="CL20" s="290"/>
      <c r="CM20" s="183"/>
      <c r="CN20" s="287"/>
      <c r="CO20" s="287"/>
      <c r="CP20" s="287"/>
      <c r="CQ20" s="287"/>
      <c r="CR20" s="288"/>
      <c r="CS20" s="289"/>
      <c r="CT20" s="290"/>
      <c r="CU20" s="183"/>
      <c r="CV20" s="287"/>
      <c r="CW20" s="287"/>
      <c r="CX20" s="287"/>
      <c r="CY20" s="287"/>
      <c r="CZ20" s="288"/>
      <c r="DA20" s="289"/>
      <c r="DB20" s="290"/>
      <c r="DC20" s="183"/>
      <c r="DD20" s="287"/>
      <c r="DE20" s="287"/>
      <c r="DF20" s="287"/>
      <c r="DG20" s="287"/>
      <c r="DH20" s="288"/>
      <c r="DI20" s="289"/>
      <c r="DJ20" s="290"/>
      <c r="DK20" s="183"/>
      <c r="DL20" s="287"/>
      <c r="DM20" s="287"/>
      <c r="DN20" s="287"/>
      <c r="DO20" s="287"/>
      <c r="DP20" s="288"/>
      <c r="DQ20" s="289"/>
      <c r="DR20" s="290"/>
      <c r="DS20" s="183"/>
      <c r="DT20" s="287"/>
      <c r="DU20" s="287"/>
      <c r="DV20" s="287"/>
      <c r="DW20" s="287"/>
      <c r="DX20" s="288"/>
      <c r="DY20" s="289"/>
      <c r="DZ20" s="290"/>
      <c r="EA20" s="183"/>
      <c r="EB20" s="287"/>
      <c r="EC20" s="287"/>
      <c r="ED20" s="287"/>
      <c r="EE20" s="287"/>
      <c r="EF20" s="288"/>
      <c r="EG20" s="289"/>
      <c r="EH20" s="290"/>
      <c r="EI20" s="183"/>
      <c r="EJ20" s="287"/>
      <c r="EK20" s="287"/>
      <c r="EL20" s="287"/>
      <c r="EM20" s="287"/>
      <c r="EN20" s="288"/>
      <c r="EO20" s="289"/>
      <c r="EP20" s="290"/>
      <c r="EQ20" s="183"/>
      <c r="ER20" s="287"/>
      <c r="ES20" s="287"/>
      <c r="ET20" s="287"/>
      <c r="EU20" s="287"/>
      <c r="EV20" s="288"/>
      <c r="EW20" s="289"/>
      <c r="EX20" s="290"/>
      <c r="EY20" s="183"/>
      <c r="EZ20" s="287"/>
      <c r="FA20" s="287"/>
      <c r="FB20" s="287"/>
      <c r="FC20" s="287"/>
      <c r="FD20" s="288"/>
      <c r="FE20" s="289"/>
      <c r="FF20" s="290"/>
      <c r="FG20" s="183"/>
      <c r="FH20" s="287"/>
      <c r="FI20" s="287"/>
      <c r="FJ20" s="287"/>
      <c r="FK20" s="287"/>
      <c r="FL20" s="288"/>
      <c r="FM20" s="289"/>
      <c r="FN20" s="290"/>
      <c r="FO20" s="183"/>
      <c r="FP20" s="287"/>
      <c r="FQ20" s="287"/>
      <c r="FR20" s="287"/>
      <c r="FS20" s="287"/>
      <c r="FT20" s="288"/>
      <c r="FU20" s="289"/>
      <c r="FV20" s="290"/>
      <c r="FW20" s="183"/>
      <c r="FX20" s="287"/>
      <c r="FY20" s="287"/>
      <c r="FZ20" s="287"/>
      <c r="GA20" s="287"/>
      <c r="GB20" s="288"/>
      <c r="GC20" s="289"/>
      <c r="GD20" s="290"/>
      <c r="GE20" s="183"/>
      <c r="GF20" s="287"/>
      <c r="GG20" s="287"/>
      <c r="GH20" s="287"/>
      <c r="GI20" s="287"/>
      <c r="GJ20" s="288"/>
      <c r="GK20" s="289"/>
      <c r="GL20" s="290"/>
      <c r="GM20" s="183"/>
      <c r="GN20" s="287"/>
      <c r="GO20" s="287"/>
      <c r="GP20" s="287"/>
      <c r="GQ20" s="287"/>
      <c r="GR20" s="288"/>
      <c r="GS20" s="289"/>
      <c r="GT20" s="290"/>
      <c r="GU20" s="183"/>
      <c r="GV20" s="287"/>
      <c r="GW20" s="287"/>
      <c r="GX20" s="287"/>
      <c r="GY20" s="287"/>
      <c r="GZ20" s="288"/>
      <c r="HA20" s="289"/>
      <c r="HB20" s="290"/>
      <c r="HC20" s="183"/>
      <c r="HD20" s="287"/>
      <c r="HE20" s="287"/>
      <c r="HF20" s="287"/>
      <c r="HG20" s="287"/>
    </row>
    <row r="21" spans="1:215" s="62" customFormat="1" ht="43.5" customHeight="1" x14ac:dyDescent="0.2">
      <c r="A21" s="51" t="s">
        <v>590</v>
      </c>
      <c r="B21" s="53">
        <v>580103026</v>
      </c>
      <c r="C21" s="49">
        <v>1000543126</v>
      </c>
      <c r="D21" s="48">
        <v>40000134</v>
      </c>
      <c r="E21" s="46"/>
      <c r="F21" s="46"/>
      <c r="G21" s="46"/>
      <c r="H21" s="46"/>
      <c r="I21" s="46">
        <v>0</v>
      </c>
      <c r="J21" s="59">
        <v>60000</v>
      </c>
      <c r="K21" s="59">
        <v>60000</v>
      </c>
      <c r="L21" s="59">
        <f t="shared" si="1"/>
        <v>0</v>
      </c>
      <c r="M21" s="92"/>
      <c r="P21" s="288">
        <f>MATCH(B21,'42-02-26 פסטיבלים'!$A$5:$A$64,0)</f>
        <v>35</v>
      </c>
      <c r="Q21" s="289" t="e">
        <f>MATCH(B21,'42-02-26 פסטיבלים'!$A$100:$A$127,0)</f>
        <v>#N/A</v>
      </c>
    </row>
    <row r="22" spans="1:215" s="62" customFormat="1" ht="39.950000000000003" customHeight="1" x14ac:dyDescent="0.2">
      <c r="A22" s="55" t="s">
        <v>591</v>
      </c>
      <c r="B22" s="50">
        <v>500269006</v>
      </c>
      <c r="C22" s="49">
        <v>1000536898</v>
      </c>
      <c r="D22" s="48">
        <v>20000227</v>
      </c>
      <c r="E22" s="46">
        <v>0</v>
      </c>
      <c r="F22" s="46">
        <v>0</v>
      </c>
      <c r="G22" s="46">
        <v>0</v>
      </c>
      <c r="H22" s="46">
        <v>0</v>
      </c>
      <c r="I22" s="46">
        <v>30000</v>
      </c>
      <c r="J22" s="59">
        <v>20000</v>
      </c>
      <c r="K22" s="299">
        <v>20000</v>
      </c>
      <c r="L22" s="59">
        <f t="shared" si="1"/>
        <v>0</v>
      </c>
      <c r="M22" s="304"/>
      <c r="P22" s="288" t="e">
        <f>MATCH(B22,'42-02-26 פסטיבלים'!$A$5:$A$64,0)</f>
        <v>#N/A</v>
      </c>
      <c r="Q22" s="289" t="e">
        <f>MATCH(B22,'42-02-26 פסטיבלים'!$A$100:$A$127,0)</f>
        <v>#N/A</v>
      </c>
    </row>
    <row r="23" spans="1:215" s="62" customFormat="1" ht="35.1" customHeight="1" x14ac:dyDescent="0.2">
      <c r="A23" s="51" t="s">
        <v>592</v>
      </c>
      <c r="B23" s="182">
        <v>580537042</v>
      </c>
      <c r="C23" s="49">
        <v>1000539199</v>
      </c>
      <c r="D23" s="48">
        <v>40989613</v>
      </c>
      <c r="E23" s="46"/>
      <c r="F23" s="101"/>
      <c r="G23" s="284"/>
      <c r="H23" s="46">
        <v>40000</v>
      </c>
      <c r="I23" s="46">
        <v>40000</v>
      </c>
      <c r="J23" s="59">
        <v>40000</v>
      </c>
      <c r="K23" s="305">
        <v>40000</v>
      </c>
      <c r="L23" s="59">
        <f t="shared" si="1"/>
        <v>0</v>
      </c>
      <c r="M23" s="76"/>
      <c r="N23" s="121"/>
      <c r="O23" s="121"/>
      <c r="P23" s="288" t="e">
        <f>MATCH(B23,'42-02-26 פסטיבלים'!$A$5:$A$64,0)</f>
        <v>#N/A</v>
      </c>
      <c r="Q23" s="289" t="e">
        <f>MATCH(B23,'42-02-26 פסטיבלים'!$A$100:$A$127,0)</f>
        <v>#N/A</v>
      </c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</row>
    <row r="24" spans="1:215" s="62" customFormat="1" ht="49.5" customHeight="1" x14ac:dyDescent="0.2">
      <c r="A24" s="72" t="s">
        <v>593</v>
      </c>
      <c r="B24" s="53">
        <v>510748734</v>
      </c>
      <c r="C24" s="49">
        <v>1000542842</v>
      </c>
      <c r="D24" s="48">
        <v>40000028</v>
      </c>
      <c r="E24" s="46">
        <v>190000</v>
      </c>
      <c r="F24" s="101">
        <v>240000</v>
      </c>
      <c r="G24" s="284">
        <v>200000</v>
      </c>
      <c r="H24" s="46">
        <v>210000</v>
      </c>
      <c r="I24" s="46">
        <v>210000</v>
      </c>
      <c r="J24" s="59">
        <v>230000</v>
      </c>
      <c r="K24" s="59">
        <v>230000</v>
      </c>
      <c r="L24" s="59">
        <f t="shared" si="1"/>
        <v>0</v>
      </c>
      <c r="M24" s="118"/>
      <c r="P24" s="288">
        <f>MATCH(B24,'42-02-26 פסטיבלים'!$A$5:$A$64,0)</f>
        <v>6</v>
      </c>
      <c r="Q24" s="289" t="e">
        <f>MATCH(B24,'42-02-26 פסטיבלים'!$A$100:$A$127,0)</f>
        <v>#N/A</v>
      </c>
    </row>
    <row r="25" spans="1:215" s="62" customFormat="1" ht="60.75" customHeight="1" x14ac:dyDescent="0.2">
      <c r="A25" s="88" t="s">
        <v>594</v>
      </c>
      <c r="B25" s="182">
        <v>580234995</v>
      </c>
      <c r="C25" s="49">
        <v>1000538423</v>
      </c>
      <c r="D25" s="48">
        <v>40000192</v>
      </c>
      <c r="E25" s="46">
        <v>50000</v>
      </c>
      <c r="F25" s="101">
        <v>60000</v>
      </c>
      <c r="G25" s="284">
        <v>50000</v>
      </c>
      <c r="H25" s="46">
        <v>50000</v>
      </c>
      <c r="I25" s="46">
        <v>50000</v>
      </c>
      <c r="J25" s="59">
        <v>60000</v>
      </c>
      <c r="K25" s="59">
        <v>60000</v>
      </c>
      <c r="L25" s="59">
        <f t="shared" si="1"/>
        <v>0</v>
      </c>
      <c r="M25" s="71"/>
      <c r="P25" s="288">
        <f>MATCH(B25,'42-02-26 פסטיבלים'!$A$5:$A$64,0)</f>
        <v>31</v>
      </c>
      <c r="Q25" s="289" t="e">
        <f>MATCH(B25,'42-02-26 פסטיבלים'!$A$100:$A$127,0)</f>
        <v>#N/A</v>
      </c>
    </row>
    <row r="26" spans="1:215" s="44" customFormat="1" ht="40.5" customHeight="1" x14ac:dyDescent="0.2">
      <c r="A26" s="51" t="s">
        <v>595</v>
      </c>
      <c r="B26" s="105">
        <v>580362747</v>
      </c>
      <c r="C26" s="49">
        <v>1000546303</v>
      </c>
      <c r="D26" s="48">
        <v>40522482</v>
      </c>
      <c r="E26" s="46">
        <v>0</v>
      </c>
      <c r="F26" s="46">
        <v>0</v>
      </c>
      <c r="G26" s="46">
        <v>0</v>
      </c>
      <c r="H26" s="46">
        <v>30000</v>
      </c>
      <c r="I26" s="46">
        <v>30000</v>
      </c>
      <c r="J26" s="59">
        <v>30000</v>
      </c>
      <c r="K26" s="299">
        <v>30000</v>
      </c>
      <c r="L26" s="59">
        <f t="shared" si="1"/>
        <v>0</v>
      </c>
      <c r="M26" s="58"/>
      <c r="P26" s="288">
        <f>MATCH(B26,'42-02-26 פסטיבלים'!$A$5:$A$64,0)</f>
        <v>53</v>
      </c>
      <c r="Q26" s="289" t="e">
        <f>MATCH(B26,'42-02-26 פסטיבלים'!$A$100:$A$127,0)</f>
        <v>#N/A</v>
      </c>
    </row>
    <row r="27" spans="1:215" s="44" customFormat="1" ht="63" customHeight="1" x14ac:dyDescent="0.2">
      <c r="A27" s="55" t="s">
        <v>596</v>
      </c>
      <c r="B27" s="105">
        <v>500276001</v>
      </c>
      <c r="C27" s="49">
        <v>1000547102</v>
      </c>
      <c r="D27" s="48">
        <v>20000238</v>
      </c>
      <c r="E27" s="46">
        <v>1620000</v>
      </c>
      <c r="F27" s="101">
        <v>1610000</v>
      </c>
      <c r="G27" s="284">
        <v>1600000</v>
      </c>
      <c r="H27" s="46">
        <v>1652131</v>
      </c>
      <c r="I27" s="46">
        <v>1575000</v>
      </c>
      <c r="J27" s="59">
        <v>1575000</v>
      </c>
      <c r="K27" s="59">
        <v>1575000</v>
      </c>
      <c r="L27" s="59">
        <f t="shared" si="1"/>
        <v>0</v>
      </c>
      <c r="M27" s="305"/>
      <c r="P27" s="288" t="e">
        <f>MATCH(B27,'42-02-26 פסטיבלים'!$A$5:$A$64,0)</f>
        <v>#N/A</v>
      </c>
      <c r="Q27" s="289">
        <f>MATCH(B27,'42-02-26 פסטיבלים'!$A$100:$A$127,0)</f>
        <v>6</v>
      </c>
    </row>
    <row r="28" spans="1:215" s="62" customFormat="1" ht="35.1" customHeight="1" x14ac:dyDescent="0.2">
      <c r="A28" s="51" t="s">
        <v>597</v>
      </c>
      <c r="B28" s="182">
        <v>580353597</v>
      </c>
      <c r="C28" s="49">
        <v>1000553653</v>
      </c>
      <c r="D28" s="48">
        <v>40216071</v>
      </c>
      <c r="E28" s="46">
        <v>30000</v>
      </c>
      <c r="F28" s="101">
        <v>30000</v>
      </c>
      <c r="G28" s="284">
        <v>25000</v>
      </c>
      <c r="H28" s="119">
        <v>25000</v>
      </c>
      <c r="I28" s="119">
        <v>25000</v>
      </c>
      <c r="J28" s="59">
        <v>25000</v>
      </c>
      <c r="K28" s="305">
        <v>25000</v>
      </c>
      <c r="L28" s="59">
        <f t="shared" si="1"/>
        <v>0</v>
      </c>
      <c r="M28" s="306"/>
      <c r="N28" s="121"/>
      <c r="O28" s="121"/>
      <c r="P28" s="288">
        <f>MATCH(B28,'42-02-26 פסטיבלים'!$A$5:$A$64,0)</f>
        <v>14</v>
      </c>
      <c r="Q28" s="289" t="e">
        <f>MATCH(B28,'42-02-26 פסטיבלים'!$A$100:$A$127,0)</f>
        <v>#N/A</v>
      </c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</row>
    <row r="29" spans="1:215" s="62" customFormat="1" ht="39.75" customHeight="1" x14ac:dyDescent="0.2">
      <c r="A29" s="55" t="s">
        <v>598</v>
      </c>
      <c r="B29" s="50">
        <v>580208486</v>
      </c>
      <c r="C29" s="49">
        <v>1000539661</v>
      </c>
      <c r="D29" s="48">
        <v>40000179</v>
      </c>
      <c r="E29" s="46">
        <v>20000</v>
      </c>
      <c r="F29" s="46">
        <v>20000</v>
      </c>
      <c r="G29" s="284">
        <v>20000</v>
      </c>
      <c r="H29" s="46">
        <v>30000</v>
      </c>
      <c r="I29" s="284">
        <v>30000</v>
      </c>
      <c r="J29" s="59">
        <v>30000</v>
      </c>
      <c r="K29" s="59">
        <v>30000</v>
      </c>
      <c r="L29" s="59">
        <f t="shared" si="1"/>
        <v>0</v>
      </c>
      <c r="M29" s="300"/>
      <c r="P29" s="288">
        <f>MATCH(B29,'42-02-26 פסטיבלים'!$A$5:$A$64,0)</f>
        <v>40</v>
      </c>
      <c r="Q29" s="289" t="e">
        <f>MATCH(B29,'42-02-26 פסטיבלים'!$A$100:$A$127,0)</f>
        <v>#N/A</v>
      </c>
    </row>
    <row r="30" spans="1:215" s="44" customFormat="1" ht="42.75" customHeight="1" x14ac:dyDescent="0.2">
      <c r="A30" s="55" t="s">
        <v>599</v>
      </c>
      <c r="B30" s="182">
        <v>580215093</v>
      </c>
      <c r="C30" s="49">
        <v>1000533539</v>
      </c>
      <c r="D30" s="48">
        <v>40000563</v>
      </c>
      <c r="E30" s="46">
        <v>75000</v>
      </c>
      <c r="F30" s="46">
        <v>80000</v>
      </c>
      <c r="G30" s="284">
        <v>80000</v>
      </c>
      <c r="H30" s="46">
        <v>90000</v>
      </c>
      <c r="I30" s="46">
        <v>90000</v>
      </c>
      <c r="J30" s="59">
        <v>100000</v>
      </c>
      <c r="K30" s="59">
        <v>100000</v>
      </c>
      <c r="L30" s="59">
        <f t="shared" si="1"/>
        <v>0</v>
      </c>
      <c r="M30" s="82"/>
      <c r="P30" s="288">
        <f>MATCH(B30,'42-02-26 פסטיבלים'!$A$5:$A$64,0)</f>
        <v>9</v>
      </c>
      <c r="Q30" s="289" t="e">
        <f>MATCH(B30,'42-02-26 פסטיבלים'!$A$100:$A$127,0)</f>
        <v>#N/A</v>
      </c>
    </row>
    <row r="31" spans="1:215" s="62" customFormat="1" ht="36" customHeight="1" x14ac:dyDescent="0.2">
      <c r="A31" s="51" t="s">
        <v>600</v>
      </c>
      <c r="B31" s="182">
        <v>510673577</v>
      </c>
      <c r="C31" s="49">
        <v>1000554576</v>
      </c>
      <c r="D31" s="48">
        <v>40000272</v>
      </c>
      <c r="E31" s="46">
        <v>0</v>
      </c>
      <c r="F31" s="101">
        <v>150000</v>
      </c>
      <c r="G31" s="284">
        <v>0</v>
      </c>
      <c r="H31" s="46">
        <v>170000</v>
      </c>
      <c r="I31" s="46">
        <v>0</v>
      </c>
      <c r="J31" s="59">
        <v>170000</v>
      </c>
      <c r="K31" s="305">
        <v>170000</v>
      </c>
      <c r="L31" s="59">
        <f t="shared" si="1"/>
        <v>0</v>
      </c>
      <c r="M31" s="76"/>
      <c r="N31" s="121"/>
      <c r="O31" s="121"/>
      <c r="P31" s="288">
        <f>MATCH(B31,'42-02-26 פסטיבלים'!$A$5:$A$64,0)</f>
        <v>15</v>
      </c>
      <c r="Q31" s="289" t="e">
        <f>MATCH(B31,'42-02-26 פסטיבלים'!$A$100:$A$127,0)</f>
        <v>#N/A</v>
      </c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</row>
    <row r="32" spans="1:215" s="44" customFormat="1" ht="36" customHeight="1" x14ac:dyDescent="0.2">
      <c r="A32" s="55" t="s">
        <v>601</v>
      </c>
      <c r="B32" s="50">
        <v>500213517</v>
      </c>
      <c r="C32" s="49">
        <v>1000535045</v>
      </c>
      <c r="D32" s="48">
        <v>20000401</v>
      </c>
      <c r="E32" s="46"/>
      <c r="F32" s="46"/>
      <c r="G32" s="284"/>
      <c r="H32" s="46"/>
      <c r="I32" s="46">
        <v>0</v>
      </c>
      <c r="J32" s="59">
        <v>60000</v>
      </c>
      <c r="K32" s="299">
        <v>60000</v>
      </c>
      <c r="L32" s="59">
        <f t="shared" si="1"/>
        <v>0</v>
      </c>
      <c r="M32" s="118"/>
      <c r="P32" s="288" t="e">
        <f>MATCH(B32,'42-02-26 פסטיבלים'!$A$5:$A$64,0)</f>
        <v>#N/A</v>
      </c>
      <c r="Q32" s="289">
        <f>MATCH(B32,'42-02-26 פסטיבלים'!$A$100:$A$127,0)</f>
        <v>26</v>
      </c>
    </row>
    <row r="33" spans="1:17" s="44" customFormat="1" ht="50.25" customHeight="1" x14ac:dyDescent="0.2">
      <c r="A33" s="55" t="s">
        <v>602</v>
      </c>
      <c r="B33" s="50">
        <v>500224043</v>
      </c>
      <c r="C33" s="49">
        <v>1000554415</v>
      </c>
      <c r="D33" s="48">
        <v>20000139</v>
      </c>
      <c r="E33" s="46">
        <v>21000</v>
      </c>
      <c r="F33" s="46">
        <v>20000</v>
      </c>
      <c r="G33" s="284">
        <v>20000</v>
      </c>
      <c r="H33" s="46">
        <v>20000</v>
      </c>
      <c r="I33" s="194">
        <v>20000</v>
      </c>
      <c r="J33" s="59">
        <v>20000</v>
      </c>
      <c r="K33" s="299">
        <v>20000</v>
      </c>
      <c r="L33" s="59">
        <f t="shared" si="1"/>
        <v>0</v>
      </c>
      <c r="M33" s="300"/>
      <c r="P33" s="288" t="e">
        <f>MATCH(B33,'42-02-26 פסטיבלים'!$A$5:$A$64,0)</f>
        <v>#N/A</v>
      </c>
      <c r="Q33" s="289" t="e">
        <f>MATCH(B33,'42-02-26 פסטיבלים'!$A$100:$A$127,0)</f>
        <v>#N/A</v>
      </c>
    </row>
    <row r="34" spans="1:17" s="44" customFormat="1" ht="39.950000000000003" customHeight="1" x14ac:dyDescent="0.2">
      <c r="A34" s="55" t="s">
        <v>603</v>
      </c>
      <c r="B34" s="50">
        <v>580327740</v>
      </c>
      <c r="C34" s="49">
        <v>1000541518</v>
      </c>
      <c r="D34" s="48">
        <v>40221541</v>
      </c>
      <c r="E34" s="46">
        <v>15000</v>
      </c>
      <c r="F34" s="46">
        <v>16000</v>
      </c>
      <c r="G34" s="284">
        <v>16000</v>
      </c>
      <c r="H34" s="46">
        <v>20000</v>
      </c>
      <c r="I34" s="46">
        <v>20000</v>
      </c>
      <c r="J34" s="59">
        <v>20000</v>
      </c>
      <c r="K34" s="299">
        <v>20000</v>
      </c>
      <c r="L34" s="59">
        <f t="shared" si="1"/>
        <v>0</v>
      </c>
      <c r="M34" s="118"/>
      <c r="P34" s="288">
        <f>MATCH(B34,'42-02-26 פסטיבלים'!$A$5:$A$64,0)</f>
        <v>43</v>
      </c>
      <c r="Q34" s="289" t="e">
        <f>MATCH(B34,'42-02-26 פסטיבלים'!$A$100:$A$127,0)</f>
        <v>#N/A</v>
      </c>
    </row>
    <row r="35" spans="1:17" s="44" customFormat="1" ht="48.75" customHeight="1" x14ac:dyDescent="0.2">
      <c r="A35" s="51" t="s">
        <v>604</v>
      </c>
      <c r="B35" s="105">
        <v>580390565</v>
      </c>
      <c r="C35" s="49">
        <v>1000544630</v>
      </c>
      <c r="D35" s="48">
        <v>40221505</v>
      </c>
      <c r="E35" s="46">
        <v>100000</v>
      </c>
      <c r="F35" s="46">
        <v>150000</v>
      </c>
      <c r="G35" s="284">
        <v>150000</v>
      </c>
      <c r="H35" s="46">
        <v>150000</v>
      </c>
      <c r="I35" s="46">
        <v>150000</v>
      </c>
      <c r="J35" s="59">
        <v>80000</v>
      </c>
      <c r="K35" s="305">
        <v>80000</v>
      </c>
      <c r="L35" s="59">
        <f>J35-K35</f>
        <v>0</v>
      </c>
      <c r="M35" s="118"/>
      <c r="P35" s="288">
        <f>MATCH(B35,'42-02-26 פסטיבלים'!$A$5:$A$64,0)</f>
        <v>41</v>
      </c>
      <c r="Q35" s="289" t="e">
        <f>MATCH(B35,'42-02-26 פסטיבלים'!$A$100:$A$127,0)</f>
        <v>#N/A</v>
      </c>
    </row>
    <row r="36" spans="1:17" s="44" customFormat="1" ht="50.25" customHeight="1" x14ac:dyDescent="0.2">
      <c r="A36" s="72" t="s">
        <v>605</v>
      </c>
      <c r="B36" s="53">
        <v>500226006</v>
      </c>
      <c r="C36" s="49">
        <v>1000545649</v>
      </c>
      <c r="D36" s="48">
        <v>20000147</v>
      </c>
      <c r="E36" s="46">
        <v>235000</v>
      </c>
      <c r="F36" s="101">
        <v>310000</v>
      </c>
      <c r="G36" s="284">
        <v>285000</v>
      </c>
      <c r="H36" s="46">
        <v>245000</v>
      </c>
      <c r="I36" s="46">
        <v>0</v>
      </c>
      <c r="J36" s="59">
        <v>106047</v>
      </c>
      <c r="K36" s="59">
        <v>106047</v>
      </c>
      <c r="L36" s="59">
        <f>J36-K36</f>
        <v>0</v>
      </c>
      <c r="M36" s="300"/>
      <c r="P36" s="288" t="e">
        <f>MATCH(B36,'42-02-26 פסטיבלים'!$A$5:$A$64,0)</f>
        <v>#N/A</v>
      </c>
      <c r="Q36" s="289">
        <f>MATCH(B36,'42-02-26 פסטיבלים'!$A$100:$A$127,0)</f>
        <v>9</v>
      </c>
    </row>
    <row r="37" spans="1:17" s="44" customFormat="1" ht="50.25" customHeight="1" x14ac:dyDescent="0.2">
      <c r="A37" s="72" t="s">
        <v>606</v>
      </c>
      <c r="B37" s="53">
        <v>500226006</v>
      </c>
      <c r="C37" s="49">
        <v>1000545221</v>
      </c>
      <c r="D37" s="48">
        <v>20000147</v>
      </c>
      <c r="E37" s="46">
        <v>230000</v>
      </c>
      <c r="F37" s="101">
        <v>275000</v>
      </c>
      <c r="G37" s="284">
        <v>250000</v>
      </c>
      <c r="H37" s="46">
        <v>290000</v>
      </c>
      <c r="I37" s="46">
        <v>290000</v>
      </c>
      <c r="J37" s="59">
        <v>307538</v>
      </c>
      <c r="K37" s="59">
        <v>307538</v>
      </c>
      <c r="L37" s="59">
        <f>J37-K37</f>
        <v>0</v>
      </c>
      <c r="M37" s="300"/>
      <c r="P37" s="288" t="e">
        <f>MATCH(B37,'42-02-26 פסטיבלים'!$A$5:$A$64,0)</f>
        <v>#N/A</v>
      </c>
      <c r="Q37" s="289">
        <f>MATCH(B37,'42-02-26 פסטיבלים'!$A$100:$A$127,0)</f>
        <v>9</v>
      </c>
    </row>
    <row r="38" spans="1:17" s="44" customFormat="1" ht="37.5" customHeight="1" x14ac:dyDescent="0.2">
      <c r="A38" s="72" t="s">
        <v>607</v>
      </c>
      <c r="B38" s="53">
        <v>511854788</v>
      </c>
      <c r="C38" s="49">
        <v>1000552753</v>
      </c>
      <c r="D38" s="48">
        <v>40000036</v>
      </c>
      <c r="E38" s="46">
        <v>0</v>
      </c>
      <c r="F38" s="101">
        <v>0</v>
      </c>
      <c r="G38" s="284">
        <v>0</v>
      </c>
      <c r="H38" s="46">
        <v>30000</v>
      </c>
      <c r="I38" s="46">
        <v>30000</v>
      </c>
      <c r="J38" s="59">
        <v>63628</v>
      </c>
      <c r="K38" s="299">
        <v>63628</v>
      </c>
      <c r="L38" s="59">
        <f t="shared" si="1"/>
        <v>0</v>
      </c>
      <c r="M38" s="301"/>
      <c r="P38" s="288">
        <f>MATCH(B38,'42-02-26 פסטיבלים'!$A$5:$A$64,0)</f>
        <v>13</v>
      </c>
      <c r="Q38" s="289" t="e">
        <f>MATCH(B38,'42-02-26 פסטיבלים'!$A$100:$A$127,0)</f>
        <v>#N/A</v>
      </c>
    </row>
    <row r="39" spans="1:17" s="44" customFormat="1" ht="41.25" customHeight="1" x14ac:dyDescent="0.2">
      <c r="A39" s="51" t="s">
        <v>608</v>
      </c>
      <c r="B39" s="53">
        <v>580103026</v>
      </c>
      <c r="C39" s="49">
        <v>1000543143</v>
      </c>
      <c r="D39" s="48">
        <v>40000134</v>
      </c>
      <c r="E39" s="46">
        <v>140000</v>
      </c>
      <c r="F39" s="46">
        <v>150000</v>
      </c>
      <c r="G39" s="284">
        <v>150000</v>
      </c>
      <c r="H39" s="46">
        <v>180000</v>
      </c>
      <c r="I39" s="46">
        <v>250000</v>
      </c>
      <c r="J39" s="59">
        <v>190885</v>
      </c>
      <c r="K39" s="59">
        <v>190885</v>
      </c>
      <c r="L39" s="59">
        <f t="shared" si="1"/>
        <v>0</v>
      </c>
      <c r="M39" s="118"/>
      <c r="P39" s="288">
        <f>MATCH(B39,'42-02-26 פסטיבלים'!$A$5:$A$64,0)</f>
        <v>35</v>
      </c>
      <c r="Q39" s="289" t="e">
        <f>MATCH(B39,'42-02-26 פסטיבלים'!$A$100:$A$127,0)</f>
        <v>#N/A</v>
      </c>
    </row>
    <row r="40" spans="1:17" s="44" customFormat="1" ht="46.5" customHeight="1" x14ac:dyDescent="0.2">
      <c r="A40" s="51" t="s">
        <v>609</v>
      </c>
      <c r="B40" s="105">
        <v>580129179</v>
      </c>
      <c r="C40" s="49">
        <v>1000551137</v>
      </c>
      <c r="D40" s="48">
        <v>40000144</v>
      </c>
      <c r="E40" s="46">
        <v>99000</v>
      </c>
      <c r="F40" s="46">
        <v>130000</v>
      </c>
      <c r="G40" s="284">
        <v>123950</v>
      </c>
      <c r="H40" s="46">
        <v>180000</v>
      </c>
      <c r="I40" s="46">
        <v>180000</v>
      </c>
      <c r="J40" s="59">
        <v>233304</v>
      </c>
      <c r="K40" s="59">
        <v>233304</v>
      </c>
      <c r="L40" s="59">
        <f t="shared" si="1"/>
        <v>0</v>
      </c>
      <c r="M40" s="92"/>
      <c r="P40" s="288" t="e">
        <f>MATCH(B40,'42-02-26 פסטיבלים'!$A$5:$A$64,0)</f>
        <v>#N/A</v>
      </c>
      <c r="Q40" s="289">
        <f>MATCH(B40,'42-02-26 פסטיבלים'!$A$100:$A$127,0)</f>
        <v>1</v>
      </c>
    </row>
    <row r="41" spans="1:17" s="44" customFormat="1" ht="63" customHeight="1" x14ac:dyDescent="0.2">
      <c r="A41" s="55" t="s">
        <v>610</v>
      </c>
      <c r="B41" s="182">
        <v>580200830</v>
      </c>
      <c r="C41" s="49">
        <v>1000534414</v>
      </c>
      <c r="D41" s="48">
        <v>40000550</v>
      </c>
      <c r="E41" s="46"/>
      <c r="F41" s="46"/>
      <c r="G41" s="284"/>
      <c r="H41" s="46">
        <v>0</v>
      </c>
      <c r="I41" s="46">
        <v>30000</v>
      </c>
      <c r="J41" s="59">
        <v>31814</v>
      </c>
      <c r="K41" s="299">
        <v>31814</v>
      </c>
      <c r="L41" s="59">
        <f t="shared" si="1"/>
        <v>0</v>
      </c>
      <c r="M41" s="300"/>
      <c r="P41" s="288">
        <f>MATCH(B41,'42-02-26 פסטיבלים'!$A$5:$A$64,0)</f>
        <v>56</v>
      </c>
      <c r="Q41" s="289" t="e">
        <f>MATCH(B41,'42-02-26 פסטיבלים'!$A$100:$A$127,0)</f>
        <v>#N/A</v>
      </c>
    </row>
    <row r="42" spans="1:17" s="62" customFormat="1" ht="38.25" x14ac:dyDescent="0.2">
      <c r="A42" s="55" t="s">
        <v>611</v>
      </c>
      <c r="B42" s="50">
        <v>580327740</v>
      </c>
      <c r="C42" s="49">
        <v>1000541211</v>
      </c>
      <c r="D42" s="48">
        <v>40221541</v>
      </c>
      <c r="E42" s="46">
        <v>0</v>
      </c>
      <c r="F42" s="46">
        <v>20000</v>
      </c>
      <c r="G42" s="284">
        <v>20000</v>
      </c>
      <c r="H42" s="46">
        <v>20000</v>
      </c>
      <c r="I42" s="46">
        <v>20000</v>
      </c>
      <c r="J42" s="59">
        <v>31814</v>
      </c>
      <c r="K42" s="299">
        <v>31814</v>
      </c>
      <c r="L42" s="59">
        <f t="shared" si="1"/>
        <v>0</v>
      </c>
      <c r="M42" s="118"/>
      <c r="P42" s="288">
        <f>MATCH(B42,'42-02-26 פסטיבלים'!$A$5:$A$64,0)</f>
        <v>43</v>
      </c>
      <c r="Q42" s="289" t="e">
        <f>MATCH(B42,'42-02-26 פסטיבלים'!$A$100:$A$127,0)</f>
        <v>#N/A</v>
      </c>
    </row>
    <row r="43" spans="1:17" s="44" customFormat="1" ht="44.25" customHeight="1" x14ac:dyDescent="0.2">
      <c r="A43" s="55" t="s">
        <v>612</v>
      </c>
      <c r="B43" s="50">
        <v>513377457</v>
      </c>
      <c r="C43" s="49">
        <v>1000544989</v>
      </c>
      <c r="D43" s="48">
        <v>40474818</v>
      </c>
      <c r="E43" s="46">
        <v>30000</v>
      </c>
      <c r="F43" s="46">
        <v>20000</v>
      </c>
      <c r="G43" s="284">
        <v>20000</v>
      </c>
      <c r="H43" s="46">
        <v>20000</v>
      </c>
      <c r="I43" s="46">
        <v>20000</v>
      </c>
      <c r="J43" s="59">
        <v>21209</v>
      </c>
      <c r="K43" s="299">
        <v>21209</v>
      </c>
      <c r="L43" s="59">
        <f t="shared" si="1"/>
        <v>0</v>
      </c>
      <c r="M43" s="262"/>
      <c r="P43" s="288">
        <f>MATCH(B43,'42-02-26 פסטיבלים'!$A$5:$A$64,0)</f>
        <v>50</v>
      </c>
      <c r="Q43" s="289" t="e">
        <f>MATCH(B43,'42-02-26 פסטיבלים'!$A$100:$A$127,0)</f>
        <v>#N/A</v>
      </c>
    </row>
    <row r="44" spans="1:17" s="62" customFormat="1" ht="50.25" customHeight="1" x14ac:dyDescent="0.2">
      <c r="A44" s="55" t="s">
        <v>613</v>
      </c>
      <c r="B44" s="188">
        <v>500221015</v>
      </c>
      <c r="C44" s="49">
        <v>1000546733</v>
      </c>
      <c r="D44" s="132">
        <v>20000127</v>
      </c>
      <c r="E44" s="119">
        <v>100000</v>
      </c>
      <c r="F44" s="119">
        <v>100000</v>
      </c>
      <c r="G44" s="297">
        <v>100000</v>
      </c>
      <c r="H44" s="119">
        <v>100000</v>
      </c>
      <c r="I44" s="46">
        <v>100000</v>
      </c>
      <c r="J44" s="59">
        <v>106047</v>
      </c>
      <c r="K44" s="59">
        <v>106047</v>
      </c>
      <c r="L44" s="59">
        <f t="shared" si="1"/>
        <v>0</v>
      </c>
      <c r="M44" s="118"/>
      <c r="P44" s="288" t="e">
        <f>MATCH(B44,'42-02-26 פסטיבלים'!$A$5:$A$64,0)</f>
        <v>#N/A</v>
      </c>
      <c r="Q44" s="289">
        <f>MATCH(B44,'42-02-26 פסטיבלים'!$A$100:$A$127,0)</f>
        <v>11</v>
      </c>
    </row>
    <row r="45" spans="1:17" s="44" customFormat="1" ht="50.25" customHeight="1" thickBot="1" x14ac:dyDescent="0.25">
      <c r="A45" s="191" t="s">
        <v>614</v>
      </c>
      <c r="B45" s="265">
        <v>500225602</v>
      </c>
      <c r="C45" s="266">
        <v>1000547980</v>
      </c>
      <c r="D45" s="184">
        <v>20000144</v>
      </c>
      <c r="E45" s="187">
        <v>180000</v>
      </c>
      <c r="F45" s="307">
        <v>150000</v>
      </c>
      <c r="G45" s="308">
        <v>150000</v>
      </c>
      <c r="H45" s="309">
        <v>150000</v>
      </c>
      <c r="I45" s="194">
        <v>150000</v>
      </c>
      <c r="J45" s="59">
        <v>169676</v>
      </c>
      <c r="K45" s="59">
        <v>169676</v>
      </c>
      <c r="L45" s="53">
        <f t="shared" si="1"/>
        <v>0</v>
      </c>
      <c r="M45" s="310"/>
      <c r="P45" s="288" t="e">
        <f>MATCH(B45,'42-02-26 פסטיבלים'!$A$5:$A$64,0)</f>
        <v>#N/A</v>
      </c>
      <c r="Q45" s="289">
        <f>MATCH(B45,'42-02-26 פסטיבלים'!$A$100:$A$127,0)</f>
        <v>8</v>
      </c>
    </row>
    <row r="46" spans="1:17" s="44" customFormat="1" ht="50.25" customHeight="1" thickBot="1" x14ac:dyDescent="0.25">
      <c r="A46" s="55" t="s">
        <v>615</v>
      </c>
      <c r="B46" s="50">
        <v>500280003</v>
      </c>
      <c r="C46" s="49">
        <v>1000542548</v>
      </c>
      <c r="D46" s="48">
        <v>20000244</v>
      </c>
      <c r="E46" s="311">
        <v>360000</v>
      </c>
      <c r="F46" s="312">
        <v>350000</v>
      </c>
      <c r="G46" s="101">
        <v>350000</v>
      </c>
      <c r="H46" s="313">
        <v>350000</v>
      </c>
      <c r="I46" s="46">
        <v>350000</v>
      </c>
      <c r="J46" s="59">
        <v>381771</v>
      </c>
      <c r="K46" s="59">
        <v>381771</v>
      </c>
      <c r="L46" s="59">
        <f t="shared" si="1"/>
        <v>0</v>
      </c>
      <c r="M46" s="303"/>
      <c r="P46" s="288" t="e">
        <f>MATCH(B46,'42-02-26 פסטיבלים'!$A$5:$A$64,0)</f>
        <v>#N/A</v>
      </c>
      <c r="Q46" s="289">
        <f>MATCH(B46,'42-02-26 פסטיבלים'!$A$100:$A$127,0)</f>
        <v>7</v>
      </c>
    </row>
    <row r="47" spans="1:17" s="62" customFormat="1" ht="41.25" customHeight="1" x14ac:dyDescent="0.2">
      <c r="A47" s="55" t="s">
        <v>616</v>
      </c>
      <c r="B47" s="50">
        <v>500284005</v>
      </c>
      <c r="C47" s="49">
        <v>1000541950</v>
      </c>
      <c r="D47" s="48">
        <v>20000248</v>
      </c>
      <c r="E47" s="46">
        <v>0</v>
      </c>
      <c r="F47" s="46">
        <v>0</v>
      </c>
      <c r="G47" s="284">
        <v>0</v>
      </c>
      <c r="H47" s="284">
        <v>30000</v>
      </c>
      <c r="I47" s="46">
        <v>30000</v>
      </c>
      <c r="J47" s="59">
        <v>31814</v>
      </c>
      <c r="K47" s="59">
        <v>31814</v>
      </c>
      <c r="L47" s="59">
        <f t="shared" si="1"/>
        <v>0</v>
      </c>
      <c r="M47" s="58"/>
      <c r="P47" s="288" t="e">
        <f>MATCH(B47,'42-02-26 פסטיבלים'!$A$5:$A$64,0)</f>
        <v>#N/A</v>
      </c>
      <c r="Q47" s="289" t="e">
        <f>MATCH(B47,'42-02-26 פסטיבלים'!$A$100:$A$127,0)</f>
        <v>#N/A</v>
      </c>
    </row>
    <row r="48" spans="1:17" s="62" customFormat="1" ht="51.75" customHeight="1" x14ac:dyDescent="0.2">
      <c r="A48" s="55" t="s">
        <v>617</v>
      </c>
      <c r="B48" s="50">
        <v>513377457</v>
      </c>
      <c r="C48" s="49">
        <v>1000544958</v>
      </c>
      <c r="D48" s="48">
        <v>40474818</v>
      </c>
      <c r="E48" s="46"/>
      <c r="F48" s="46"/>
      <c r="G48" s="284"/>
      <c r="H48" s="46"/>
      <c r="I48" s="46">
        <v>0</v>
      </c>
      <c r="J48" s="59">
        <v>120000</v>
      </c>
      <c r="K48" s="299">
        <v>120000</v>
      </c>
      <c r="L48" s="59">
        <f t="shared" si="1"/>
        <v>0</v>
      </c>
      <c r="M48" s="314"/>
      <c r="P48" s="288">
        <f>MATCH(B48,'42-02-26 פסטיבלים'!$A$5:$A$64,0)</f>
        <v>50</v>
      </c>
      <c r="Q48" s="289" t="e">
        <f>MATCH(B48,'42-02-26 פסטיבלים'!$A$100:$A$127,0)</f>
        <v>#N/A</v>
      </c>
    </row>
    <row r="49" spans="1:215" s="44" customFormat="1" ht="60.75" customHeight="1" x14ac:dyDescent="0.2">
      <c r="A49" s="51" t="s">
        <v>618</v>
      </c>
      <c r="B49" s="50">
        <v>580233815</v>
      </c>
      <c r="C49" s="49">
        <v>1000538951</v>
      </c>
      <c r="D49" s="48">
        <v>40000189</v>
      </c>
      <c r="E49" s="46">
        <v>35000</v>
      </c>
      <c r="F49" s="101">
        <v>0</v>
      </c>
      <c r="G49" s="284">
        <v>15000</v>
      </c>
      <c r="H49" s="46">
        <v>20000</v>
      </c>
      <c r="I49" s="46">
        <v>20000</v>
      </c>
      <c r="J49" s="59">
        <v>20000</v>
      </c>
      <c r="K49" s="305">
        <v>20000</v>
      </c>
      <c r="L49" s="59">
        <f t="shared" si="1"/>
        <v>0</v>
      </c>
      <c r="M49" s="118"/>
      <c r="P49" s="288" t="e">
        <f>MATCH(B49,'42-02-26 פסטיבלים'!$A$5:$A$64,0)</f>
        <v>#N/A</v>
      </c>
      <c r="Q49" s="289" t="e">
        <f>MATCH(B49,'42-02-26 פסטיבלים'!$A$100:$A$127,0)</f>
        <v>#N/A</v>
      </c>
    </row>
    <row r="50" spans="1:215" s="44" customFormat="1" ht="41.25" customHeight="1" x14ac:dyDescent="0.2">
      <c r="A50" s="55" t="s">
        <v>619</v>
      </c>
      <c r="B50" s="182">
        <v>580144624</v>
      </c>
      <c r="C50" s="49">
        <v>1000547500</v>
      </c>
      <c r="D50" s="48">
        <v>40000150</v>
      </c>
      <c r="E50" s="46"/>
      <c r="F50" s="46"/>
      <c r="G50" s="284"/>
      <c r="H50" s="46"/>
      <c r="I50" s="46">
        <v>0</v>
      </c>
      <c r="J50" s="59">
        <v>30000</v>
      </c>
      <c r="K50" s="59">
        <v>30000</v>
      </c>
      <c r="L50" s="59">
        <f t="shared" si="1"/>
        <v>0</v>
      </c>
      <c r="M50" s="118"/>
      <c r="P50" s="288">
        <f>MATCH(B50,'42-02-26 פסטיבלים'!$A$5:$A$64,0)</f>
        <v>59</v>
      </c>
      <c r="Q50" s="289" t="e">
        <f>MATCH(B50,'42-02-26 פסטיבלים'!$A$100:$A$127,0)</f>
        <v>#N/A</v>
      </c>
    </row>
    <row r="51" spans="1:215" s="62" customFormat="1" ht="39.950000000000003" customHeight="1" x14ac:dyDescent="0.2">
      <c r="A51" s="55" t="s">
        <v>620</v>
      </c>
      <c r="B51" s="50">
        <v>500226402</v>
      </c>
      <c r="C51" s="49">
        <v>1000552812</v>
      </c>
      <c r="D51" s="48">
        <v>20000151</v>
      </c>
      <c r="E51" s="46">
        <v>60000</v>
      </c>
      <c r="F51" s="101">
        <v>80000</v>
      </c>
      <c r="G51" s="284">
        <v>40000</v>
      </c>
      <c r="H51" s="46">
        <v>40000</v>
      </c>
      <c r="I51" s="46">
        <v>30000</v>
      </c>
      <c r="J51" s="59">
        <v>20000</v>
      </c>
      <c r="K51" s="299">
        <v>20000</v>
      </c>
      <c r="L51" s="59">
        <f t="shared" si="1"/>
        <v>0</v>
      </c>
      <c r="M51" s="300"/>
      <c r="P51" s="288" t="e">
        <f>MATCH(B51,'42-02-26 פסטיבלים'!$A$5:$A$64,0)</f>
        <v>#N/A</v>
      </c>
      <c r="Q51" s="289">
        <f>MATCH(B51,'42-02-26 פסטיבלים'!$A$100:$A$127,0)</f>
        <v>23</v>
      </c>
    </row>
    <row r="52" spans="1:215" s="62" customFormat="1" ht="39.950000000000003" customHeight="1" x14ac:dyDescent="0.2">
      <c r="A52" s="55" t="s">
        <v>621</v>
      </c>
      <c r="B52" s="50">
        <v>510655756</v>
      </c>
      <c r="C52" s="49">
        <v>1000545254</v>
      </c>
      <c r="D52" s="48">
        <v>40000019</v>
      </c>
      <c r="E52" s="46">
        <v>0</v>
      </c>
      <c r="F52" s="46">
        <v>0</v>
      </c>
      <c r="G52" s="284">
        <v>0</v>
      </c>
      <c r="H52" s="46">
        <v>30000</v>
      </c>
      <c r="I52" s="46">
        <v>30000</v>
      </c>
      <c r="J52" s="59">
        <v>31814</v>
      </c>
      <c r="K52" s="59">
        <v>31814</v>
      </c>
      <c r="L52" s="59">
        <f t="shared" si="1"/>
        <v>0</v>
      </c>
      <c r="M52" s="303"/>
      <c r="P52" s="288">
        <f>MATCH(B52,'42-02-26 פסטיבלים'!$A$5:$A$64,0)</f>
        <v>54</v>
      </c>
      <c r="Q52" s="289" t="e">
        <f>MATCH(B52,'42-02-26 פסטיבלים'!$A$100:$A$127,0)</f>
        <v>#N/A</v>
      </c>
    </row>
    <row r="53" spans="1:215" s="62" customFormat="1" ht="47.25" customHeight="1" x14ac:dyDescent="0.2">
      <c r="A53" s="55" t="s">
        <v>622</v>
      </c>
      <c r="B53" s="182">
        <v>500266002</v>
      </c>
      <c r="C53" s="49">
        <v>1000545150</v>
      </c>
      <c r="D53" s="48">
        <v>20000224</v>
      </c>
      <c r="E53" s="46">
        <v>20000</v>
      </c>
      <c r="F53" s="46">
        <v>20000</v>
      </c>
      <c r="G53" s="284">
        <v>20000</v>
      </c>
      <c r="H53" s="46">
        <v>20000</v>
      </c>
      <c r="I53" s="46">
        <v>20000</v>
      </c>
      <c r="J53" s="59">
        <v>20000</v>
      </c>
      <c r="K53" s="299">
        <v>20000</v>
      </c>
      <c r="L53" s="59">
        <f t="shared" si="1"/>
        <v>0</v>
      </c>
      <c r="M53" s="300"/>
      <c r="P53" s="288" t="e">
        <f>MATCH(B53,'42-02-26 פסטיבלים'!$A$5:$A$64,0)</f>
        <v>#N/A</v>
      </c>
      <c r="Q53" s="289">
        <f>MATCH(B53,'42-02-26 פסטיבלים'!$A$100:$A$127,0)</f>
        <v>14</v>
      </c>
    </row>
    <row r="54" spans="1:215" s="44" customFormat="1" ht="39.950000000000003" customHeight="1" x14ac:dyDescent="0.2">
      <c r="A54" s="72" t="s">
        <v>623</v>
      </c>
      <c r="B54" s="53">
        <v>590000659</v>
      </c>
      <c r="C54" s="49">
        <v>1000540738</v>
      </c>
      <c r="D54" s="48">
        <v>40000712</v>
      </c>
      <c r="E54" s="46"/>
      <c r="F54" s="46"/>
      <c r="G54" s="284"/>
      <c r="H54" s="46"/>
      <c r="I54" s="46">
        <v>0</v>
      </c>
      <c r="J54" s="59">
        <v>400000</v>
      </c>
      <c r="K54" s="59">
        <v>400000</v>
      </c>
      <c r="L54" s="59">
        <f t="shared" si="1"/>
        <v>0</v>
      </c>
      <c r="M54" s="118"/>
      <c r="P54" s="288">
        <f>MATCH(B54,'42-02-26 פסטיבלים'!$A$5:$A$64,0)</f>
        <v>58</v>
      </c>
      <c r="Q54" s="289" t="e">
        <f>MATCH(B54,'42-02-26 פסטיבלים'!$A$100:$A$127,0)</f>
        <v>#N/A</v>
      </c>
    </row>
    <row r="55" spans="1:215" s="44" customFormat="1" ht="48.75" customHeight="1" x14ac:dyDescent="0.2">
      <c r="A55" s="72" t="s">
        <v>624</v>
      </c>
      <c r="B55" s="53">
        <v>510748734</v>
      </c>
      <c r="C55" s="49">
        <v>1000542836</v>
      </c>
      <c r="D55" s="48">
        <v>40000028</v>
      </c>
      <c r="E55" s="46">
        <v>0</v>
      </c>
      <c r="F55" s="101">
        <v>0</v>
      </c>
      <c r="G55" s="284">
        <v>0</v>
      </c>
      <c r="H55" s="46">
        <v>50000</v>
      </c>
      <c r="I55" s="46">
        <v>50000</v>
      </c>
      <c r="J55" s="59">
        <v>50000</v>
      </c>
      <c r="K55" s="59">
        <v>50000</v>
      </c>
      <c r="L55" s="59">
        <f t="shared" si="1"/>
        <v>0</v>
      </c>
      <c r="M55" s="118"/>
      <c r="P55" s="288">
        <f>MATCH(B55,'42-02-26 פסטיבלים'!$A$5:$A$64,0)</f>
        <v>6</v>
      </c>
      <c r="Q55" s="289" t="e">
        <f>MATCH(B55,'42-02-26 פסטיבלים'!$A$100:$A$127,0)</f>
        <v>#N/A</v>
      </c>
    </row>
    <row r="56" spans="1:215" s="44" customFormat="1" ht="49.5" customHeight="1" x14ac:dyDescent="0.2">
      <c r="A56" s="55" t="s">
        <v>625</v>
      </c>
      <c r="B56" s="50">
        <v>500295001</v>
      </c>
      <c r="C56" s="49">
        <v>1000553518</v>
      </c>
      <c r="D56" s="48">
        <v>20000259</v>
      </c>
      <c r="E56" s="46">
        <v>0</v>
      </c>
      <c r="F56" s="46">
        <v>0</v>
      </c>
      <c r="G56" s="284">
        <v>0</v>
      </c>
      <c r="H56" s="46">
        <v>30000</v>
      </c>
      <c r="I56" s="46">
        <v>30000</v>
      </c>
      <c r="J56" s="59">
        <v>30000</v>
      </c>
      <c r="K56" s="299">
        <v>30000</v>
      </c>
      <c r="L56" s="59">
        <f t="shared" si="1"/>
        <v>0</v>
      </c>
      <c r="M56" s="118"/>
      <c r="P56" s="288" t="e">
        <f>MATCH(B56,'42-02-26 פסטיבלים'!$A$5:$A$64,0)</f>
        <v>#N/A</v>
      </c>
      <c r="Q56" s="289" t="e">
        <f>MATCH(B56,'42-02-26 פסטיבלים'!$A$100:$A$127,0)</f>
        <v>#N/A</v>
      </c>
    </row>
    <row r="57" spans="1:215" s="62" customFormat="1" ht="42" customHeight="1" x14ac:dyDescent="0.2">
      <c r="A57" s="72" t="s">
        <v>626</v>
      </c>
      <c r="B57" s="53">
        <v>580215333</v>
      </c>
      <c r="C57" s="49">
        <v>1000546911</v>
      </c>
      <c r="D57" s="48">
        <v>40000564</v>
      </c>
      <c r="E57" s="46"/>
      <c r="F57" s="46"/>
      <c r="G57" s="284"/>
      <c r="H57" s="46"/>
      <c r="I57" s="46">
        <v>0</v>
      </c>
      <c r="J57" s="59">
        <v>30000</v>
      </c>
      <c r="K57" s="59">
        <v>30000</v>
      </c>
      <c r="L57" s="59">
        <f t="shared" si="1"/>
        <v>0</v>
      </c>
      <c r="M57" s="129"/>
      <c r="N57" s="287"/>
      <c r="O57" s="287"/>
      <c r="P57" s="288">
        <f>MATCH(B57,'42-02-26 פסטיבלים'!$A$5:$A$64,0)</f>
        <v>16</v>
      </c>
      <c r="Q57" s="289" t="e">
        <f>MATCH(B57,'42-02-26 פסטיבלים'!$A$100:$A$127,0)</f>
        <v>#N/A</v>
      </c>
      <c r="R57" s="290"/>
      <c r="S57" s="183"/>
      <c r="T57" s="287"/>
      <c r="U57" s="287"/>
      <c r="V57" s="287"/>
      <c r="W57" s="287"/>
      <c r="X57" s="288"/>
      <c r="Y57" s="289"/>
      <c r="Z57" s="290"/>
      <c r="AA57" s="183"/>
      <c r="AB57" s="287"/>
      <c r="AC57" s="287"/>
      <c r="AD57" s="287"/>
      <c r="AE57" s="287"/>
      <c r="AF57" s="288"/>
      <c r="AG57" s="289"/>
      <c r="AH57" s="290"/>
      <c r="AI57" s="183"/>
      <c r="AJ57" s="287"/>
      <c r="AK57" s="287"/>
      <c r="AL57" s="287"/>
      <c r="AM57" s="287"/>
      <c r="AN57" s="288"/>
      <c r="AO57" s="289"/>
      <c r="AP57" s="290"/>
      <c r="AQ57" s="183"/>
      <c r="AR57" s="287"/>
      <c r="AS57" s="287"/>
      <c r="AT57" s="287"/>
      <c r="AU57" s="287"/>
      <c r="AV57" s="288"/>
      <c r="AW57" s="289"/>
      <c r="AX57" s="290"/>
      <c r="AY57" s="183"/>
      <c r="AZ57" s="287"/>
      <c r="BA57" s="287"/>
      <c r="BB57" s="287"/>
      <c r="BC57" s="287"/>
      <c r="BD57" s="288"/>
      <c r="BE57" s="289"/>
      <c r="BF57" s="290"/>
      <c r="BG57" s="183"/>
      <c r="BH57" s="287"/>
      <c r="BI57" s="287"/>
      <c r="BJ57" s="287"/>
      <c r="BK57" s="287"/>
      <c r="BL57" s="288"/>
      <c r="BM57" s="289"/>
      <c r="BN57" s="290"/>
      <c r="BO57" s="183"/>
      <c r="BP57" s="287"/>
      <c r="BQ57" s="287"/>
      <c r="BR57" s="287"/>
      <c r="BS57" s="287"/>
      <c r="BT57" s="288"/>
      <c r="BU57" s="289"/>
      <c r="BV57" s="290"/>
      <c r="BW57" s="183"/>
      <c r="BX57" s="287"/>
      <c r="BY57" s="287"/>
      <c r="BZ57" s="287"/>
      <c r="CA57" s="287"/>
      <c r="CB57" s="288"/>
      <c r="CC57" s="289"/>
      <c r="CD57" s="290"/>
      <c r="CE57" s="183"/>
      <c r="CF57" s="287"/>
      <c r="CG57" s="287"/>
      <c r="CH57" s="287"/>
      <c r="CI57" s="287"/>
      <c r="CJ57" s="288"/>
      <c r="CK57" s="289"/>
      <c r="CL57" s="290"/>
      <c r="CM57" s="183"/>
      <c r="CN57" s="287"/>
      <c r="CO57" s="287"/>
      <c r="CP57" s="287"/>
      <c r="CQ57" s="287"/>
      <c r="CR57" s="288"/>
      <c r="CS57" s="289"/>
      <c r="CT57" s="290"/>
      <c r="CU57" s="183"/>
      <c r="CV57" s="287"/>
      <c r="CW57" s="287"/>
      <c r="CX57" s="287"/>
      <c r="CY57" s="287"/>
      <c r="CZ57" s="288"/>
      <c r="DA57" s="289"/>
      <c r="DB57" s="290"/>
      <c r="DC57" s="183"/>
      <c r="DD57" s="287"/>
      <c r="DE57" s="287"/>
      <c r="DF57" s="287"/>
      <c r="DG57" s="287"/>
      <c r="DH57" s="288"/>
      <c r="DI57" s="289"/>
      <c r="DJ57" s="290"/>
      <c r="DK57" s="183"/>
      <c r="DL57" s="287"/>
      <c r="DM57" s="287"/>
      <c r="DN57" s="287"/>
      <c r="DO57" s="287"/>
      <c r="DP57" s="288"/>
      <c r="DQ57" s="289"/>
      <c r="DR57" s="290"/>
      <c r="DS57" s="183"/>
      <c r="DT57" s="287"/>
      <c r="DU57" s="287"/>
      <c r="DV57" s="287"/>
      <c r="DW57" s="287"/>
      <c r="DX57" s="288"/>
      <c r="DY57" s="289"/>
      <c r="DZ57" s="290"/>
      <c r="EA57" s="183"/>
      <c r="EB57" s="287"/>
      <c r="EC57" s="287"/>
      <c r="ED57" s="287"/>
      <c r="EE57" s="287"/>
      <c r="EF57" s="288"/>
      <c r="EG57" s="289"/>
      <c r="EH57" s="290"/>
      <c r="EI57" s="183"/>
      <c r="EJ57" s="287"/>
      <c r="EK57" s="287"/>
      <c r="EL57" s="287"/>
      <c r="EM57" s="287"/>
      <c r="EN57" s="288"/>
      <c r="EO57" s="289"/>
      <c r="EP57" s="290"/>
      <c r="EQ57" s="183"/>
      <c r="ER57" s="287"/>
      <c r="ES57" s="287"/>
      <c r="ET57" s="287"/>
      <c r="EU57" s="287"/>
      <c r="EV57" s="288"/>
      <c r="EW57" s="289"/>
      <c r="EX57" s="290"/>
      <c r="EY57" s="183"/>
      <c r="EZ57" s="287"/>
      <c r="FA57" s="287"/>
      <c r="FB57" s="287"/>
      <c r="FC57" s="287"/>
      <c r="FD57" s="288"/>
      <c r="FE57" s="289"/>
      <c r="FF57" s="290"/>
      <c r="FG57" s="183"/>
      <c r="FH57" s="287"/>
      <c r="FI57" s="287"/>
      <c r="FJ57" s="287"/>
      <c r="FK57" s="287"/>
      <c r="FL57" s="288"/>
      <c r="FM57" s="289"/>
      <c r="FN57" s="290"/>
      <c r="FO57" s="183"/>
      <c r="FP57" s="287"/>
      <c r="FQ57" s="287"/>
      <c r="FR57" s="287"/>
      <c r="FS57" s="287"/>
      <c r="FT57" s="288"/>
      <c r="FU57" s="289"/>
      <c r="FV57" s="290"/>
      <c r="FW57" s="183"/>
      <c r="FX57" s="287"/>
      <c r="FY57" s="287"/>
      <c r="FZ57" s="287"/>
      <c r="GA57" s="287"/>
      <c r="GB57" s="288"/>
      <c r="GC57" s="289"/>
      <c r="GD57" s="290"/>
      <c r="GE57" s="183"/>
      <c r="GF57" s="287"/>
      <c r="GG57" s="287"/>
      <c r="GH57" s="287"/>
      <c r="GI57" s="287"/>
      <c r="GJ57" s="288"/>
      <c r="GK57" s="289"/>
      <c r="GL57" s="290"/>
      <c r="GM57" s="183"/>
      <c r="GN57" s="287"/>
      <c r="GO57" s="287"/>
      <c r="GP57" s="287"/>
      <c r="GQ57" s="287"/>
      <c r="GR57" s="288"/>
      <c r="GS57" s="289"/>
      <c r="GT57" s="290"/>
      <c r="GU57" s="183"/>
      <c r="GV57" s="287"/>
      <c r="GW57" s="287"/>
      <c r="GX57" s="287"/>
      <c r="GY57" s="287"/>
      <c r="GZ57" s="288"/>
      <c r="HA57" s="289"/>
      <c r="HB57" s="290"/>
      <c r="HC57" s="183"/>
      <c r="HD57" s="287"/>
      <c r="HE57" s="287"/>
      <c r="HF57" s="287"/>
      <c r="HG57" s="287"/>
    </row>
    <row r="58" spans="1:215" s="62" customFormat="1" ht="39.75" customHeight="1" x14ac:dyDescent="0.2">
      <c r="A58" s="72" t="s">
        <v>627</v>
      </c>
      <c r="B58" s="53">
        <v>580215333</v>
      </c>
      <c r="C58" s="49">
        <v>1000546709</v>
      </c>
      <c r="D58" s="48">
        <v>40000564</v>
      </c>
      <c r="E58" s="46"/>
      <c r="F58" s="46"/>
      <c r="G58" s="284"/>
      <c r="H58" s="46">
        <v>0</v>
      </c>
      <c r="I58" s="46">
        <v>50000</v>
      </c>
      <c r="J58" s="59">
        <v>50000</v>
      </c>
      <c r="K58" s="59">
        <v>50000</v>
      </c>
      <c r="L58" s="59">
        <f t="shared" si="1"/>
        <v>0</v>
      </c>
      <c r="M58" s="129"/>
      <c r="P58" s="288">
        <f>MATCH(B58,'42-02-26 פסטיבלים'!$A$5:$A$64,0)</f>
        <v>16</v>
      </c>
      <c r="Q58" s="289" t="e">
        <f>MATCH(B58,'42-02-26 פסטיבלים'!$A$100:$A$127,0)</f>
        <v>#N/A</v>
      </c>
    </row>
    <row r="59" spans="1:215" s="62" customFormat="1" ht="47.25" customHeight="1" x14ac:dyDescent="0.2">
      <c r="A59" s="72" t="s">
        <v>628</v>
      </c>
      <c r="B59" s="53">
        <v>580215333</v>
      </c>
      <c r="C59" s="49">
        <v>1000546879</v>
      </c>
      <c r="D59" s="48">
        <v>40000564</v>
      </c>
      <c r="E59" s="46">
        <v>19000</v>
      </c>
      <c r="F59" s="46">
        <v>20000</v>
      </c>
      <c r="G59" s="284">
        <v>20000</v>
      </c>
      <c r="H59" s="46">
        <v>30000</v>
      </c>
      <c r="I59" s="46">
        <v>30000</v>
      </c>
      <c r="J59" s="59">
        <v>30000</v>
      </c>
      <c r="K59" s="59">
        <v>30000</v>
      </c>
      <c r="L59" s="59">
        <f t="shared" si="1"/>
        <v>0</v>
      </c>
      <c r="M59" s="129"/>
      <c r="N59" s="287"/>
      <c r="O59" s="287"/>
      <c r="P59" s="288">
        <f>MATCH(B59,'42-02-26 פסטיבלים'!$A$5:$A$64,0)</f>
        <v>16</v>
      </c>
      <c r="Q59" s="289" t="e">
        <f>MATCH(B59,'42-02-26 פסטיבלים'!$A$100:$A$127,0)</f>
        <v>#N/A</v>
      </c>
      <c r="R59" s="290"/>
      <c r="S59" s="183"/>
      <c r="T59" s="287"/>
      <c r="U59" s="287"/>
      <c r="V59" s="287"/>
      <c r="W59" s="287"/>
      <c r="X59" s="288"/>
      <c r="Y59" s="289"/>
      <c r="Z59" s="290"/>
      <c r="AA59" s="183"/>
      <c r="AB59" s="287"/>
      <c r="AC59" s="287"/>
      <c r="AD59" s="287"/>
      <c r="AE59" s="287"/>
      <c r="AF59" s="288"/>
      <c r="AG59" s="289"/>
      <c r="AH59" s="290"/>
      <c r="AI59" s="183"/>
      <c r="AJ59" s="287"/>
      <c r="AK59" s="287"/>
      <c r="AL59" s="287"/>
      <c r="AM59" s="287"/>
      <c r="AN59" s="288"/>
      <c r="AO59" s="289"/>
      <c r="AP59" s="290"/>
      <c r="AQ59" s="183"/>
      <c r="AR59" s="287"/>
      <c r="AS59" s="287"/>
      <c r="AT59" s="287"/>
      <c r="AU59" s="287"/>
      <c r="AV59" s="288"/>
      <c r="AW59" s="289"/>
      <c r="AX59" s="290"/>
      <c r="AY59" s="183"/>
      <c r="AZ59" s="287"/>
      <c r="BA59" s="287"/>
      <c r="BB59" s="287"/>
      <c r="BC59" s="287"/>
      <c r="BD59" s="288"/>
      <c r="BE59" s="289"/>
      <c r="BF59" s="290"/>
      <c r="BG59" s="183"/>
      <c r="BH59" s="287"/>
      <c r="BI59" s="287"/>
      <c r="BJ59" s="287"/>
      <c r="BK59" s="287"/>
      <c r="BL59" s="288"/>
      <c r="BM59" s="289"/>
      <c r="BN59" s="290"/>
      <c r="BO59" s="183"/>
      <c r="BP59" s="287"/>
      <c r="BQ59" s="287"/>
      <c r="BR59" s="287"/>
      <c r="BS59" s="287"/>
      <c r="BT59" s="288"/>
      <c r="BU59" s="289"/>
      <c r="BV59" s="290"/>
      <c r="BW59" s="183"/>
      <c r="BX59" s="287"/>
      <c r="BY59" s="287"/>
      <c r="BZ59" s="287"/>
      <c r="CA59" s="287"/>
      <c r="CB59" s="288"/>
      <c r="CC59" s="289"/>
      <c r="CD59" s="290"/>
      <c r="CE59" s="183"/>
      <c r="CF59" s="287"/>
      <c r="CG59" s="287"/>
      <c r="CH59" s="287"/>
      <c r="CI59" s="287"/>
      <c r="CJ59" s="288"/>
      <c r="CK59" s="289"/>
      <c r="CL59" s="290"/>
      <c r="CM59" s="183"/>
      <c r="CN59" s="287"/>
      <c r="CO59" s="287"/>
      <c r="CP59" s="287"/>
      <c r="CQ59" s="287"/>
      <c r="CR59" s="288"/>
      <c r="CS59" s="289"/>
      <c r="CT59" s="290"/>
      <c r="CU59" s="183"/>
      <c r="CV59" s="287"/>
      <c r="CW59" s="287"/>
      <c r="CX59" s="287"/>
      <c r="CY59" s="287"/>
      <c r="CZ59" s="288"/>
      <c r="DA59" s="289"/>
      <c r="DB59" s="290"/>
      <c r="DC59" s="183"/>
      <c r="DD59" s="287"/>
      <c r="DE59" s="287"/>
      <c r="DF59" s="287"/>
      <c r="DG59" s="287"/>
      <c r="DH59" s="288"/>
      <c r="DI59" s="289"/>
      <c r="DJ59" s="290"/>
      <c r="DK59" s="183"/>
      <c r="DL59" s="287"/>
      <c r="DM59" s="287"/>
      <c r="DN59" s="287"/>
      <c r="DO59" s="287"/>
      <c r="DP59" s="288"/>
      <c r="DQ59" s="289"/>
      <c r="DR59" s="290"/>
      <c r="DS59" s="183"/>
      <c r="DT59" s="287"/>
      <c r="DU59" s="287"/>
      <c r="DV59" s="287"/>
      <c r="DW59" s="287"/>
      <c r="DX59" s="288"/>
      <c r="DY59" s="289"/>
      <c r="DZ59" s="290"/>
      <c r="EA59" s="183"/>
      <c r="EB59" s="287"/>
      <c r="EC59" s="287"/>
      <c r="ED59" s="287"/>
      <c r="EE59" s="287"/>
      <c r="EF59" s="288"/>
      <c r="EG59" s="289"/>
      <c r="EH59" s="290"/>
      <c r="EI59" s="183"/>
      <c r="EJ59" s="287"/>
      <c r="EK59" s="287"/>
      <c r="EL59" s="287"/>
      <c r="EM59" s="287"/>
      <c r="EN59" s="288"/>
      <c r="EO59" s="289"/>
      <c r="EP59" s="290"/>
      <c r="EQ59" s="183"/>
      <c r="ER59" s="287"/>
      <c r="ES59" s="287"/>
      <c r="ET59" s="287"/>
      <c r="EU59" s="287"/>
      <c r="EV59" s="288"/>
      <c r="EW59" s="289"/>
      <c r="EX59" s="290"/>
      <c r="EY59" s="183"/>
      <c r="EZ59" s="287"/>
      <c r="FA59" s="287"/>
      <c r="FB59" s="287"/>
      <c r="FC59" s="287"/>
      <c r="FD59" s="288"/>
      <c r="FE59" s="289"/>
      <c r="FF59" s="290"/>
      <c r="FG59" s="183"/>
      <c r="FH59" s="287"/>
      <c r="FI59" s="287"/>
      <c r="FJ59" s="287"/>
      <c r="FK59" s="287"/>
      <c r="FL59" s="288"/>
      <c r="FM59" s="289"/>
      <c r="FN59" s="290"/>
      <c r="FO59" s="183"/>
      <c r="FP59" s="287"/>
      <c r="FQ59" s="287"/>
      <c r="FR59" s="287"/>
      <c r="FS59" s="287"/>
      <c r="FT59" s="288"/>
      <c r="FU59" s="289"/>
      <c r="FV59" s="290"/>
      <c r="FW59" s="183"/>
      <c r="FX59" s="287"/>
      <c r="FY59" s="287"/>
      <c r="FZ59" s="287"/>
      <c r="GA59" s="287"/>
      <c r="GB59" s="288"/>
      <c r="GC59" s="289"/>
      <c r="GD59" s="290"/>
      <c r="GE59" s="183"/>
      <c r="GF59" s="287"/>
      <c r="GG59" s="287"/>
      <c r="GH59" s="287"/>
      <c r="GI59" s="287"/>
      <c r="GJ59" s="288"/>
      <c r="GK59" s="289"/>
      <c r="GL59" s="290"/>
      <c r="GM59" s="183"/>
      <c r="GN59" s="287"/>
      <c r="GO59" s="287"/>
      <c r="GP59" s="287"/>
      <c r="GQ59" s="287"/>
      <c r="GR59" s="288"/>
      <c r="GS59" s="289"/>
      <c r="GT59" s="290"/>
      <c r="GU59" s="183"/>
      <c r="GV59" s="287"/>
      <c r="GW59" s="287"/>
      <c r="GX59" s="287"/>
      <c r="GY59" s="287"/>
      <c r="GZ59" s="288"/>
      <c r="HA59" s="289"/>
      <c r="HB59" s="290"/>
      <c r="HC59" s="183"/>
      <c r="HD59" s="287"/>
      <c r="HE59" s="287"/>
      <c r="HF59" s="287"/>
      <c r="HG59" s="287"/>
    </row>
    <row r="60" spans="1:215" s="62" customFormat="1" ht="42" customHeight="1" x14ac:dyDescent="0.2">
      <c r="A60" s="72" t="s">
        <v>629</v>
      </c>
      <c r="B60" s="53">
        <v>580215333</v>
      </c>
      <c r="C60" s="49">
        <v>1000546905</v>
      </c>
      <c r="D60" s="48">
        <v>40000564</v>
      </c>
      <c r="E60" s="46">
        <v>0</v>
      </c>
      <c r="F60" s="46">
        <v>0</v>
      </c>
      <c r="G60" s="284">
        <v>40000</v>
      </c>
      <c r="H60" s="46">
        <v>80000</v>
      </c>
      <c r="I60" s="46">
        <v>116000</v>
      </c>
      <c r="J60" s="59">
        <v>100000</v>
      </c>
      <c r="K60" s="59">
        <v>100000</v>
      </c>
      <c r="L60" s="59">
        <f t="shared" si="1"/>
        <v>0</v>
      </c>
      <c r="M60" s="129"/>
      <c r="N60" s="287"/>
      <c r="O60" s="287"/>
      <c r="P60" s="288">
        <f>MATCH(B60,'42-02-26 פסטיבלים'!$A$5:$A$64,0)</f>
        <v>16</v>
      </c>
      <c r="Q60" s="289" t="e">
        <f>MATCH(B60,'42-02-26 פסטיבלים'!$A$100:$A$127,0)</f>
        <v>#N/A</v>
      </c>
      <c r="R60" s="290"/>
      <c r="S60" s="183"/>
      <c r="T60" s="287"/>
      <c r="U60" s="287"/>
      <c r="V60" s="287"/>
      <c r="W60" s="287"/>
      <c r="X60" s="288"/>
      <c r="Y60" s="289"/>
      <c r="Z60" s="290"/>
      <c r="AA60" s="183"/>
      <c r="AB60" s="287"/>
      <c r="AC60" s="287"/>
      <c r="AD60" s="287"/>
      <c r="AE60" s="287"/>
      <c r="AF60" s="288"/>
      <c r="AG60" s="289"/>
      <c r="AH60" s="290"/>
      <c r="AI60" s="183"/>
      <c r="AJ60" s="287"/>
      <c r="AK60" s="287"/>
      <c r="AL60" s="287"/>
      <c r="AM60" s="287"/>
      <c r="AN60" s="288"/>
      <c r="AO60" s="289"/>
      <c r="AP60" s="290"/>
      <c r="AQ60" s="183"/>
      <c r="AR60" s="287"/>
      <c r="AS60" s="287"/>
      <c r="AT60" s="287"/>
      <c r="AU60" s="287"/>
      <c r="AV60" s="288"/>
      <c r="AW60" s="289"/>
      <c r="AX60" s="290"/>
      <c r="AY60" s="183"/>
      <c r="AZ60" s="287"/>
      <c r="BA60" s="287"/>
      <c r="BB60" s="287"/>
      <c r="BC60" s="287"/>
      <c r="BD60" s="288"/>
      <c r="BE60" s="289"/>
      <c r="BF60" s="290"/>
      <c r="BG60" s="183"/>
      <c r="BH60" s="287"/>
      <c r="BI60" s="287"/>
      <c r="BJ60" s="287"/>
      <c r="BK60" s="287"/>
      <c r="BL60" s="288"/>
      <c r="BM60" s="289"/>
      <c r="BN60" s="290"/>
      <c r="BO60" s="183"/>
      <c r="BP60" s="287"/>
      <c r="BQ60" s="287"/>
      <c r="BR60" s="287"/>
      <c r="BS60" s="287"/>
      <c r="BT60" s="288"/>
      <c r="BU60" s="289"/>
      <c r="BV60" s="290"/>
      <c r="BW60" s="183"/>
      <c r="BX60" s="287"/>
      <c r="BY60" s="287"/>
      <c r="BZ60" s="287"/>
      <c r="CA60" s="287"/>
      <c r="CB60" s="288"/>
      <c r="CC60" s="289"/>
      <c r="CD60" s="290"/>
      <c r="CE60" s="183"/>
      <c r="CF60" s="287"/>
      <c r="CG60" s="287"/>
      <c r="CH60" s="287"/>
      <c r="CI60" s="287"/>
      <c r="CJ60" s="288"/>
      <c r="CK60" s="289"/>
      <c r="CL60" s="290"/>
      <c r="CM60" s="183"/>
      <c r="CN60" s="287"/>
      <c r="CO60" s="287"/>
      <c r="CP60" s="287"/>
      <c r="CQ60" s="287"/>
      <c r="CR60" s="288"/>
      <c r="CS60" s="289"/>
      <c r="CT60" s="290"/>
      <c r="CU60" s="183"/>
      <c r="CV60" s="287"/>
      <c r="CW60" s="287"/>
      <c r="CX60" s="287"/>
      <c r="CY60" s="287"/>
      <c r="CZ60" s="288"/>
      <c r="DA60" s="289"/>
      <c r="DB60" s="290"/>
      <c r="DC60" s="183"/>
      <c r="DD60" s="287"/>
      <c r="DE60" s="287"/>
      <c r="DF60" s="287"/>
      <c r="DG60" s="287"/>
      <c r="DH60" s="288"/>
      <c r="DI60" s="289"/>
      <c r="DJ60" s="290"/>
      <c r="DK60" s="183"/>
      <c r="DL60" s="287"/>
      <c r="DM60" s="287"/>
      <c r="DN60" s="287"/>
      <c r="DO60" s="287"/>
      <c r="DP60" s="288"/>
      <c r="DQ60" s="289"/>
      <c r="DR60" s="290"/>
      <c r="DS60" s="183"/>
      <c r="DT60" s="287"/>
      <c r="DU60" s="287"/>
      <c r="DV60" s="287"/>
      <c r="DW60" s="287"/>
      <c r="DX60" s="288"/>
      <c r="DY60" s="289"/>
      <c r="DZ60" s="290"/>
      <c r="EA60" s="183"/>
      <c r="EB60" s="287"/>
      <c r="EC60" s="287"/>
      <c r="ED60" s="287"/>
      <c r="EE60" s="287"/>
      <c r="EF60" s="288"/>
      <c r="EG60" s="289"/>
      <c r="EH60" s="290"/>
      <c r="EI60" s="183"/>
      <c r="EJ60" s="287"/>
      <c r="EK60" s="287"/>
      <c r="EL60" s="287"/>
      <c r="EM60" s="287"/>
      <c r="EN60" s="288"/>
      <c r="EO60" s="289"/>
      <c r="EP60" s="290"/>
      <c r="EQ60" s="183"/>
      <c r="ER60" s="287"/>
      <c r="ES60" s="287"/>
      <c r="ET60" s="287"/>
      <c r="EU60" s="287"/>
      <c r="EV60" s="288"/>
      <c r="EW60" s="289"/>
      <c r="EX60" s="290"/>
      <c r="EY60" s="183"/>
      <c r="EZ60" s="287"/>
      <c r="FA60" s="287"/>
      <c r="FB60" s="287"/>
      <c r="FC60" s="287"/>
      <c r="FD60" s="288"/>
      <c r="FE60" s="289"/>
      <c r="FF60" s="290"/>
      <c r="FG60" s="183"/>
      <c r="FH60" s="287"/>
      <c r="FI60" s="287"/>
      <c r="FJ60" s="287"/>
      <c r="FK60" s="287"/>
      <c r="FL60" s="288"/>
      <c r="FM60" s="289"/>
      <c r="FN60" s="290"/>
      <c r="FO60" s="183"/>
      <c r="FP60" s="287"/>
      <c r="FQ60" s="287"/>
      <c r="FR60" s="287"/>
      <c r="FS60" s="287"/>
      <c r="FT60" s="288"/>
      <c r="FU60" s="289"/>
      <c r="FV60" s="290"/>
      <c r="FW60" s="183"/>
      <c r="FX60" s="287"/>
      <c r="FY60" s="287"/>
      <c r="FZ60" s="287"/>
      <c r="GA60" s="287"/>
      <c r="GB60" s="288"/>
      <c r="GC60" s="289"/>
      <c r="GD60" s="290"/>
      <c r="GE60" s="183"/>
      <c r="GF60" s="287"/>
      <c r="GG60" s="287"/>
      <c r="GH60" s="287"/>
      <c r="GI60" s="287"/>
      <c r="GJ60" s="288"/>
      <c r="GK60" s="289"/>
      <c r="GL60" s="290"/>
      <c r="GM60" s="183"/>
      <c r="GN60" s="287"/>
      <c r="GO60" s="287"/>
      <c r="GP60" s="287"/>
      <c r="GQ60" s="287"/>
      <c r="GR60" s="288"/>
      <c r="GS60" s="289"/>
      <c r="GT60" s="290"/>
      <c r="GU60" s="183"/>
      <c r="GV60" s="287"/>
      <c r="GW60" s="287"/>
      <c r="GX60" s="287"/>
      <c r="GY60" s="287"/>
      <c r="GZ60" s="288"/>
      <c r="HA60" s="289"/>
      <c r="HB60" s="290"/>
      <c r="HC60" s="183"/>
      <c r="HD60" s="287"/>
      <c r="HE60" s="287"/>
      <c r="HF60" s="287"/>
      <c r="HG60" s="287"/>
    </row>
    <row r="61" spans="1:215" s="44" customFormat="1" ht="38.25" customHeight="1" x14ac:dyDescent="0.2">
      <c r="A61" s="51" t="s">
        <v>630</v>
      </c>
      <c r="B61" s="50">
        <v>580352490</v>
      </c>
      <c r="C61" s="49">
        <v>1000552998</v>
      </c>
      <c r="D61" s="48">
        <v>40000242</v>
      </c>
      <c r="E61" s="46">
        <v>30000</v>
      </c>
      <c r="F61" s="101">
        <v>30000</v>
      </c>
      <c r="G61" s="284">
        <v>25000</v>
      </c>
      <c r="H61" s="46">
        <v>25000</v>
      </c>
      <c r="I61" s="46">
        <v>25000</v>
      </c>
      <c r="J61" s="59">
        <v>25000</v>
      </c>
      <c r="K61" s="299">
        <v>25000</v>
      </c>
      <c r="L61" s="59">
        <f t="shared" si="1"/>
        <v>0</v>
      </c>
      <c r="M61" s="315"/>
      <c r="P61" s="288">
        <f>MATCH(B61,'42-02-26 פסטיבלים'!$A$5:$A$64,0)</f>
        <v>30</v>
      </c>
      <c r="Q61" s="289" t="e">
        <f>MATCH(B61,'42-02-26 פסטיבלים'!$A$100:$A$127,0)</f>
        <v>#N/A</v>
      </c>
    </row>
    <row r="62" spans="1:215" s="316" customFormat="1" ht="57" customHeight="1" x14ac:dyDescent="0.2">
      <c r="A62" s="55" t="s">
        <v>631</v>
      </c>
      <c r="B62" s="182">
        <v>580037745</v>
      </c>
      <c r="C62" s="49">
        <v>1000537722</v>
      </c>
      <c r="D62" s="48">
        <v>40000095</v>
      </c>
      <c r="E62" s="46">
        <v>201313</v>
      </c>
      <c r="F62" s="46">
        <v>200000</v>
      </c>
      <c r="G62" s="284">
        <v>200000</v>
      </c>
      <c r="H62" s="46">
        <v>200000</v>
      </c>
      <c r="I62" s="46">
        <v>200000</v>
      </c>
      <c r="J62" s="59">
        <v>140000</v>
      </c>
      <c r="K62" s="59">
        <v>140000</v>
      </c>
      <c r="L62" s="59">
        <f>J62-K62</f>
        <v>0</v>
      </c>
      <c r="M62" s="92"/>
      <c r="P62" s="288">
        <f>MATCH(B62,'42-02-26 פסטיבלים'!$A$5:$A$64,0)</f>
        <v>4</v>
      </c>
      <c r="Q62" s="289" t="e">
        <f>MATCH(B62,'42-02-26 פסטיבלים'!$A$100:$A$127,0)</f>
        <v>#N/A</v>
      </c>
    </row>
    <row r="63" spans="1:215" s="62" customFormat="1" ht="43.5" customHeight="1" x14ac:dyDescent="0.2">
      <c r="A63" s="55" t="s">
        <v>632</v>
      </c>
      <c r="B63" s="182">
        <v>580037745</v>
      </c>
      <c r="C63" s="49">
        <v>1000537705</v>
      </c>
      <c r="D63" s="48">
        <v>40000095</v>
      </c>
      <c r="E63" s="46">
        <v>210000</v>
      </c>
      <c r="F63" s="46">
        <v>210000</v>
      </c>
      <c r="G63" s="46">
        <v>210000</v>
      </c>
      <c r="H63" s="46">
        <v>210000</v>
      </c>
      <c r="I63" s="46">
        <v>210000</v>
      </c>
      <c r="J63" s="59">
        <v>210000</v>
      </c>
      <c r="K63" s="59">
        <v>210000</v>
      </c>
      <c r="L63" s="59">
        <f>J63-K63</f>
        <v>0</v>
      </c>
      <c r="M63" s="92"/>
      <c r="P63" s="288">
        <f>MATCH(B63,'42-02-26 פסטיבלים'!$A$5:$A$64,0)</f>
        <v>4</v>
      </c>
      <c r="Q63" s="289" t="e">
        <f>MATCH(B63,'42-02-26 פסטיבלים'!$A$100:$A$127,0)</f>
        <v>#N/A</v>
      </c>
    </row>
    <row r="64" spans="1:215" s="62" customFormat="1" ht="51.75" customHeight="1" x14ac:dyDescent="0.2">
      <c r="A64" s="51" t="s">
        <v>633</v>
      </c>
      <c r="B64" s="182">
        <v>580406981</v>
      </c>
      <c r="C64" s="49">
        <v>1000543619</v>
      </c>
      <c r="D64" s="48">
        <v>40216109</v>
      </c>
      <c r="E64" s="46">
        <v>0</v>
      </c>
      <c r="F64" s="46">
        <v>100000</v>
      </c>
      <c r="G64" s="284">
        <v>100000</v>
      </c>
      <c r="H64" s="46">
        <v>80000</v>
      </c>
      <c r="I64" s="46">
        <v>70000</v>
      </c>
      <c r="J64" s="59">
        <v>74233</v>
      </c>
      <c r="K64" s="305">
        <v>74233</v>
      </c>
      <c r="L64" s="59">
        <f>J64-K64</f>
        <v>0</v>
      </c>
      <c r="M64" s="314"/>
      <c r="P64" s="288">
        <f>MATCH(B64,'42-02-26 פסטיבלים'!$A$5:$A$64,0)</f>
        <v>34</v>
      </c>
      <c r="Q64" s="289" t="e">
        <f>MATCH(B64,'42-02-26 פסטיבלים'!$A$100:$A$127,0)</f>
        <v>#N/A</v>
      </c>
    </row>
    <row r="65" spans="1:80" s="44" customFormat="1" ht="46.5" customHeight="1" x14ac:dyDescent="0.2">
      <c r="A65" s="51" t="s">
        <v>634</v>
      </c>
      <c r="B65" s="105">
        <v>580421378</v>
      </c>
      <c r="C65" s="49">
        <v>1000546320</v>
      </c>
      <c r="D65" s="48">
        <v>40017589</v>
      </c>
      <c r="E65" s="46"/>
      <c r="F65" s="46"/>
      <c r="G65" s="284"/>
      <c r="H65" s="46"/>
      <c r="I65" s="46">
        <v>0</v>
      </c>
      <c r="J65" s="59">
        <v>20000</v>
      </c>
      <c r="K65" s="59">
        <v>20000</v>
      </c>
      <c r="L65" s="59">
        <f>J65-K65</f>
        <v>0</v>
      </c>
      <c r="M65" s="92"/>
      <c r="P65" s="288" t="e">
        <f>MATCH(B65,'42-02-26 פסטיבלים'!$A$5:$A$64,0)</f>
        <v>#N/A</v>
      </c>
      <c r="Q65" s="289" t="e">
        <f>MATCH(B65,'42-02-26 פסטיבלים'!$A$100:$A$127,0)</f>
        <v>#N/A</v>
      </c>
    </row>
    <row r="66" spans="1:80" s="44" customFormat="1" ht="36" customHeight="1" x14ac:dyDescent="0.2">
      <c r="A66" s="51" t="s">
        <v>635</v>
      </c>
      <c r="B66" s="50">
        <v>580158210</v>
      </c>
      <c r="C66" s="49">
        <v>1000542912</v>
      </c>
      <c r="D66" s="48">
        <v>40000515</v>
      </c>
      <c r="E66" s="46">
        <v>20000</v>
      </c>
      <c r="F66" s="101">
        <v>50000</v>
      </c>
      <c r="G66" s="284">
        <v>40000</v>
      </c>
      <c r="H66" s="46">
        <v>40000</v>
      </c>
      <c r="I66" s="46">
        <v>40000</v>
      </c>
      <c r="J66" s="59">
        <v>44000</v>
      </c>
      <c r="K66" s="59">
        <v>44000</v>
      </c>
      <c r="L66" s="59">
        <f t="shared" ref="L66:L72" si="2">J66-K66</f>
        <v>0</v>
      </c>
      <c r="M66" s="79"/>
      <c r="P66" s="288">
        <f>MATCH(B66,'42-02-26 פסטיבלים'!$A$5:$A$64,0)</f>
        <v>39</v>
      </c>
      <c r="Q66" s="289" t="e">
        <f>MATCH(B66,'42-02-26 פסטיבלים'!$A$100:$A$127,0)</f>
        <v>#N/A</v>
      </c>
    </row>
    <row r="67" spans="1:80" s="44" customFormat="1" ht="39.950000000000003" customHeight="1" x14ac:dyDescent="0.2">
      <c r="A67" s="55" t="s">
        <v>636</v>
      </c>
      <c r="B67" s="182">
        <v>580006575</v>
      </c>
      <c r="C67" s="49">
        <v>1000545264</v>
      </c>
      <c r="D67" s="48">
        <v>40404400</v>
      </c>
      <c r="E67" s="101">
        <v>0</v>
      </c>
      <c r="F67" s="119">
        <v>0</v>
      </c>
      <c r="G67" s="46">
        <v>0</v>
      </c>
      <c r="H67" s="46">
        <v>70000</v>
      </c>
      <c r="I67" s="46">
        <v>70000</v>
      </c>
      <c r="J67" s="59">
        <v>80000</v>
      </c>
      <c r="K67" s="299">
        <v>80000</v>
      </c>
      <c r="L67" s="59">
        <f t="shared" si="2"/>
        <v>0</v>
      </c>
      <c r="M67" s="58"/>
      <c r="P67" s="288">
        <f>MATCH(B67,'42-02-26 פסטיבלים'!$A$5:$A$64,0)</f>
        <v>49</v>
      </c>
      <c r="Q67" s="289" t="e">
        <f>MATCH(B67,'42-02-26 פסטיבלים'!$A$100:$A$127,0)</f>
        <v>#N/A</v>
      </c>
    </row>
    <row r="68" spans="1:80" s="62" customFormat="1" ht="45.75" customHeight="1" x14ac:dyDescent="0.2">
      <c r="A68" s="317" t="s">
        <v>637</v>
      </c>
      <c r="B68" s="318">
        <v>510542764</v>
      </c>
      <c r="C68" s="54">
        <v>1000543789</v>
      </c>
      <c r="D68" s="319">
        <v>40000258</v>
      </c>
      <c r="E68" s="295"/>
      <c r="F68" s="296"/>
      <c r="G68" s="284"/>
      <c r="H68" s="46"/>
      <c r="I68" s="296">
        <v>0</v>
      </c>
      <c r="J68" s="59">
        <v>53024</v>
      </c>
      <c r="K68" s="59">
        <v>53024</v>
      </c>
      <c r="L68" s="59">
        <f t="shared" si="2"/>
        <v>0</v>
      </c>
      <c r="M68" s="92"/>
      <c r="P68" s="288" t="e">
        <f>MATCH(B68,'42-02-26 פסטיבלים'!$A$5:$A$64,0)</f>
        <v>#N/A</v>
      </c>
      <c r="Q68" s="289" t="e">
        <f>MATCH(B68,'42-02-26 פסטיבלים'!$A$100:$A$127,0)</f>
        <v>#N/A</v>
      </c>
    </row>
    <row r="69" spans="1:80" s="44" customFormat="1" ht="38.25" x14ac:dyDescent="0.2">
      <c r="A69" s="72" t="s">
        <v>638</v>
      </c>
      <c r="B69" s="53">
        <v>512287350</v>
      </c>
      <c r="C69" s="49">
        <v>1000549631</v>
      </c>
      <c r="D69" s="48">
        <v>40000293</v>
      </c>
      <c r="E69" s="46">
        <v>50000</v>
      </c>
      <c r="F69" s="46">
        <v>60000</v>
      </c>
      <c r="G69" s="284">
        <v>60000</v>
      </c>
      <c r="H69" s="46">
        <v>60000</v>
      </c>
      <c r="I69" s="46">
        <v>60000</v>
      </c>
      <c r="J69" s="59">
        <v>60000</v>
      </c>
      <c r="K69" s="59">
        <v>60000</v>
      </c>
      <c r="L69" s="59">
        <f t="shared" si="2"/>
        <v>0</v>
      </c>
      <c r="M69" s="118"/>
      <c r="P69" s="288">
        <f>MATCH(B69,'42-02-26 פסטיבלים'!$A$5:$A$64,0)</f>
        <v>10</v>
      </c>
      <c r="Q69" s="289" t="e">
        <f>MATCH(B69,'42-02-26 פסטיבלים'!$A$100:$A$127,0)</f>
        <v>#N/A</v>
      </c>
    </row>
    <row r="70" spans="1:80" s="62" customFormat="1" ht="38.25" customHeight="1" x14ac:dyDescent="0.2">
      <c r="A70" s="55" t="s">
        <v>639</v>
      </c>
      <c r="B70" s="50">
        <v>512287350</v>
      </c>
      <c r="C70" s="49">
        <v>1000549597</v>
      </c>
      <c r="D70" s="48">
        <v>40000293</v>
      </c>
      <c r="E70" s="46">
        <v>30000</v>
      </c>
      <c r="F70" s="46">
        <v>40000</v>
      </c>
      <c r="G70" s="284">
        <v>40000</v>
      </c>
      <c r="H70" s="46">
        <v>40000</v>
      </c>
      <c r="I70" s="46">
        <v>40000</v>
      </c>
      <c r="J70" s="59">
        <v>50000</v>
      </c>
      <c r="K70" s="299">
        <v>50000</v>
      </c>
      <c r="L70" s="59">
        <f t="shared" si="2"/>
        <v>0</v>
      </c>
      <c r="M70" s="118"/>
      <c r="N70" s="121"/>
      <c r="O70" s="121"/>
      <c r="P70" s="288">
        <f>MATCH(B70,'42-02-26 פסטיבלים'!$A$5:$A$64,0)</f>
        <v>10</v>
      </c>
      <c r="Q70" s="289" t="e">
        <f>MATCH(B70,'42-02-26 פסטיבלים'!$A$100:$A$127,0)</f>
        <v>#N/A</v>
      </c>
      <c r="R70" s="121"/>
      <c r="S70" s="121"/>
      <c r="T70" s="121"/>
      <c r="U70" s="121"/>
      <c r="V70" s="121"/>
      <c r="W70" s="121"/>
      <c r="X70" s="121"/>
      <c r="Y70" s="121"/>
      <c r="Z70" s="121"/>
      <c r="AA70" s="121"/>
      <c r="AB70" s="121"/>
      <c r="AC70" s="121"/>
      <c r="AD70" s="121"/>
      <c r="AE70" s="121"/>
      <c r="AF70" s="121"/>
      <c r="AG70" s="121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</row>
    <row r="71" spans="1:80" s="44" customFormat="1" ht="50.25" customHeight="1" x14ac:dyDescent="0.2">
      <c r="A71" s="72" t="s">
        <v>640</v>
      </c>
      <c r="B71" s="53">
        <v>512287350</v>
      </c>
      <c r="C71" s="49">
        <v>1000549595</v>
      </c>
      <c r="D71" s="48">
        <v>40000293</v>
      </c>
      <c r="E71" s="46">
        <v>20000</v>
      </c>
      <c r="F71" s="46">
        <v>20000</v>
      </c>
      <c r="G71" s="284">
        <v>20000</v>
      </c>
      <c r="H71" s="46">
        <v>20000</v>
      </c>
      <c r="I71" s="46">
        <v>20000</v>
      </c>
      <c r="J71" s="59">
        <v>20000</v>
      </c>
      <c r="K71" s="299">
        <v>20000</v>
      </c>
      <c r="L71" s="59">
        <f t="shared" si="2"/>
        <v>0</v>
      </c>
      <c r="M71" s="118"/>
      <c r="P71" s="288">
        <f>MATCH(B71,'42-02-26 פסטיבלים'!$A$5:$A$64,0)</f>
        <v>10</v>
      </c>
      <c r="Q71" s="289" t="e">
        <f>MATCH(B71,'42-02-26 פסטיבלים'!$A$100:$A$127,0)</f>
        <v>#N/A</v>
      </c>
    </row>
    <row r="72" spans="1:80" s="44" customFormat="1" ht="43.5" customHeight="1" x14ac:dyDescent="0.2">
      <c r="A72" s="55" t="s">
        <v>641</v>
      </c>
      <c r="B72" s="50">
        <v>580010684</v>
      </c>
      <c r="C72" s="48">
        <v>1000535924</v>
      </c>
      <c r="D72" s="48">
        <v>40000060</v>
      </c>
      <c r="E72" s="272">
        <v>170000</v>
      </c>
      <c r="F72" s="101">
        <v>230000</v>
      </c>
      <c r="G72" s="101">
        <v>200000</v>
      </c>
      <c r="H72" s="272">
        <v>200000</v>
      </c>
      <c r="I72" s="272">
        <v>200000</v>
      </c>
      <c r="J72" s="59">
        <v>190885</v>
      </c>
      <c r="K72" s="59">
        <v>190885</v>
      </c>
      <c r="L72" s="59">
        <f t="shared" si="2"/>
        <v>0</v>
      </c>
      <c r="M72" s="51"/>
      <c r="P72" s="288">
        <f>MATCH(B72,'42-02-26 פסטיבלים'!$A$5:$A$64,0)</f>
        <v>25</v>
      </c>
      <c r="Q72" s="289" t="e">
        <f>MATCH(B72,'42-02-26 פסטיבלים'!$A$100:$A$127,0)</f>
        <v>#N/A</v>
      </c>
    </row>
    <row r="73" spans="1:80" s="44" customFormat="1" ht="49.5" customHeight="1" x14ac:dyDescent="0.2">
      <c r="A73" s="291" t="s">
        <v>642</v>
      </c>
      <c r="B73" s="292">
        <v>500226006</v>
      </c>
      <c r="C73" s="293">
        <v>1000545035</v>
      </c>
      <c r="D73" s="294">
        <v>20000147</v>
      </c>
      <c r="E73" s="295"/>
      <c r="F73" s="296"/>
      <c r="G73" s="284"/>
      <c r="H73" s="46"/>
      <c r="I73" s="296">
        <v>475000</v>
      </c>
      <c r="J73" s="59">
        <v>518572</v>
      </c>
      <c r="K73" s="59">
        <v>518572</v>
      </c>
      <c r="L73" s="59">
        <f t="shared" si="1"/>
        <v>0</v>
      </c>
      <c r="M73" s="92"/>
      <c r="P73" s="288" t="e">
        <f>MATCH(B73,'42-02-26 פסטיבלים'!$A$5:$A$64,0)</f>
        <v>#N/A</v>
      </c>
      <c r="Q73" s="289">
        <f>MATCH(B73,'42-02-26 פסטיבלים'!$A$100:$A$127,0)</f>
        <v>9</v>
      </c>
    </row>
    <row r="74" spans="1:80" s="62" customFormat="1" ht="51.75" customHeight="1" x14ac:dyDescent="0.2">
      <c r="A74" s="55" t="s">
        <v>643</v>
      </c>
      <c r="B74" s="50">
        <v>500226600</v>
      </c>
      <c r="C74" s="49">
        <v>1000549486</v>
      </c>
      <c r="D74" s="48">
        <v>20000153</v>
      </c>
      <c r="E74" s="46">
        <v>0</v>
      </c>
      <c r="F74" s="46">
        <v>0</v>
      </c>
      <c r="G74" s="284">
        <v>0</v>
      </c>
      <c r="H74" s="46">
        <v>30000</v>
      </c>
      <c r="I74" s="46">
        <v>25000</v>
      </c>
      <c r="J74" s="59">
        <v>20000</v>
      </c>
      <c r="K74" s="299">
        <v>20000</v>
      </c>
      <c r="L74" s="59">
        <f>J74-K74</f>
        <v>0</v>
      </c>
      <c r="M74" s="303"/>
      <c r="P74" s="288" t="e">
        <f>MATCH(B74,'42-02-26 פסטיבלים'!$A$5:$A$64,0)</f>
        <v>#N/A</v>
      </c>
      <c r="Q74" s="289" t="e">
        <f>MATCH(B74,'42-02-26 פסטיבלים'!$A$100:$A$127,0)</f>
        <v>#N/A</v>
      </c>
    </row>
    <row r="75" spans="1:80" s="44" customFormat="1" ht="48.75" customHeight="1" x14ac:dyDescent="0.2">
      <c r="A75" s="72" t="s">
        <v>644</v>
      </c>
      <c r="B75" s="53">
        <v>511854788</v>
      </c>
      <c r="C75" s="49">
        <v>1000552738</v>
      </c>
      <c r="D75" s="48">
        <v>40000036</v>
      </c>
      <c r="E75" s="46">
        <v>135000</v>
      </c>
      <c r="F75" s="101">
        <v>160000</v>
      </c>
      <c r="G75" s="284">
        <v>140000</v>
      </c>
      <c r="H75" s="46">
        <v>160000</v>
      </c>
      <c r="I75" s="46">
        <v>200000</v>
      </c>
      <c r="J75" s="59">
        <v>190885</v>
      </c>
      <c r="K75" s="299">
        <v>190885</v>
      </c>
      <c r="L75" s="59">
        <f>J75-K75</f>
        <v>0</v>
      </c>
      <c r="M75" s="301"/>
      <c r="P75" s="288">
        <f>MATCH(B75,'42-02-26 פסטיבלים'!$A$5:$A$64,0)</f>
        <v>13</v>
      </c>
      <c r="Q75" s="289" t="e">
        <f>MATCH(B75,'42-02-26 פסטיבלים'!$A$100:$A$127,0)</f>
        <v>#N/A</v>
      </c>
    </row>
    <row r="76" spans="1:80" s="44" customFormat="1" ht="48.75" customHeight="1" x14ac:dyDescent="0.2">
      <c r="A76" s="51" t="s">
        <v>645</v>
      </c>
      <c r="B76" s="105">
        <v>580525236</v>
      </c>
      <c r="C76" s="49">
        <v>1000536851</v>
      </c>
      <c r="D76" s="48">
        <v>40521896</v>
      </c>
      <c r="E76" s="46"/>
      <c r="F76" s="46"/>
      <c r="G76" s="284"/>
      <c r="H76" s="46"/>
      <c r="I76" s="46">
        <v>0</v>
      </c>
      <c r="J76" s="59">
        <v>53024</v>
      </c>
      <c r="K76" s="59">
        <v>53024</v>
      </c>
      <c r="L76" s="59">
        <f t="shared" si="1"/>
        <v>0</v>
      </c>
      <c r="M76" s="118"/>
      <c r="P76" s="288" t="e">
        <f>MATCH(B76,'42-02-26 פסטיבלים'!$A$5:$A$64,0)</f>
        <v>#N/A</v>
      </c>
      <c r="Q76" s="289" t="e">
        <f>MATCH(B76,'42-02-26 פסטיבלים'!$A$100:$A$127,0)</f>
        <v>#N/A</v>
      </c>
    </row>
    <row r="77" spans="1:80" s="62" customFormat="1" ht="36.75" customHeight="1" x14ac:dyDescent="0.2">
      <c r="A77" s="51" t="s">
        <v>646</v>
      </c>
      <c r="B77" s="50">
        <v>580309532</v>
      </c>
      <c r="C77" s="49">
        <v>1000544491</v>
      </c>
      <c r="D77" s="48">
        <v>40000667</v>
      </c>
      <c r="E77" s="46">
        <v>0</v>
      </c>
      <c r="F77" s="46">
        <v>0</v>
      </c>
      <c r="G77" s="284">
        <v>15000</v>
      </c>
      <c r="H77" s="46">
        <v>20000</v>
      </c>
      <c r="I77" s="46">
        <v>20000</v>
      </c>
      <c r="J77" s="59">
        <v>20000</v>
      </c>
      <c r="K77" s="299">
        <v>20000</v>
      </c>
      <c r="L77" s="59">
        <f>J77-K77</f>
        <v>0</v>
      </c>
      <c r="M77" s="69"/>
      <c r="P77" s="288">
        <f>MATCH(B77,'42-02-26 פסטיבלים'!$A$5:$A$64,0)</f>
        <v>48</v>
      </c>
      <c r="Q77" s="289" t="e">
        <f>MATCH(B77,'42-02-26 פסטיבלים'!$A$100:$A$127,0)</f>
        <v>#N/A</v>
      </c>
    </row>
    <row r="78" spans="1:80" s="62" customFormat="1" ht="37.5" customHeight="1" x14ac:dyDescent="0.2">
      <c r="A78" s="55" t="s">
        <v>647</v>
      </c>
      <c r="B78" s="50">
        <v>500250006</v>
      </c>
      <c r="C78" s="49">
        <v>1000545332</v>
      </c>
      <c r="D78" s="48">
        <v>20000201</v>
      </c>
      <c r="E78" s="187"/>
      <c r="F78" s="187"/>
      <c r="G78" s="284"/>
      <c r="H78" s="320"/>
      <c r="I78" s="46">
        <v>0</v>
      </c>
      <c r="J78" s="59">
        <v>20000</v>
      </c>
      <c r="K78" s="299">
        <v>20000</v>
      </c>
      <c r="L78" s="59">
        <f>J78-K78</f>
        <v>0</v>
      </c>
      <c r="M78" s="303"/>
      <c r="P78" s="288" t="e">
        <f>MATCH(B78,'42-02-26 פסטיבלים'!$A$5:$A$64,0)</f>
        <v>#N/A</v>
      </c>
      <c r="Q78" s="289">
        <f>MATCH(B78,'42-02-26 פסטיבלים'!$A$100:$A$127,0)</f>
        <v>19</v>
      </c>
    </row>
    <row r="79" spans="1:80" s="44" customFormat="1" ht="51.75" customHeight="1" x14ac:dyDescent="0.2">
      <c r="A79" s="55" t="s">
        <v>648</v>
      </c>
      <c r="B79" s="50">
        <v>580465011</v>
      </c>
      <c r="C79" s="49">
        <v>1000541981</v>
      </c>
      <c r="D79" s="48">
        <v>40374764</v>
      </c>
      <c r="E79" s="46">
        <v>0</v>
      </c>
      <c r="F79" s="46">
        <v>30000</v>
      </c>
      <c r="G79" s="284">
        <v>30000</v>
      </c>
      <c r="H79" s="46">
        <v>30000</v>
      </c>
      <c r="I79" s="46">
        <v>30000</v>
      </c>
      <c r="J79" s="59">
        <v>30000</v>
      </c>
      <c r="K79" s="299">
        <v>30000</v>
      </c>
      <c r="L79" s="59">
        <f t="shared" si="1"/>
        <v>0</v>
      </c>
      <c r="M79" s="321"/>
      <c r="P79" s="288">
        <f>MATCH(B79,'42-02-26 פסטיבלים'!$A$5:$A$64,0)</f>
        <v>46</v>
      </c>
      <c r="Q79" s="289" t="e">
        <f>MATCH(B79,'42-02-26 פסטיבלים'!$A$100:$A$127,0)</f>
        <v>#N/A</v>
      </c>
    </row>
    <row r="80" spans="1:80" x14ac:dyDescent="0.2">
      <c r="J80" s="779">
        <f>SUM(J3:J79)</f>
        <v>12829996</v>
      </c>
    </row>
  </sheetData>
  <conditionalFormatting sqref="P3:Q79">
    <cfRule type="containsErrors" dxfId="11" priority="1">
      <formula>ISERROR(P3)</formula>
    </cfRule>
  </conditionalFormatting>
  <pageMargins left="0.51181102362204722" right="0.51181102362204722" top="0.55118110236220474" bottom="0.55118110236220474" header="0.31496062992125984" footer="0.31496062992125984"/>
  <pageSetup paperSize="9" scale="65" orientation="landscape" r:id="rId1"/>
  <headerFooter>
    <oddHeader>&amp;Cתקנת פסטיבלים 42-02-26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CI3"/>
  <sheetViews>
    <sheetView rightToLeft="1" zoomScale="80" zoomScaleNormal="80" zoomScaleSheetLayoutView="100" workbookViewId="0">
      <pane ySplit="1" topLeftCell="A2" activePane="bottomLeft" state="frozen"/>
      <selection pane="bottomLeft" activeCell="B3" sqref="B3"/>
    </sheetView>
  </sheetViews>
  <sheetFormatPr defaultColWidth="0.7109375" defaultRowHeight="12.75" x14ac:dyDescent="0.2"/>
  <cols>
    <col min="1" max="1" width="24.28515625" style="41" customWidth="1"/>
    <col min="2" max="2" width="10.85546875" style="41" bestFit="1" customWidth="1"/>
    <col min="3" max="3" width="13.5703125" style="41" customWidth="1"/>
    <col min="4" max="4" width="10.42578125" style="41" customWidth="1"/>
    <col min="5" max="5" width="11.85546875" style="41" hidden="1" customWidth="1"/>
    <col min="6" max="6" width="13.140625" style="41" hidden="1" customWidth="1"/>
    <col min="7" max="7" width="13" style="117" hidden="1" customWidth="1"/>
    <col min="8" max="9" width="12.5703125" style="117" hidden="1" customWidth="1"/>
    <col min="10" max="12" width="12.5703125" style="117" customWidth="1"/>
    <col min="13" max="13" width="30.28515625" style="117" customWidth="1"/>
    <col min="14" max="73" width="0.7109375" style="42"/>
    <col min="74" max="16384" width="0.7109375" style="41"/>
  </cols>
  <sheetData>
    <row r="1" spans="1:87" s="99" customFormat="1" ht="41.2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</row>
    <row r="2" spans="1:87" s="98" customFormat="1" ht="32.25" customHeight="1" x14ac:dyDescent="0.2">
      <c r="A2" s="145" t="s">
        <v>710</v>
      </c>
      <c r="B2" s="144"/>
      <c r="C2" s="144"/>
      <c r="D2" s="144"/>
      <c r="E2" s="243"/>
      <c r="F2" s="153"/>
      <c r="G2" s="153"/>
      <c r="H2" s="153"/>
      <c r="I2" s="153"/>
      <c r="J2" s="153"/>
      <c r="K2" s="153"/>
      <c r="L2" s="153"/>
      <c r="M2" s="152"/>
    </row>
    <row r="3" spans="1:87" s="62" customFormat="1" ht="63.75" customHeight="1" x14ac:dyDescent="0.2">
      <c r="A3" s="136" t="s">
        <v>711</v>
      </c>
      <c r="B3" s="349">
        <v>580099638</v>
      </c>
      <c r="C3" s="189">
        <v>1000538658</v>
      </c>
      <c r="D3" s="132">
        <v>40000133</v>
      </c>
      <c r="E3" s="119">
        <v>17974000</v>
      </c>
      <c r="F3" s="119">
        <v>18980000</v>
      </c>
      <c r="G3" s="119">
        <v>20100000</v>
      </c>
      <c r="H3" s="46">
        <v>21430000</v>
      </c>
      <c r="I3" s="46">
        <v>18500000</v>
      </c>
      <c r="J3" s="150">
        <v>20400000</v>
      </c>
      <c r="K3" s="150">
        <v>20400000</v>
      </c>
      <c r="L3" s="150">
        <f>J3-K3</f>
        <v>0</v>
      </c>
      <c r="M3" s="279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</row>
  </sheetData>
  <pageMargins left="0.11811023622047245" right="0.15748031496062992" top="0.47244094488188981" bottom="0.47244094488188981" header="0.15748031496062992" footer="0.19685039370078741"/>
  <pageSetup paperSize="9" scale="80" orientation="landscape" r:id="rId1"/>
  <headerFooter alignWithMargins="0">
    <oddHeader>&amp;C&amp;"Guttman Yad-Brush,רגיל"&amp;14תקנת אופרה - 42-02-21</oddHeader>
    <oddFooter>&amp;L&amp;D&amp;C&amp;P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HI101"/>
  <sheetViews>
    <sheetView rightToLeft="1" zoomScale="80" zoomScaleNormal="80" zoomScaleSheetLayoutView="100" workbookViewId="0">
      <pane ySplit="1" topLeftCell="A59" activePane="bottomLeft" state="frozen"/>
      <selection pane="bottomLeft" activeCell="B62" sqref="B62"/>
    </sheetView>
  </sheetViews>
  <sheetFormatPr defaultColWidth="0.7109375" defaultRowHeight="12.75" x14ac:dyDescent="0.2"/>
  <cols>
    <col min="1" max="1" width="27.140625" style="41" customWidth="1"/>
    <col min="2" max="2" width="12.42578125" style="41" bestFit="1" customWidth="1"/>
    <col min="3" max="3" width="13.7109375" style="41" bestFit="1" customWidth="1"/>
    <col min="4" max="4" width="11.28515625" style="41" bestFit="1" customWidth="1"/>
    <col min="5" max="5" width="11.85546875" style="41" hidden="1" customWidth="1"/>
    <col min="6" max="6" width="13" style="41" hidden="1" customWidth="1"/>
    <col min="7" max="9" width="13" style="117" hidden="1" customWidth="1"/>
    <col min="10" max="10" width="15.140625" style="117" customWidth="1"/>
    <col min="11" max="12" width="13" style="117" customWidth="1"/>
    <col min="13" max="13" width="32.85546875" style="117" customWidth="1"/>
    <col min="14" max="14" width="13" style="114" customWidth="1"/>
    <col min="15" max="15" width="12.28515625" style="42" customWidth="1"/>
    <col min="16" max="31" width="15.140625" style="42" customWidth="1"/>
    <col min="32" max="74" width="0.7109375" style="42"/>
    <col min="75" max="16384" width="0.7109375" style="41"/>
  </cols>
  <sheetData>
    <row r="1" spans="1:215" s="99" customFormat="1" ht="41.2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374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</row>
    <row r="2" spans="1:215" s="94" customFormat="1" ht="27.75" customHeight="1" x14ac:dyDescent="0.2">
      <c r="A2" s="795" t="s">
        <v>803</v>
      </c>
      <c r="B2" s="796">
        <v>500210638</v>
      </c>
      <c r="C2" s="799">
        <v>1000536776</v>
      </c>
      <c r="D2" s="801">
        <v>20000102</v>
      </c>
      <c r="E2" s="802">
        <v>19054</v>
      </c>
      <c r="F2" s="802">
        <v>25000</v>
      </c>
      <c r="G2" s="802">
        <v>86001</v>
      </c>
      <c r="H2" s="802">
        <v>250000</v>
      </c>
      <c r="I2" s="802">
        <v>160876</v>
      </c>
      <c r="J2" s="802">
        <v>257579</v>
      </c>
      <c r="K2" s="802">
        <v>257579</v>
      </c>
      <c r="L2" s="802">
        <f t="shared" ref="L2:L33" si="0">J2-K2</f>
        <v>0</v>
      </c>
      <c r="M2" s="804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</row>
    <row r="3" spans="1:215" s="62" customFormat="1" ht="45" customHeight="1" x14ac:dyDescent="0.2">
      <c r="A3" s="55" t="s">
        <v>810</v>
      </c>
      <c r="B3" s="50">
        <v>500250006</v>
      </c>
      <c r="C3" s="49">
        <v>1000545291</v>
      </c>
      <c r="D3" s="48">
        <v>20000201</v>
      </c>
      <c r="E3" s="46">
        <v>34298</v>
      </c>
      <c r="F3" s="46">
        <v>30000</v>
      </c>
      <c r="G3" s="46">
        <v>37427</v>
      </c>
      <c r="H3" s="46">
        <v>40000</v>
      </c>
      <c r="I3" s="46">
        <v>40000</v>
      </c>
      <c r="J3" s="46">
        <v>40000</v>
      </c>
      <c r="K3" s="46">
        <v>40000</v>
      </c>
      <c r="L3" s="46">
        <f t="shared" si="0"/>
        <v>0</v>
      </c>
      <c r="M3" s="75"/>
      <c r="O3" s="288" t="e">
        <f>MATCH(B3,',42-02-59,42-02-16 מוסיקה'!$A$5:$A$28,0)</f>
        <v>#N/A</v>
      </c>
      <c r="P3" s="288" t="e">
        <f>MATCH(B3,',42-02-59,42-02-16 מוסיקה'!$A$32:$A$100,0)</f>
        <v>#N/A</v>
      </c>
      <c r="Q3" s="288">
        <f>MATCH(B3,',42-02-59,42-02-16 מוסיקה'!$A$102:$A$107,0)</f>
        <v>2</v>
      </c>
    </row>
    <row r="4" spans="1:215" s="62" customFormat="1" ht="74.25" customHeight="1" x14ac:dyDescent="0.2">
      <c r="A4" s="391" t="s">
        <v>831</v>
      </c>
      <c r="B4" s="389">
        <v>500250006</v>
      </c>
      <c r="C4" s="49">
        <v>1000546410</v>
      </c>
      <c r="D4" s="305">
        <v>20000201</v>
      </c>
      <c r="E4" s="392">
        <v>0</v>
      </c>
      <c r="F4" s="119">
        <v>0</v>
      </c>
      <c r="G4" s="46">
        <v>0</v>
      </c>
      <c r="H4" s="46">
        <v>0</v>
      </c>
      <c r="I4" s="46">
        <v>30000</v>
      </c>
      <c r="J4" s="46">
        <v>30000</v>
      </c>
      <c r="K4" s="46">
        <v>30000</v>
      </c>
      <c r="L4" s="46">
        <f t="shared" si="0"/>
        <v>0</v>
      </c>
      <c r="M4" s="381"/>
      <c r="O4" s="288" t="e">
        <f>MATCH(B4,',42-02-59,42-02-16 מוסיקה'!$A$5:$A$28,0)</f>
        <v>#N/A</v>
      </c>
      <c r="P4" s="288" t="e">
        <f>MATCH(B4,',42-02-59,42-02-16 מוסיקה'!$A$32:$A$100,0)</f>
        <v>#N/A</v>
      </c>
      <c r="Q4" s="288">
        <f>MATCH(B4,',42-02-59,42-02-16 מוסיקה'!$A$102:$A$107,0)</f>
        <v>2</v>
      </c>
    </row>
    <row r="5" spans="1:215" s="62" customFormat="1" ht="51.75" customHeight="1" x14ac:dyDescent="0.2">
      <c r="A5" s="391" t="s">
        <v>786</v>
      </c>
      <c r="B5" s="389">
        <v>500250006</v>
      </c>
      <c r="C5" s="49">
        <v>1000545101</v>
      </c>
      <c r="D5" s="305">
        <v>20000201</v>
      </c>
      <c r="E5" s="392">
        <v>100000</v>
      </c>
      <c r="F5" s="119">
        <v>125000</v>
      </c>
      <c r="G5" s="46">
        <v>84211</v>
      </c>
      <c r="H5" s="46">
        <v>80000</v>
      </c>
      <c r="I5" s="46">
        <v>80000</v>
      </c>
      <c r="J5" s="46">
        <v>80000</v>
      </c>
      <c r="K5" s="46">
        <v>80000</v>
      </c>
      <c r="L5" s="46">
        <f t="shared" si="0"/>
        <v>0</v>
      </c>
      <c r="M5" s="381"/>
      <c r="N5" s="121"/>
      <c r="O5" s="288" t="e">
        <f>MATCH(B5,',42-02-59,42-02-16 מוסיקה'!$A$5:$A$28,0)</f>
        <v>#N/A</v>
      </c>
      <c r="P5" s="288" t="e">
        <f>MATCH(B5,',42-02-59,42-02-16 מוסיקה'!$A$32:$A$100,0)</f>
        <v>#N/A</v>
      </c>
      <c r="Q5" s="288">
        <f>MATCH(B5,',42-02-59,42-02-16 מוסיקה'!$A$102:$A$107,0)</f>
        <v>2</v>
      </c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</row>
    <row r="6" spans="1:215" s="62" customFormat="1" ht="64.5" customHeight="1" x14ac:dyDescent="0.2">
      <c r="A6" s="55" t="s">
        <v>820</v>
      </c>
      <c r="B6" s="50">
        <v>500269006</v>
      </c>
      <c r="C6" s="49">
        <v>1000535796</v>
      </c>
      <c r="D6" s="48">
        <v>20000227</v>
      </c>
      <c r="E6" s="46">
        <v>21436</v>
      </c>
      <c r="F6" s="119">
        <v>30000</v>
      </c>
      <c r="G6" s="46">
        <v>28070</v>
      </c>
      <c r="H6" s="46">
        <v>30000</v>
      </c>
      <c r="I6" s="46">
        <v>25000</v>
      </c>
      <c r="J6" s="46">
        <v>20000</v>
      </c>
      <c r="K6" s="46">
        <v>20000</v>
      </c>
      <c r="L6" s="46">
        <f t="shared" si="0"/>
        <v>0</v>
      </c>
      <c r="M6" s="383"/>
      <c r="N6" s="121"/>
      <c r="O6" s="288" t="e">
        <f>MATCH(B6,',42-02-59,42-02-16 מוסיקה'!$A$5:$A$28,0)</f>
        <v>#N/A</v>
      </c>
      <c r="P6" s="288" t="e">
        <f>MATCH(B6,',42-02-59,42-02-16 מוסיקה'!$A$32:$A$100,0)</f>
        <v>#N/A</v>
      </c>
      <c r="Q6" s="288">
        <f>MATCH(B6,',42-02-59,42-02-16 מוסיקה'!$A$102:$A$107,0)</f>
        <v>1</v>
      </c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</row>
    <row r="7" spans="1:215" s="62" customFormat="1" ht="50.25" customHeight="1" x14ac:dyDescent="0.2">
      <c r="A7" s="55" t="s">
        <v>879</v>
      </c>
      <c r="B7" s="50">
        <v>500280003</v>
      </c>
      <c r="C7" s="49">
        <v>1000552294</v>
      </c>
      <c r="D7" s="48">
        <v>20000244</v>
      </c>
      <c r="E7" s="46">
        <v>51446</v>
      </c>
      <c r="F7" s="119">
        <v>60000</v>
      </c>
      <c r="G7" s="46">
        <v>68801</v>
      </c>
      <c r="H7" s="46">
        <v>75350</v>
      </c>
      <c r="I7" s="46">
        <v>55000</v>
      </c>
      <c r="J7" s="46">
        <v>60287</v>
      </c>
      <c r="K7" s="46">
        <v>60287</v>
      </c>
      <c r="L7" s="46">
        <f t="shared" si="0"/>
        <v>0</v>
      </c>
      <c r="M7" s="808"/>
      <c r="N7" s="121"/>
      <c r="O7" s="288" t="e">
        <f>MATCH(B7,',42-02-59,42-02-16 מוסיקה'!$A$5:$A$28,0)</f>
        <v>#N/A</v>
      </c>
      <c r="P7" s="288" t="e">
        <f>MATCH(B7,',42-02-59,42-02-16 מוסיקה'!$A$32:$A$100,0)</f>
        <v>#N/A</v>
      </c>
      <c r="Q7" s="288">
        <f>MATCH(B7,',42-02-59,42-02-16 מוסיקה'!$A$102:$A$107,0)</f>
        <v>5</v>
      </c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</row>
    <row r="8" spans="1:215" s="62" customFormat="1" ht="87" customHeight="1" x14ac:dyDescent="0.2">
      <c r="A8" s="51" t="s">
        <v>800</v>
      </c>
      <c r="B8" s="105">
        <v>510145022</v>
      </c>
      <c r="C8" s="49">
        <v>1000538143</v>
      </c>
      <c r="D8" s="48">
        <v>40000252</v>
      </c>
      <c r="E8" s="46">
        <v>3150000</v>
      </c>
      <c r="F8" s="119">
        <v>3220113</v>
      </c>
      <c r="G8" s="46">
        <v>3168149</v>
      </c>
      <c r="H8" s="46">
        <v>3146052</v>
      </c>
      <c r="I8" s="46">
        <v>3087984</v>
      </c>
      <c r="J8" s="46">
        <v>3099271</v>
      </c>
      <c r="K8" s="46">
        <v>3099271</v>
      </c>
      <c r="L8" s="46">
        <f t="shared" si="0"/>
        <v>0</v>
      </c>
      <c r="M8" s="378"/>
      <c r="N8" s="121"/>
      <c r="O8" s="288">
        <f>MATCH(B8,',42-02-59,42-02-16 מוסיקה'!$A$5:$A$28,0)</f>
        <v>4</v>
      </c>
      <c r="P8" s="288">
        <f>MATCH(B8,',42-02-59,42-02-16 מוסיקה'!$A$32:$A$100,0)</f>
        <v>35</v>
      </c>
      <c r="Q8" s="288" t="e">
        <f>MATCH(B8,',42-02-59,42-02-16 מוסיקה'!$A$102:$A$107,0)</f>
        <v>#N/A</v>
      </c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</row>
    <row r="9" spans="1:215" s="62" customFormat="1" ht="51.75" customHeight="1" x14ac:dyDescent="0.2">
      <c r="A9" s="51" t="s">
        <v>813</v>
      </c>
      <c r="B9" s="105">
        <v>510145022</v>
      </c>
      <c r="C9" s="49">
        <v>1000538144</v>
      </c>
      <c r="D9" s="48">
        <v>40000252</v>
      </c>
      <c r="E9" s="46">
        <v>0</v>
      </c>
      <c r="F9" s="119">
        <v>0</v>
      </c>
      <c r="G9" s="46">
        <v>37427</v>
      </c>
      <c r="H9" s="46">
        <v>35000</v>
      </c>
      <c r="I9" s="46">
        <v>35000</v>
      </c>
      <c r="J9" s="46">
        <v>35000</v>
      </c>
      <c r="K9" s="46">
        <v>35000</v>
      </c>
      <c r="L9" s="46">
        <f t="shared" si="0"/>
        <v>0</v>
      </c>
      <c r="M9" s="387"/>
      <c r="N9" s="287"/>
      <c r="O9" s="288">
        <f>MATCH(B9,',42-02-59,42-02-16 מוסיקה'!$A$5:$A$28,0)</f>
        <v>4</v>
      </c>
      <c r="P9" s="288">
        <f>MATCH(B9,',42-02-59,42-02-16 מוסיקה'!$A$32:$A$100,0)</f>
        <v>35</v>
      </c>
      <c r="Q9" s="288" t="e">
        <f>MATCH(B9,',42-02-59,42-02-16 מוסיקה'!$A$102:$A$107,0)</f>
        <v>#N/A</v>
      </c>
      <c r="R9" s="290"/>
      <c r="S9" s="183"/>
      <c r="T9" s="287"/>
      <c r="U9" s="287"/>
      <c r="V9" s="287"/>
      <c r="W9" s="287"/>
      <c r="X9" s="288"/>
      <c r="Y9" s="289"/>
      <c r="Z9" s="290"/>
      <c r="AA9" s="183"/>
      <c r="AB9" s="287"/>
      <c r="AC9" s="287"/>
      <c r="AD9" s="287"/>
      <c r="AE9" s="287"/>
      <c r="AF9" s="288"/>
      <c r="AG9" s="289"/>
      <c r="AH9" s="290"/>
      <c r="AI9" s="183"/>
      <c r="AJ9" s="287"/>
      <c r="AK9" s="287"/>
      <c r="AL9" s="287"/>
      <c r="AM9" s="287"/>
      <c r="AN9" s="288"/>
      <c r="AO9" s="289"/>
      <c r="AP9" s="290"/>
      <c r="AQ9" s="183"/>
      <c r="AR9" s="287"/>
      <c r="AS9" s="287"/>
      <c r="AT9" s="287"/>
      <c r="AU9" s="287"/>
      <c r="AV9" s="288"/>
      <c r="AW9" s="289"/>
      <c r="AX9" s="290"/>
      <c r="AY9" s="183"/>
      <c r="AZ9" s="287"/>
      <c r="BA9" s="287"/>
      <c r="BB9" s="287"/>
      <c r="BC9" s="287"/>
      <c r="BD9" s="288"/>
      <c r="BE9" s="289"/>
      <c r="BF9" s="290"/>
      <c r="BG9" s="183"/>
      <c r="BH9" s="287"/>
      <c r="BI9" s="287"/>
      <c r="BJ9" s="287"/>
      <c r="BK9" s="287"/>
      <c r="BL9" s="288"/>
      <c r="BM9" s="289"/>
      <c r="BN9" s="290"/>
      <c r="BO9" s="183"/>
      <c r="BP9" s="287"/>
      <c r="BQ9" s="287"/>
      <c r="BR9" s="287"/>
      <c r="BS9" s="287"/>
      <c r="BT9" s="288"/>
      <c r="BU9" s="289"/>
      <c r="BV9" s="290"/>
      <c r="BW9" s="183"/>
      <c r="BX9" s="287"/>
      <c r="BY9" s="287"/>
      <c r="BZ9" s="287"/>
      <c r="CA9" s="287"/>
      <c r="CB9" s="288"/>
      <c r="CC9" s="289"/>
      <c r="CD9" s="290"/>
      <c r="CE9" s="183"/>
      <c r="CF9" s="287"/>
      <c r="CG9" s="287"/>
      <c r="CH9" s="287"/>
      <c r="CI9" s="287"/>
      <c r="CJ9" s="288"/>
      <c r="CK9" s="289"/>
      <c r="CL9" s="290"/>
      <c r="CM9" s="183"/>
      <c r="CN9" s="287"/>
      <c r="CO9" s="287"/>
      <c r="CP9" s="287"/>
      <c r="CQ9" s="287"/>
      <c r="CR9" s="288"/>
      <c r="CS9" s="289"/>
      <c r="CT9" s="290"/>
      <c r="CU9" s="183"/>
      <c r="CV9" s="287"/>
      <c r="CW9" s="287"/>
      <c r="CX9" s="287"/>
      <c r="CY9" s="287"/>
      <c r="CZ9" s="288"/>
      <c r="DA9" s="289"/>
      <c r="DB9" s="290"/>
      <c r="DC9" s="183"/>
      <c r="DD9" s="287"/>
      <c r="DE9" s="287"/>
      <c r="DF9" s="287"/>
      <c r="DG9" s="287"/>
      <c r="DH9" s="288"/>
      <c r="DI9" s="289"/>
      <c r="DJ9" s="290"/>
      <c r="DK9" s="183"/>
      <c r="DL9" s="287"/>
      <c r="DM9" s="287"/>
      <c r="DN9" s="287"/>
      <c r="DO9" s="287"/>
      <c r="DP9" s="288"/>
      <c r="DQ9" s="289"/>
      <c r="DR9" s="290"/>
      <c r="DS9" s="183"/>
      <c r="DT9" s="287"/>
      <c r="DU9" s="287"/>
      <c r="DV9" s="287"/>
      <c r="DW9" s="287"/>
      <c r="DX9" s="288"/>
      <c r="DY9" s="289"/>
      <c r="DZ9" s="290"/>
      <c r="EA9" s="183"/>
      <c r="EB9" s="287"/>
      <c r="EC9" s="287"/>
      <c r="ED9" s="287"/>
      <c r="EE9" s="287"/>
      <c r="EF9" s="288"/>
      <c r="EG9" s="289"/>
      <c r="EH9" s="290"/>
      <c r="EI9" s="183"/>
      <c r="EJ9" s="287"/>
      <c r="EK9" s="287"/>
      <c r="EL9" s="287"/>
      <c r="EM9" s="287"/>
      <c r="EN9" s="288"/>
      <c r="EO9" s="289"/>
      <c r="EP9" s="290"/>
      <c r="EQ9" s="183"/>
      <c r="ER9" s="287"/>
      <c r="ES9" s="287"/>
      <c r="ET9" s="287"/>
      <c r="EU9" s="287"/>
      <c r="EV9" s="288"/>
      <c r="EW9" s="289"/>
      <c r="EX9" s="290"/>
      <c r="EY9" s="183"/>
      <c r="EZ9" s="287"/>
      <c r="FA9" s="287"/>
      <c r="FB9" s="287"/>
      <c r="FC9" s="287"/>
      <c r="FD9" s="288"/>
      <c r="FE9" s="289"/>
      <c r="FF9" s="290"/>
      <c r="FG9" s="183"/>
      <c r="FH9" s="287"/>
      <c r="FI9" s="287"/>
      <c r="FJ9" s="287"/>
      <c r="FK9" s="287"/>
      <c r="FL9" s="288"/>
      <c r="FM9" s="289"/>
      <c r="FN9" s="290"/>
      <c r="FO9" s="183"/>
      <c r="FP9" s="287"/>
      <c r="FQ9" s="287"/>
      <c r="FR9" s="287"/>
      <c r="FS9" s="287"/>
      <c r="FT9" s="288"/>
      <c r="FU9" s="289"/>
      <c r="FV9" s="290"/>
      <c r="FW9" s="183"/>
      <c r="FX9" s="287"/>
      <c r="FY9" s="287"/>
      <c r="FZ9" s="287"/>
      <c r="GA9" s="287"/>
      <c r="GB9" s="288"/>
      <c r="GC9" s="289"/>
      <c r="GD9" s="290"/>
      <c r="GE9" s="183"/>
      <c r="GF9" s="287"/>
      <c r="GG9" s="287"/>
      <c r="GH9" s="287"/>
      <c r="GI9" s="287"/>
      <c r="GJ9" s="288"/>
      <c r="GK9" s="289"/>
      <c r="GL9" s="290"/>
      <c r="GM9" s="183"/>
      <c r="GN9" s="287"/>
      <c r="GO9" s="287"/>
      <c r="GP9" s="287"/>
      <c r="GQ9" s="287"/>
      <c r="GR9" s="288"/>
      <c r="GS9" s="289"/>
      <c r="GT9" s="290"/>
      <c r="GU9" s="183"/>
      <c r="GV9" s="287"/>
      <c r="GW9" s="287"/>
      <c r="GX9" s="287"/>
      <c r="GY9" s="287"/>
      <c r="GZ9" s="288"/>
      <c r="HA9" s="289"/>
      <c r="HB9" s="290"/>
      <c r="HC9" s="183"/>
      <c r="HD9" s="287"/>
      <c r="HE9" s="287"/>
      <c r="HF9" s="287"/>
      <c r="HG9" s="287"/>
    </row>
    <row r="10" spans="1:215" s="62" customFormat="1" ht="55.5" customHeight="1" x14ac:dyDescent="0.2">
      <c r="A10" s="51" t="s">
        <v>834</v>
      </c>
      <c r="B10" s="105">
        <v>510145022</v>
      </c>
      <c r="C10" s="49">
        <v>1000538150</v>
      </c>
      <c r="D10" s="48">
        <v>40000252</v>
      </c>
      <c r="E10" s="46"/>
      <c r="F10" s="119"/>
      <c r="G10" s="46"/>
      <c r="H10" s="46"/>
      <c r="I10" s="46">
        <v>0</v>
      </c>
      <c r="J10" s="46">
        <v>35000</v>
      </c>
      <c r="K10" s="46">
        <v>35000</v>
      </c>
      <c r="L10" s="46">
        <f t="shared" si="0"/>
        <v>0</v>
      </c>
      <c r="M10" s="387"/>
      <c r="O10" s="288">
        <f>MATCH(B10,',42-02-59,42-02-16 מוסיקה'!$A$5:$A$28,0)</f>
        <v>4</v>
      </c>
      <c r="P10" s="288">
        <f>MATCH(B10,',42-02-59,42-02-16 מוסיקה'!$A$32:$A$100,0)</f>
        <v>35</v>
      </c>
      <c r="Q10" s="288" t="e">
        <f>MATCH(B10,',42-02-59,42-02-16 מוסיקה'!$A$102:$A$107,0)</f>
        <v>#N/A</v>
      </c>
    </row>
    <row r="11" spans="1:215" s="62" customFormat="1" ht="50.25" customHeight="1" x14ac:dyDescent="0.2">
      <c r="A11" s="55" t="s">
        <v>840</v>
      </c>
      <c r="B11" s="182">
        <v>510748734</v>
      </c>
      <c r="C11" s="49">
        <v>1000542697</v>
      </c>
      <c r="D11" s="48">
        <v>40000028</v>
      </c>
      <c r="E11" s="46">
        <v>14291</v>
      </c>
      <c r="F11" s="101">
        <v>15000</v>
      </c>
      <c r="G11" s="46">
        <v>14035</v>
      </c>
      <c r="H11" s="46">
        <v>14000</v>
      </c>
      <c r="I11" s="46">
        <v>15000</v>
      </c>
      <c r="J11" s="46">
        <v>15000</v>
      </c>
      <c r="K11" s="46">
        <v>15000</v>
      </c>
      <c r="L11" s="46">
        <f t="shared" si="0"/>
        <v>0</v>
      </c>
      <c r="M11" s="381"/>
      <c r="O11" s="288" t="e">
        <f>MATCH(B11,',42-02-59,42-02-16 מוסיקה'!$A$5:$A$28,0)</f>
        <v>#N/A</v>
      </c>
      <c r="P11" s="288">
        <f>MATCH(B11,',42-02-59,42-02-16 מוסיקה'!$A$32:$A$100,0)</f>
        <v>27</v>
      </c>
      <c r="Q11" s="288" t="e">
        <f>MATCH(B11,',42-02-59,42-02-16 מוסיקה'!$A$102:$A$107,0)</f>
        <v>#N/A</v>
      </c>
    </row>
    <row r="12" spans="1:215" s="379" customFormat="1" ht="39.75" customHeight="1" x14ac:dyDescent="0.2">
      <c r="A12" s="55" t="s">
        <v>841</v>
      </c>
      <c r="B12" s="182">
        <v>510748734</v>
      </c>
      <c r="C12" s="49">
        <v>1000542800</v>
      </c>
      <c r="D12" s="48">
        <v>40000028</v>
      </c>
      <c r="E12" s="46">
        <v>14291</v>
      </c>
      <c r="F12" s="382">
        <v>15000</v>
      </c>
      <c r="G12" s="46">
        <v>9357</v>
      </c>
      <c r="H12" s="46">
        <v>10000</v>
      </c>
      <c r="I12" s="46">
        <v>10000</v>
      </c>
      <c r="J12" s="46">
        <v>10000</v>
      </c>
      <c r="K12" s="46">
        <v>10000</v>
      </c>
      <c r="L12" s="46">
        <f t="shared" si="0"/>
        <v>0</v>
      </c>
      <c r="M12" s="381"/>
      <c r="O12" s="288" t="e">
        <f>MATCH(B12,',42-02-59,42-02-16 מוסיקה'!$A$5:$A$28,0)</f>
        <v>#N/A</v>
      </c>
      <c r="P12" s="288">
        <f>MATCH(B12,',42-02-59,42-02-16 מוסיקה'!$A$32:$A$100,0)</f>
        <v>27</v>
      </c>
      <c r="Q12" s="288" t="e">
        <f>MATCH(B12,',42-02-59,42-02-16 מוסיקה'!$A$102:$A$107,0)</f>
        <v>#N/A</v>
      </c>
    </row>
    <row r="13" spans="1:215" s="62" customFormat="1" ht="74.25" customHeight="1" x14ac:dyDescent="0.2">
      <c r="A13" s="51" t="s">
        <v>805</v>
      </c>
      <c r="B13" s="50">
        <v>511757114</v>
      </c>
      <c r="C13" s="49">
        <v>1000546393</v>
      </c>
      <c r="D13" s="48">
        <v>40000291</v>
      </c>
      <c r="E13" s="46">
        <v>0</v>
      </c>
      <c r="F13" s="382">
        <v>0</v>
      </c>
      <c r="G13" s="46">
        <v>0</v>
      </c>
      <c r="H13" s="46">
        <v>1130243</v>
      </c>
      <c r="I13" s="46">
        <v>1895978</v>
      </c>
      <c r="J13" s="46">
        <v>2157104</v>
      </c>
      <c r="K13" s="46">
        <v>2157104</v>
      </c>
      <c r="L13" s="46">
        <f t="shared" si="0"/>
        <v>0</v>
      </c>
      <c r="M13" s="380"/>
      <c r="O13" s="288">
        <f>MATCH(B13,',42-02-59,42-02-16 מוסיקה'!$A$5:$A$28,0)</f>
        <v>17</v>
      </c>
      <c r="P13" s="288">
        <f>MATCH(B13,',42-02-59,42-02-16 מוסיקה'!$A$32:$A$100,0)</f>
        <v>36</v>
      </c>
      <c r="Q13" s="288" t="e">
        <f>MATCH(B13,',42-02-59,42-02-16 מוסיקה'!$A$102:$A$107,0)</f>
        <v>#N/A</v>
      </c>
    </row>
    <row r="14" spans="1:215" s="62" customFormat="1" ht="48.75" customHeight="1" x14ac:dyDescent="0.2">
      <c r="A14" s="51" t="s">
        <v>712</v>
      </c>
      <c r="B14" s="105">
        <v>512295353</v>
      </c>
      <c r="C14" s="49">
        <v>1000533703</v>
      </c>
      <c r="D14" s="48">
        <v>40000294</v>
      </c>
      <c r="E14" s="46">
        <v>8959333</v>
      </c>
      <c r="F14" s="119">
        <v>9318273</v>
      </c>
      <c r="G14" s="46">
        <v>9339912</v>
      </c>
      <c r="H14" s="46">
        <v>9232039</v>
      </c>
      <c r="I14" s="46">
        <v>9372713</v>
      </c>
      <c r="J14" s="46">
        <v>9401518</v>
      </c>
      <c r="K14" s="46">
        <v>9401518</v>
      </c>
      <c r="L14" s="46">
        <f t="shared" si="0"/>
        <v>0</v>
      </c>
      <c r="M14" s="377"/>
      <c r="N14" s="121"/>
      <c r="O14" s="288">
        <f>MATCH(B14,',42-02-59,42-02-16 מוסיקה'!$A$5:$A$28,0)</f>
        <v>1</v>
      </c>
      <c r="P14" s="288" t="e">
        <f>MATCH(B14,',42-02-59,42-02-16 מוסיקה'!$A$32:$A$100,0)</f>
        <v>#N/A</v>
      </c>
      <c r="Q14" s="288" t="e">
        <f>MATCH(B14,',42-02-59,42-02-16 מוסיקה'!$A$102:$A$107,0)</f>
        <v>#N/A</v>
      </c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</row>
    <row r="15" spans="1:215" s="62" customFormat="1" ht="39" customHeight="1" x14ac:dyDescent="0.2">
      <c r="A15" s="55" t="s">
        <v>839</v>
      </c>
      <c r="B15" s="182">
        <v>500284005</v>
      </c>
      <c r="C15" s="49">
        <v>1000541951</v>
      </c>
      <c r="D15" s="48">
        <v>20000248</v>
      </c>
      <c r="E15" s="46">
        <v>13076</v>
      </c>
      <c r="F15" s="119">
        <v>15000</v>
      </c>
      <c r="G15" s="284">
        <v>20000</v>
      </c>
      <c r="H15" s="46">
        <v>20000</v>
      </c>
      <c r="I15" s="46">
        <v>20000</v>
      </c>
      <c r="J15" s="46">
        <v>35000</v>
      </c>
      <c r="K15" s="46">
        <v>35000</v>
      </c>
      <c r="L15" s="46">
        <f t="shared" si="0"/>
        <v>0</v>
      </c>
      <c r="M15" s="579"/>
      <c r="N15" s="121"/>
      <c r="O15" s="288" t="e">
        <f>MATCH(B15,',42-02-59,42-02-16 מוסיקה'!$A$5:$A$28,0)</f>
        <v>#N/A</v>
      </c>
      <c r="P15" s="288" t="e">
        <f>MATCH(B15,',42-02-59,42-02-16 מוסיקה'!$A$32:$A$100,0)</f>
        <v>#N/A</v>
      </c>
      <c r="Q15" s="288">
        <f>MATCH(B15,',42-02-59,42-02-16 מוסיקה'!$A$102:$A$107,0)</f>
        <v>6</v>
      </c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</row>
    <row r="16" spans="1:215" s="62" customFormat="1" ht="39.75" customHeight="1" x14ac:dyDescent="0.2">
      <c r="A16" s="55" t="s">
        <v>862</v>
      </c>
      <c r="B16" s="50">
        <v>580002780</v>
      </c>
      <c r="C16" s="54">
        <v>1000542591</v>
      </c>
      <c r="D16" s="48">
        <v>40000049</v>
      </c>
      <c r="E16" s="46">
        <v>60000</v>
      </c>
      <c r="F16" s="101">
        <v>65000</v>
      </c>
      <c r="G16" s="46">
        <v>56141</v>
      </c>
      <c r="H16" s="46">
        <v>58844</v>
      </c>
      <c r="I16" s="46">
        <v>60000</v>
      </c>
      <c r="J16" s="46">
        <v>65768</v>
      </c>
      <c r="K16" s="46">
        <v>65768</v>
      </c>
      <c r="L16" s="46">
        <f t="shared" si="0"/>
        <v>0</v>
      </c>
      <c r="M16" s="805"/>
      <c r="O16" s="288" t="e">
        <f>MATCH(B16,',42-02-59,42-02-16 מוסיקה'!$A$5:$A$28,0)</f>
        <v>#N/A</v>
      </c>
      <c r="P16" s="288">
        <f>MATCH(B16,',42-02-59,42-02-16 מוסיקה'!$A$32:$A$100,0)</f>
        <v>25</v>
      </c>
      <c r="Q16" s="288" t="e">
        <f>MATCH(B16,',42-02-59,42-02-16 מוסיקה'!$A$102:$A$107,0)</f>
        <v>#N/A</v>
      </c>
    </row>
    <row r="17" spans="1:214" s="62" customFormat="1" ht="43.5" customHeight="1" x14ac:dyDescent="0.2">
      <c r="A17" s="51" t="s">
        <v>814</v>
      </c>
      <c r="B17" s="105">
        <v>580016145</v>
      </c>
      <c r="C17" s="49">
        <v>1000535849</v>
      </c>
      <c r="D17" s="48">
        <v>40000343</v>
      </c>
      <c r="E17" s="46">
        <v>400000</v>
      </c>
      <c r="F17" s="46">
        <v>400000</v>
      </c>
      <c r="G17" s="46">
        <v>748540</v>
      </c>
      <c r="H17" s="46">
        <v>415676</v>
      </c>
      <c r="I17" s="46">
        <v>346960</v>
      </c>
      <c r="J17" s="46">
        <v>900000</v>
      </c>
      <c r="K17" s="46">
        <v>900000</v>
      </c>
      <c r="L17" s="46">
        <f t="shared" si="0"/>
        <v>0</v>
      </c>
      <c r="M17" s="377"/>
      <c r="O17" s="288" t="e">
        <f>MATCH(B17,',42-02-59,42-02-16 מוסיקה'!$A$5:$A$28,0)</f>
        <v>#N/A</v>
      </c>
      <c r="P17" s="288">
        <f>MATCH(B17,',42-02-59,42-02-16 מוסיקה'!$A$32:$A$100,0)</f>
        <v>4</v>
      </c>
      <c r="Q17" s="288" t="e">
        <f>MATCH(B17,',42-02-59,42-02-16 מוסיקה'!$A$102:$A$107,0)</f>
        <v>#N/A</v>
      </c>
    </row>
    <row r="18" spans="1:214" s="62" customFormat="1" ht="42.75" customHeight="1" x14ac:dyDescent="0.2">
      <c r="A18" s="55" t="s">
        <v>825</v>
      </c>
      <c r="B18" s="50">
        <v>580021897</v>
      </c>
      <c r="C18" s="49">
        <v>1000551375</v>
      </c>
      <c r="D18" s="48">
        <v>40000074</v>
      </c>
      <c r="E18" s="46">
        <v>70000</v>
      </c>
      <c r="F18" s="119">
        <v>90000</v>
      </c>
      <c r="G18" s="46">
        <v>84211</v>
      </c>
      <c r="H18" s="46">
        <v>85000</v>
      </c>
      <c r="I18" s="46">
        <v>85000</v>
      </c>
      <c r="J18" s="46">
        <v>85000</v>
      </c>
      <c r="K18" s="46">
        <v>85000</v>
      </c>
      <c r="L18" s="46">
        <f t="shared" si="0"/>
        <v>0</v>
      </c>
      <c r="M18" s="376"/>
      <c r="N18" s="121"/>
      <c r="O18" s="288" t="e">
        <f>MATCH(B18,',42-02-59,42-02-16 מוסיקה'!$A$5:$A$28,0)</f>
        <v>#N/A</v>
      </c>
      <c r="P18" s="288">
        <f>MATCH(B18,',42-02-59,42-02-16 מוסיקה'!$A$32:$A$100,0)</f>
        <v>15</v>
      </c>
      <c r="Q18" s="288" t="e">
        <f>MATCH(B18,',42-02-59,42-02-16 מוסיקה'!$A$102:$A$107,0)</f>
        <v>#N/A</v>
      </c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</row>
    <row r="19" spans="1:214" s="62" customFormat="1" ht="42.75" customHeight="1" x14ac:dyDescent="0.2">
      <c r="A19" s="55" t="s">
        <v>864</v>
      </c>
      <c r="B19" s="50">
        <v>580021897</v>
      </c>
      <c r="C19" s="49">
        <v>1000551386</v>
      </c>
      <c r="D19" s="48">
        <v>40000074</v>
      </c>
      <c r="E19" s="46">
        <v>14291</v>
      </c>
      <c r="F19" s="119">
        <v>15000</v>
      </c>
      <c r="G19" s="46">
        <v>14035</v>
      </c>
      <c r="H19" s="46">
        <v>15000</v>
      </c>
      <c r="I19" s="46">
        <v>15000</v>
      </c>
      <c r="J19" s="46">
        <v>16442</v>
      </c>
      <c r="K19" s="46">
        <v>16442</v>
      </c>
      <c r="L19" s="46">
        <f t="shared" si="0"/>
        <v>0</v>
      </c>
      <c r="M19" s="88"/>
      <c r="O19" s="288" t="e">
        <f>MATCH(B19,',42-02-59,42-02-16 מוסיקה'!$A$5:$A$28,0)</f>
        <v>#N/A</v>
      </c>
      <c r="P19" s="288">
        <f>MATCH(B19,',42-02-59,42-02-16 מוסיקה'!$A$32:$A$100,0)</f>
        <v>15</v>
      </c>
      <c r="Q19" s="288" t="e">
        <f>MATCH(B19,',42-02-59,42-02-16 מוסיקה'!$A$102:$A$107,0)</f>
        <v>#N/A</v>
      </c>
    </row>
    <row r="20" spans="1:214" s="62" customFormat="1" ht="50.25" customHeight="1" x14ac:dyDescent="0.2">
      <c r="A20" s="55" t="s">
        <v>818</v>
      </c>
      <c r="B20" s="50">
        <v>580025807</v>
      </c>
      <c r="C20" s="49">
        <v>1000542969</v>
      </c>
      <c r="D20" s="48">
        <v>40000079</v>
      </c>
      <c r="E20" s="46">
        <v>265806</v>
      </c>
      <c r="F20" s="119">
        <v>265000</v>
      </c>
      <c r="G20" s="46">
        <v>247954</v>
      </c>
      <c r="H20" s="46">
        <v>240000</v>
      </c>
      <c r="I20" s="46">
        <v>240000</v>
      </c>
      <c r="J20" s="46">
        <v>241627</v>
      </c>
      <c r="K20" s="46">
        <v>241627</v>
      </c>
      <c r="L20" s="46">
        <f t="shared" si="0"/>
        <v>0</v>
      </c>
      <c r="M20" s="387"/>
      <c r="N20" s="287"/>
      <c r="O20" s="288" t="e">
        <f>MATCH(B20,',42-02-59,42-02-16 מוסיקה'!$A$5:$A$28,0)</f>
        <v>#N/A</v>
      </c>
      <c r="P20" s="288">
        <f>MATCH(B20,',42-02-59,42-02-16 מוסיקה'!$A$32:$A$100,0)</f>
        <v>28</v>
      </c>
      <c r="Q20" s="288" t="e">
        <f>MATCH(B20,',42-02-59,42-02-16 מוסיקה'!$A$102:$A$107,0)</f>
        <v>#N/A</v>
      </c>
      <c r="R20" s="183"/>
      <c r="S20" s="287"/>
      <c r="T20" s="287"/>
      <c r="U20" s="287"/>
      <c r="V20" s="287"/>
      <c r="W20" s="288"/>
      <c r="X20" s="289"/>
      <c r="Y20" s="290"/>
      <c r="Z20" s="183"/>
      <c r="AA20" s="287"/>
      <c r="AB20" s="287"/>
      <c r="AC20" s="287"/>
      <c r="AD20" s="287"/>
      <c r="AE20" s="288"/>
      <c r="AF20" s="289"/>
      <c r="AG20" s="290"/>
      <c r="AH20" s="183"/>
      <c r="AI20" s="287"/>
      <c r="AJ20" s="287"/>
      <c r="AK20" s="287"/>
      <c r="AL20" s="287"/>
      <c r="AM20" s="288"/>
      <c r="AN20" s="289"/>
      <c r="AO20" s="290"/>
      <c r="AP20" s="183"/>
      <c r="AQ20" s="287"/>
      <c r="AR20" s="287"/>
      <c r="AS20" s="287"/>
      <c r="AT20" s="287"/>
      <c r="AU20" s="288"/>
      <c r="AV20" s="289"/>
      <c r="AW20" s="290"/>
      <c r="AX20" s="183"/>
      <c r="AY20" s="287"/>
      <c r="AZ20" s="287"/>
      <c r="BA20" s="287"/>
      <c r="BB20" s="287"/>
      <c r="BC20" s="288"/>
      <c r="BD20" s="289"/>
      <c r="BE20" s="290"/>
      <c r="BF20" s="183"/>
      <c r="BG20" s="287"/>
      <c r="BH20" s="287"/>
      <c r="BI20" s="287"/>
      <c r="BJ20" s="287"/>
      <c r="BK20" s="288"/>
      <c r="BL20" s="289"/>
      <c r="BM20" s="290"/>
      <c r="BN20" s="183"/>
      <c r="BO20" s="287"/>
      <c r="BP20" s="287"/>
      <c r="BQ20" s="287"/>
      <c r="BR20" s="287"/>
      <c r="BS20" s="288"/>
      <c r="BT20" s="289"/>
      <c r="BU20" s="290"/>
      <c r="BV20" s="183"/>
      <c r="BW20" s="287"/>
      <c r="BX20" s="287"/>
      <c r="BY20" s="287"/>
      <c r="BZ20" s="287"/>
      <c r="CA20" s="288"/>
      <c r="CB20" s="289"/>
      <c r="CC20" s="290"/>
      <c r="CD20" s="183"/>
      <c r="CE20" s="287"/>
      <c r="CF20" s="287"/>
      <c r="CG20" s="287"/>
      <c r="CH20" s="287"/>
      <c r="CI20" s="288"/>
      <c r="CJ20" s="289"/>
      <c r="CK20" s="290"/>
      <c r="CL20" s="183"/>
      <c r="CM20" s="287"/>
      <c r="CN20" s="287"/>
      <c r="CO20" s="287"/>
      <c r="CP20" s="287"/>
      <c r="CQ20" s="288"/>
      <c r="CR20" s="289"/>
      <c r="CS20" s="290"/>
      <c r="CT20" s="183"/>
      <c r="CU20" s="287"/>
      <c r="CV20" s="287"/>
      <c r="CW20" s="287"/>
      <c r="CX20" s="287"/>
      <c r="CY20" s="288"/>
      <c r="CZ20" s="289"/>
      <c r="DA20" s="290"/>
      <c r="DB20" s="183"/>
      <c r="DC20" s="287"/>
      <c r="DD20" s="287"/>
      <c r="DE20" s="287"/>
      <c r="DF20" s="287"/>
      <c r="DG20" s="288"/>
      <c r="DH20" s="289"/>
      <c r="DI20" s="290"/>
      <c r="DJ20" s="183"/>
      <c r="DK20" s="287"/>
      <c r="DL20" s="287"/>
      <c r="DM20" s="287"/>
      <c r="DN20" s="287"/>
      <c r="DO20" s="288"/>
      <c r="DP20" s="289"/>
      <c r="DQ20" s="290"/>
      <c r="DR20" s="183"/>
      <c r="DS20" s="287"/>
      <c r="DT20" s="287"/>
      <c r="DU20" s="287"/>
      <c r="DV20" s="287"/>
      <c r="DW20" s="288"/>
      <c r="DX20" s="289"/>
      <c r="DY20" s="290"/>
      <c r="DZ20" s="183"/>
      <c r="EA20" s="287"/>
      <c r="EB20" s="287"/>
      <c r="EC20" s="287"/>
      <c r="ED20" s="287"/>
      <c r="EE20" s="288"/>
      <c r="EF20" s="289"/>
      <c r="EG20" s="290"/>
      <c r="EH20" s="183"/>
      <c r="EI20" s="287"/>
      <c r="EJ20" s="287"/>
      <c r="EK20" s="287"/>
      <c r="EL20" s="287"/>
      <c r="EM20" s="288"/>
      <c r="EN20" s="289"/>
      <c r="EO20" s="290"/>
      <c r="EP20" s="183"/>
      <c r="EQ20" s="287"/>
      <c r="ER20" s="287"/>
      <c r="ES20" s="287"/>
      <c r="ET20" s="287"/>
      <c r="EU20" s="288"/>
      <c r="EV20" s="289"/>
      <c r="EW20" s="290"/>
      <c r="EX20" s="183"/>
      <c r="EY20" s="287"/>
      <c r="EZ20" s="287"/>
      <c r="FA20" s="287"/>
      <c r="FB20" s="287"/>
      <c r="FC20" s="288"/>
      <c r="FD20" s="289"/>
      <c r="FE20" s="290"/>
      <c r="FF20" s="183"/>
      <c r="FG20" s="287"/>
      <c r="FH20" s="287"/>
      <c r="FI20" s="287"/>
      <c r="FJ20" s="287"/>
      <c r="FK20" s="288"/>
      <c r="FL20" s="289"/>
      <c r="FM20" s="290"/>
      <c r="FN20" s="183"/>
      <c r="FO20" s="287"/>
      <c r="FP20" s="287"/>
      <c r="FQ20" s="287"/>
      <c r="FR20" s="287"/>
      <c r="FS20" s="288"/>
      <c r="FT20" s="289"/>
      <c r="FU20" s="290"/>
      <c r="FV20" s="183"/>
      <c r="FW20" s="287"/>
      <c r="FX20" s="287"/>
      <c r="FY20" s="287"/>
      <c r="FZ20" s="287"/>
      <c r="GA20" s="288"/>
      <c r="GB20" s="289"/>
      <c r="GC20" s="290"/>
      <c r="GD20" s="183"/>
      <c r="GE20" s="287"/>
      <c r="GF20" s="287"/>
      <c r="GG20" s="287"/>
      <c r="GH20" s="287"/>
      <c r="GI20" s="288"/>
      <c r="GJ20" s="289"/>
      <c r="GK20" s="290"/>
      <c r="GL20" s="183"/>
      <c r="GM20" s="287"/>
      <c r="GN20" s="287"/>
      <c r="GO20" s="287"/>
      <c r="GP20" s="287"/>
      <c r="GQ20" s="288"/>
      <c r="GR20" s="289"/>
      <c r="GS20" s="290"/>
      <c r="GT20" s="183"/>
      <c r="GU20" s="287"/>
      <c r="GV20" s="287"/>
      <c r="GW20" s="287"/>
      <c r="GX20" s="287"/>
      <c r="GY20" s="288"/>
      <c r="GZ20" s="289"/>
      <c r="HA20" s="290"/>
      <c r="HB20" s="183"/>
      <c r="HC20" s="287"/>
      <c r="HD20" s="287"/>
      <c r="HE20" s="287"/>
      <c r="HF20" s="287"/>
    </row>
    <row r="21" spans="1:214" s="62" customFormat="1" ht="44.25" customHeight="1" x14ac:dyDescent="0.2">
      <c r="A21" s="55" t="s">
        <v>880</v>
      </c>
      <c r="B21" s="50">
        <v>580025807</v>
      </c>
      <c r="C21" s="49">
        <v>1000542991</v>
      </c>
      <c r="D21" s="48">
        <v>40000079</v>
      </c>
      <c r="E21" s="46"/>
      <c r="F21" s="46"/>
      <c r="G21" s="46"/>
      <c r="H21" s="46"/>
      <c r="I21" s="46">
        <v>0</v>
      </c>
      <c r="J21" s="46">
        <v>100000</v>
      </c>
      <c r="K21" s="46">
        <v>100000</v>
      </c>
      <c r="L21" s="46">
        <f t="shared" si="0"/>
        <v>0</v>
      </c>
      <c r="M21" s="808"/>
      <c r="O21" s="288" t="e">
        <f>MATCH(B21,',42-02-59,42-02-16 מוסיקה'!$A$5:$A$28,0)</f>
        <v>#N/A</v>
      </c>
      <c r="P21" s="288">
        <f>MATCH(B21,',42-02-59,42-02-16 מוסיקה'!$A$32:$A$100,0)</f>
        <v>28</v>
      </c>
      <c r="Q21" s="288" t="e">
        <f>MATCH(B21,',42-02-59,42-02-16 מוסיקה'!$A$102:$A$107,0)</f>
        <v>#N/A</v>
      </c>
    </row>
    <row r="22" spans="1:214" s="62" customFormat="1" ht="46.5" customHeight="1" x14ac:dyDescent="0.2">
      <c r="A22" s="55" t="s">
        <v>881</v>
      </c>
      <c r="B22" s="50">
        <v>580025807</v>
      </c>
      <c r="C22" s="49">
        <v>1000647796</v>
      </c>
      <c r="D22" s="48">
        <v>40000079</v>
      </c>
      <c r="E22" s="46"/>
      <c r="F22" s="119"/>
      <c r="G22" s="46"/>
      <c r="H22" s="46"/>
      <c r="I22" s="46">
        <v>0</v>
      </c>
      <c r="J22" s="46">
        <v>100000</v>
      </c>
      <c r="K22" s="46">
        <v>100000</v>
      </c>
      <c r="L22" s="46">
        <f t="shared" si="0"/>
        <v>0</v>
      </c>
      <c r="M22" s="808"/>
      <c r="O22" s="288" t="e">
        <f>MATCH(B22,',42-02-59,42-02-16 מוסיקה'!$A$5:$A$28,0)</f>
        <v>#N/A</v>
      </c>
      <c r="P22" s="288">
        <f>MATCH(B22,',42-02-59,42-02-16 מוסיקה'!$A$32:$A$100,0)</f>
        <v>28</v>
      </c>
      <c r="Q22" s="288" t="e">
        <f>MATCH(B22,',42-02-59,42-02-16 מוסיקה'!$A$102:$A$107,0)</f>
        <v>#N/A</v>
      </c>
    </row>
    <row r="23" spans="1:214" s="62" customFormat="1" ht="31.5" customHeight="1" x14ac:dyDescent="0.2">
      <c r="A23" s="55" t="s">
        <v>828</v>
      </c>
      <c r="B23" s="50">
        <v>580029148</v>
      </c>
      <c r="C23" s="49">
        <v>1000545570</v>
      </c>
      <c r="D23" s="48">
        <v>40000362</v>
      </c>
      <c r="E23" s="46">
        <v>30868</v>
      </c>
      <c r="F23" s="46">
        <v>32000</v>
      </c>
      <c r="G23" s="119">
        <v>32749</v>
      </c>
      <c r="H23" s="46">
        <v>33000</v>
      </c>
      <c r="I23" s="46">
        <v>33000</v>
      </c>
      <c r="J23" s="46">
        <v>35000</v>
      </c>
      <c r="K23" s="46">
        <v>35000</v>
      </c>
      <c r="L23" s="46">
        <f t="shared" si="0"/>
        <v>0</v>
      </c>
      <c r="M23" s="387"/>
      <c r="O23" s="288" t="e">
        <f>MATCH(B23,',42-02-59,42-02-16 מוסיקה'!$A$5:$A$28,0)</f>
        <v>#N/A</v>
      </c>
      <c r="P23" s="288">
        <f>MATCH(B23,',42-02-59,42-02-16 מוסיקה'!$A$32:$A$100,0)</f>
        <v>22</v>
      </c>
      <c r="Q23" s="288" t="e">
        <f>MATCH(B23,',42-02-59,42-02-16 מוסיקה'!$A$102:$A$107,0)</f>
        <v>#N/A</v>
      </c>
    </row>
    <row r="24" spans="1:214" s="62" customFormat="1" ht="35.25" customHeight="1" x14ac:dyDescent="0.2">
      <c r="A24" s="51" t="s">
        <v>742</v>
      </c>
      <c r="B24" s="105">
        <v>580029379</v>
      </c>
      <c r="C24" s="49">
        <v>1000547130</v>
      </c>
      <c r="D24" s="48">
        <v>40000363</v>
      </c>
      <c r="E24" s="46">
        <v>1645000</v>
      </c>
      <c r="F24" s="46">
        <v>1560000</v>
      </c>
      <c r="G24" s="46">
        <v>797657</v>
      </c>
      <c r="H24" s="46">
        <v>800000</v>
      </c>
      <c r="I24" s="46">
        <v>1604671</v>
      </c>
      <c r="J24" s="46">
        <v>924059</v>
      </c>
      <c r="K24" s="46">
        <v>924059</v>
      </c>
      <c r="L24" s="46">
        <f t="shared" si="0"/>
        <v>0</v>
      </c>
      <c r="M24" s="810"/>
      <c r="O24" s="288" t="e">
        <f>MATCH(B24,',42-02-59,42-02-16 מוסיקה'!$A$5:$A$28,0)</f>
        <v>#N/A</v>
      </c>
      <c r="P24" s="288">
        <f>MATCH(B24,',42-02-59,42-02-16 מוסיקה'!$A$32:$A$100,0)</f>
        <v>2</v>
      </c>
      <c r="Q24" s="288" t="e">
        <f>MATCH(B24,',42-02-59,42-02-16 מוסיקה'!$A$102:$A$107,0)</f>
        <v>#N/A</v>
      </c>
    </row>
    <row r="25" spans="1:214" s="62" customFormat="1" ht="39" customHeight="1" x14ac:dyDescent="0.2">
      <c r="A25" s="55" t="s">
        <v>811</v>
      </c>
      <c r="B25" s="265">
        <v>580033470</v>
      </c>
      <c r="C25" s="184">
        <v>1000546581</v>
      </c>
      <c r="D25" s="48">
        <v>40000373</v>
      </c>
      <c r="E25" s="272">
        <v>64308</v>
      </c>
      <c r="F25" s="272">
        <v>50000</v>
      </c>
      <c r="G25" s="272">
        <v>37427</v>
      </c>
      <c r="H25" s="272">
        <v>35000</v>
      </c>
      <c r="I25" s="272">
        <v>25000</v>
      </c>
      <c r="J25" s="272">
        <v>20000</v>
      </c>
      <c r="K25" s="46">
        <v>20000</v>
      </c>
      <c r="L25" s="46">
        <f t="shared" si="0"/>
        <v>0</v>
      </c>
      <c r="M25" s="384"/>
      <c r="N25" s="121"/>
      <c r="O25" s="288" t="e">
        <f>MATCH(B25,',42-02-59,42-02-16 מוסיקה'!$A$5:$A$28,0)</f>
        <v>#N/A</v>
      </c>
      <c r="P25" s="288">
        <f>MATCH(B25,',42-02-59,42-02-16 מוסיקה'!$A$32:$A$100,0)</f>
        <v>10</v>
      </c>
      <c r="Q25" s="288" t="e">
        <f>MATCH(B25,',42-02-59,42-02-16 מוסיקה'!$A$102:$A$107,0)</f>
        <v>#N/A</v>
      </c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</row>
    <row r="26" spans="1:214" s="385" customFormat="1" ht="39.75" customHeight="1" x14ac:dyDescent="0.2">
      <c r="A26" s="51" t="s">
        <v>802</v>
      </c>
      <c r="B26" s="105">
        <v>580037760</v>
      </c>
      <c r="C26" s="49">
        <v>1000536619</v>
      </c>
      <c r="D26" s="48">
        <v>40000096</v>
      </c>
      <c r="E26" s="46">
        <v>3614374</v>
      </c>
      <c r="F26" s="46">
        <v>3642981</v>
      </c>
      <c r="G26" s="119">
        <v>3684585</v>
      </c>
      <c r="H26" s="46">
        <v>3667504</v>
      </c>
      <c r="I26" s="46">
        <v>3899304</v>
      </c>
      <c r="J26" s="46">
        <v>4013338</v>
      </c>
      <c r="K26" s="46">
        <v>4013338</v>
      </c>
      <c r="L26" s="46">
        <f t="shared" si="0"/>
        <v>0</v>
      </c>
      <c r="M26" s="376"/>
      <c r="O26" s="288">
        <f>MATCH(B26,',42-02-59,42-02-16 מוסיקה'!$A$5:$A$28,0)</f>
        <v>2</v>
      </c>
      <c r="P26" s="288" t="e">
        <f>MATCH(B26,',42-02-59,42-02-16 מוסיקה'!$A$32:$A$100,0)</f>
        <v>#N/A</v>
      </c>
      <c r="Q26" s="288" t="e">
        <f>MATCH(B26,',42-02-59,42-02-16 מוסיקה'!$A$102:$A$107,0)</f>
        <v>#N/A</v>
      </c>
    </row>
    <row r="27" spans="1:214" s="62" customFormat="1" ht="39" customHeight="1" x14ac:dyDescent="0.2">
      <c r="A27" s="55" t="s">
        <v>829</v>
      </c>
      <c r="B27" s="50">
        <v>580041994</v>
      </c>
      <c r="C27" s="49">
        <v>1000544636</v>
      </c>
      <c r="D27" s="48">
        <v>40000393</v>
      </c>
      <c r="E27" s="46">
        <v>80000</v>
      </c>
      <c r="F27" s="119">
        <v>90000</v>
      </c>
      <c r="G27" s="119">
        <v>84211</v>
      </c>
      <c r="H27" s="46">
        <v>85000</v>
      </c>
      <c r="I27" s="46">
        <v>85000</v>
      </c>
      <c r="J27" s="46">
        <v>85000</v>
      </c>
      <c r="K27" s="46">
        <v>85000</v>
      </c>
      <c r="L27" s="46">
        <f t="shared" si="0"/>
        <v>0</v>
      </c>
      <c r="M27" s="264"/>
      <c r="O27" s="288" t="e">
        <f>MATCH(B27,',42-02-59,42-02-16 מוסיקה'!$A$5:$A$28,0)</f>
        <v>#N/A</v>
      </c>
      <c r="P27" s="288">
        <f>MATCH(B27,',42-02-59,42-02-16 מוסיקה'!$A$32:$A$100,0)</f>
        <v>6</v>
      </c>
      <c r="Q27" s="288" t="e">
        <f>MATCH(B27,',42-02-59,42-02-16 מוסיקה'!$A$102:$A$107,0)</f>
        <v>#N/A</v>
      </c>
    </row>
    <row r="28" spans="1:214" s="62" customFormat="1" ht="43.5" customHeight="1" x14ac:dyDescent="0.2">
      <c r="A28" s="55" t="s">
        <v>830</v>
      </c>
      <c r="B28" s="50">
        <v>580041994</v>
      </c>
      <c r="C28" s="49">
        <v>1000544722</v>
      </c>
      <c r="D28" s="48">
        <v>40000393</v>
      </c>
      <c r="E28" s="46">
        <v>0</v>
      </c>
      <c r="F28" s="46">
        <v>0</v>
      </c>
      <c r="G28" s="46">
        <v>0</v>
      </c>
      <c r="H28" s="46">
        <v>0</v>
      </c>
      <c r="I28" s="46">
        <v>50000</v>
      </c>
      <c r="J28" s="46">
        <v>100000</v>
      </c>
      <c r="K28" s="46">
        <v>100000</v>
      </c>
      <c r="L28" s="46">
        <f t="shared" si="0"/>
        <v>0</v>
      </c>
      <c r="M28" s="387"/>
      <c r="O28" s="288" t="e">
        <f>MATCH(B28,',42-02-59,42-02-16 מוסיקה'!$A$5:$A$28,0)</f>
        <v>#N/A</v>
      </c>
      <c r="P28" s="288">
        <f>MATCH(B28,',42-02-59,42-02-16 מוסיקה'!$A$32:$A$100,0)</f>
        <v>6</v>
      </c>
      <c r="Q28" s="288" t="e">
        <f>MATCH(B28,',42-02-59,42-02-16 מוסיקה'!$A$102:$A$107,0)</f>
        <v>#N/A</v>
      </c>
    </row>
    <row r="29" spans="1:214" s="62" customFormat="1" ht="39" customHeight="1" x14ac:dyDescent="0.2">
      <c r="A29" s="55" t="s">
        <v>874</v>
      </c>
      <c r="B29" s="50">
        <v>580041994</v>
      </c>
      <c r="C29" s="54">
        <v>1000542480</v>
      </c>
      <c r="D29" s="48">
        <v>40000393</v>
      </c>
      <c r="E29" s="46">
        <v>50000</v>
      </c>
      <c r="F29" s="101">
        <v>65000</v>
      </c>
      <c r="G29" s="46">
        <v>56141</v>
      </c>
      <c r="H29" s="46">
        <v>60000</v>
      </c>
      <c r="I29" s="46">
        <v>60000</v>
      </c>
      <c r="J29" s="46">
        <v>65769</v>
      </c>
      <c r="K29" s="46">
        <v>65769</v>
      </c>
      <c r="L29" s="46">
        <f t="shared" si="0"/>
        <v>0</v>
      </c>
      <c r="M29" s="807"/>
      <c r="N29" s="121"/>
      <c r="O29" s="288" t="e">
        <f>MATCH(B29,',42-02-59,42-02-16 מוסיקה'!$A$5:$A$28,0)</f>
        <v>#N/A</v>
      </c>
      <c r="P29" s="288">
        <f>MATCH(B29,',42-02-59,42-02-16 מוסיקה'!$A$32:$A$100,0)</f>
        <v>6</v>
      </c>
      <c r="Q29" s="288" t="e">
        <f>MATCH(B29,',42-02-59,42-02-16 מוסיקה'!$A$102:$A$107,0)</f>
        <v>#N/A</v>
      </c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</row>
    <row r="30" spans="1:214" s="62" customFormat="1" ht="35.25" customHeight="1" x14ac:dyDescent="0.2">
      <c r="A30" s="51" t="s">
        <v>799</v>
      </c>
      <c r="B30" s="105">
        <v>580044873</v>
      </c>
      <c r="C30" s="49">
        <v>1000539805</v>
      </c>
      <c r="D30" s="48">
        <v>40000106</v>
      </c>
      <c r="E30" s="46">
        <v>2600000</v>
      </c>
      <c r="F30" s="119">
        <v>2448484</v>
      </c>
      <c r="G30" s="46">
        <v>2208603</v>
      </c>
      <c r="H30" s="46">
        <v>2120020</v>
      </c>
      <c r="I30" s="46">
        <v>2090093</v>
      </c>
      <c r="J30" s="46">
        <v>2173458</v>
      </c>
      <c r="K30" s="46">
        <v>2173458</v>
      </c>
      <c r="L30" s="46">
        <f t="shared" si="0"/>
        <v>0</v>
      </c>
      <c r="M30" s="380"/>
      <c r="O30" s="288">
        <f>MATCH(B30,',42-02-59,42-02-16 מוסיקה'!$A$5:$A$28,0)</f>
        <v>3</v>
      </c>
      <c r="P30" s="288" t="e">
        <f>MATCH(B30,',42-02-59,42-02-16 מוסיקה'!$A$32:$A$100,0)</f>
        <v>#N/A</v>
      </c>
      <c r="Q30" s="288" t="e">
        <f>MATCH(B30,',42-02-59,42-02-16 מוסיקה'!$A$102:$A$107,0)</f>
        <v>#N/A</v>
      </c>
    </row>
    <row r="31" spans="1:214" s="62" customFormat="1" ht="53.25" customHeight="1" x14ac:dyDescent="0.2">
      <c r="A31" s="51" t="s">
        <v>793</v>
      </c>
      <c r="B31" s="105">
        <v>580049708</v>
      </c>
      <c r="C31" s="49">
        <v>1000533603</v>
      </c>
      <c r="D31" s="48">
        <v>40000399</v>
      </c>
      <c r="E31" s="46">
        <v>2202667</v>
      </c>
      <c r="F31" s="46">
        <v>2657674</v>
      </c>
      <c r="G31" s="119">
        <v>2600271</v>
      </c>
      <c r="H31" s="46">
        <v>2622833</v>
      </c>
      <c r="I31" s="46">
        <v>3019955</v>
      </c>
      <c r="J31" s="46">
        <v>2906947</v>
      </c>
      <c r="K31" s="46">
        <v>2906947</v>
      </c>
      <c r="L31" s="46">
        <f t="shared" si="0"/>
        <v>0</v>
      </c>
      <c r="M31" s="88"/>
      <c r="O31" s="288">
        <f>MATCH(B31,',42-02-59,42-02-16 מוסיקה'!$A$5:$A$28,0)</f>
        <v>9</v>
      </c>
      <c r="P31" s="288" t="e">
        <f>MATCH(B31,',42-02-59,42-02-16 מוסיקה'!$A$32:$A$100,0)</f>
        <v>#N/A</v>
      </c>
      <c r="Q31" s="288" t="e">
        <f>MATCH(B31,',42-02-59,42-02-16 מוסיקה'!$A$102:$A$107,0)</f>
        <v>#N/A</v>
      </c>
    </row>
    <row r="32" spans="1:214" s="62" customFormat="1" ht="47.25" customHeight="1" x14ac:dyDescent="0.2">
      <c r="A32" s="55" t="s">
        <v>824</v>
      </c>
      <c r="B32" s="50">
        <v>580064103</v>
      </c>
      <c r="C32" s="49">
        <v>1000540595</v>
      </c>
      <c r="D32" s="48">
        <v>40000415</v>
      </c>
      <c r="E32" s="46">
        <v>120000</v>
      </c>
      <c r="F32" s="46">
        <v>160000</v>
      </c>
      <c r="G32" s="46">
        <v>149708</v>
      </c>
      <c r="H32" s="46">
        <v>150000</v>
      </c>
      <c r="I32" s="46">
        <v>166000</v>
      </c>
      <c r="J32" s="46">
        <v>168415</v>
      </c>
      <c r="K32" s="46">
        <v>168415</v>
      </c>
      <c r="L32" s="46">
        <f t="shared" si="0"/>
        <v>0</v>
      </c>
      <c r="M32" s="386"/>
      <c r="O32" s="288" t="e">
        <f>MATCH(B32,',42-02-59,42-02-16 מוסיקה'!$A$5:$A$28,0)</f>
        <v>#N/A</v>
      </c>
      <c r="P32" s="288">
        <f>MATCH(B32,',42-02-59,42-02-16 מוסיקה'!$A$32:$A$100,0)</f>
        <v>3</v>
      </c>
      <c r="Q32" s="288" t="e">
        <f>MATCH(B32,',42-02-59,42-02-16 מוסיקה'!$A$102:$A$107,0)</f>
        <v>#N/A</v>
      </c>
    </row>
    <row r="33" spans="1:87" s="388" customFormat="1" ht="39" customHeight="1" x14ac:dyDescent="0.2">
      <c r="A33" s="55" t="s">
        <v>844</v>
      </c>
      <c r="B33" s="50">
        <v>580064103</v>
      </c>
      <c r="C33" s="54">
        <v>1000540660</v>
      </c>
      <c r="D33" s="48">
        <v>40000415</v>
      </c>
      <c r="E33" s="272">
        <v>55000</v>
      </c>
      <c r="F33" s="101">
        <v>55000</v>
      </c>
      <c r="G33" s="273">
        <v>28714</v>
      </c>
      <c r="H33" s="272">
        <v>30000</v>
      </c>
      <c r="I33" s="272">
        <v>30000</v>
      </c>
      <c r="J33" s="272">
        <v>30000</v>
      </c>
      <c r="K33" s="46">
        <v>30000</v>
      </c>
      <c r="L33" s="46">
        <f t="shared" si="0"/>
        <v>0</v>
      </c>
      <c r="M33" s="386"/>
      <c r="O33" s="288" t="e">
        <f>MATCH(B33,',42-02-59,42-02-16 מוסיקה'!$A$5:$A$28,0)</f>
        <v>#N/A</v>
      </c>
      <c r="P33" s="288">
        <f>MATCH(B33,',42-02-59,42-02-16 מוסיקה'!$A$32:$A$100,0)</f>
        <v>3</v>
      </c>
      <c r="Q33" s="288" t="e">
        <f>MATCH(B33,',42-02-59,42-02-16 מוסיקה'!$A$102:$A$107,0)</f>
        <v>#N/A</v>
      </c>
    </row>
    <row r="34" spans="1:87" s="62" customFormat="1" ht="35.25" customHeight="1" x14ac:dyDescent="0.2">
      <c r="A34" s="55" t="s">
        <v>845</v>
      </c>
      <c r="B34" s="50">
        <v>580064103</v>
      </c>
      <c r="C34" s="54">
        <v>1000540633</v>
      </c>
      <c r="D34" s="48">
        <v>40000415</v>
      </c>
      <c r="E34" s="272">
        <v>20000</v>
      </c>
      <c r="F34" s="101">
        <v>30000</v>
      </c>
      <c r="G34" s="273">
        <v>18714</v>
      </c>
      <c r="H34" s="272">
        <v>30000</v>
      </c>
      <c r="I34" s="272">
        <v>30000</v>
      </c>
      <c r="J34" s="272">
        <v>35000</v>
      </c>
      <c r="K34" s="46">
        <v>35000</v>
      </c>
      <c r="L34" s="46">
        <f t="shared" ref="L34:L65" si="1">J34-K34</f>
        <v>0</v>
      </c>
      <c r="M34" s="129"/>
      <c r="O34" s="288" t="e">
        <f>MATCH(B34,',42-02-59,42-02-16 מוסיקה'!$A$5:$A$28,0)</f>
        <v>#N/A</v>
      </c>
      <c r="P34" s="288">
        <f>MATCH(B34,',42-02-59,42-02-16 מוסיקה'!$A$32:$A$100,0)</f>
        <v>3</v>
      </c>
      <c r="Q34" s="288" t="e">
        <f>MATCH(B34,',42-02-59,42-02-16 מוסיקה'!$A$102:$A$107,0)</f>
        <v>#N/A</v>
      </c>
    </row>
    <row r="35" spans="1:87" s="62" customFormat="1" ht="41.25" customHeight="1" x14ac:dyDescent="0.2">
      <c r="A35" s="51" t="s">
        <v>731</v>
      </c>
      <c r="B35" s="105">
        <v>580086270</v>
      </c>
      <c r="C35" s="49">
        <v>1000596093</v>
      </c>
      <c r="D35" s="48">
        <v>40299484</v>
      </c>
      <c r="E35" s="46">
        <v>1697849</v>
      </c>
      <c r="F35" s="119">
        <v>1208593</v>
      </c>
      <c r="G35" s="119">
        <v>2769707</v>
      </c>
      <c r="H35" s="46">
        <v>2688833</v>
      </c>
      <c r="I35" s="46">
        <v>3062059</v>
      </c>
      <c r="J35" s="46">
        <v>3218067</v>
      </c>
      <c r="K35" s="46">
        <v>3218067</v>
      </c>
      <c r="L35" s="46">
        <f t="shared" si="1"/>
        <v>0</v>
      </c>
      <c r="M35" s="376"/>
      <c r="O35" s="288">
        <f>MATCH(B35,',42-02-59,42-02-16 מוסיקה'!$A$5:$A$28,0)</f>
        <v>16</v>
      </c>
      <c r="P35" s="288" t="e">
        <f>MATCH(B35,',42-02-59,42-02-16 מוסיקה'!$A$32:$A$100,0)</f>
        <v>#N/A</v>
      </c>
      <c r="Q35" s="288" t="e">
        <f>MATCH(B35,',42-02-59,42-02-16 מוסיקה'!$A$102:$A$107,0)</f>
        <v>#N/A</v>
      </c>
    </row>
    <row r="36" spans="1:87" s="62" customFormat="1" ht="45" customHeight="1" x14ac:dyDescent="0.2">
      <c r="A36" s="55" t="s">
        <v>819</v>
      </c>
      <c r="B36" s="50">
        <v>580091395</v>
      </c>
      <c r="C36" s="49">
        <v>1000542354</v>
      </c>
      <c r="D36" s="48">
        <v>40000456</v>
      </c>
      <c r="E36" s="46">
        <v>70000</v>
      </c>
      <c r="F36" s="119">
        <v>70000</v>
      </c>
      <c r="G36" s="46">
        <v>74854</v>
      </c>
      <c r="H36" s="46">
        <v>85000</v>
      </c>
      <c r="I36" s="46">
        <v>85000</v>
      </c>
      <c r="J36" s="46">
        <v>85000</v>
      </c>
      <c r="K36" s="46">
        <v>85000</v>
      </c>
      <c r="L36" s="46">
        <f t="shared" si="1"/>
        <v>0</v>
      </c>
      <c r="M36" s="387"/>
      <c r="O36" s="288" t="e">
        <f>MATCH(B36,',42-02-59,42-02-16 מוסיקה'!$A$5:$A$28,0)</f>
        <v>#N/A</v>
      </c>
      <c r="P36" s="288">
        <f>MATCH(B36,',42-02-59,42-02-16 מוסיקה'!$A$32:$A$100,0)</f>
        <v>14</v>
      </c>
      <c r="Q36" s="288" t="e">
        <f>MATCH(B36,',42-02-59,42-02-16 מוסיקה'!$A$102:$A$107,0)</f>
        <v>#N/A</v>
      </c>
    </row>
    <row r="37" spans="1:87" s="62" customFormat="1" ht="41.25" customHeight="1" x14ac:dyDescent="0.2">
      <c r="A37" s="55" t="s">
        <v>842</v>
      </c>
      <c r="B37" s="50">
        <v>580103026</v>
      </c>
      <c r="C37" s="49">
        <v>1000543148</v>
      </c>
      <c r="D37" s="48">
        <v>40000134</v>
      </c>
      <c r="E37" s="46">
        <v>9527</v>
      </c>
      <c r="F37" s="119">
        <v>10000</v>
      </c>
      <c r="G37" s="119">
        <v>9357</v>
      </c>
      <c r="H37" s="46">
        <v>10000</v>
      </c>
      <c r="I37" s="46">
        <v>10000</v>
      </c>
      <c r="J37" s="46">
        <v>10000</v>
      </c>
      <c r="K37" s="46">
        <v>10000</v>
      </c>
      <c r="L37" s="46">
        <f t="shared" si="1"/>
        <v>0</v>
      </c>
      <c r="M37" s="81"/>
      <c r="O37" s="288" t="e">
        <f>MATCH(B37,',42-02-59,42-02-16 מוסיקה'!$A$5:$A$28,0)</f>
        <v>#N/A</v>
      </c>
      <c r="P37" s="288">
        <f>MATCH(B37,',42-02-59,42-02-16 מוסיקה'!$A$32:$A$100,0)</f>
        <v>11</v>
      </c>
      <c r="Q37" s="288" t="e">
        <f>MATCH(B37,',42-02-59,42-02-16 מוסיקה'!$A$102:$A$107,0)</f>
        <v>#N/A</v>
      </c>
    </row>
    <row r="38" spans="1:87" s="62" customFormat="1" ht="42" customHeight="1" x14ac:dyDescent="0.2">
      <c r="A38" s="55" t="s">
        <v>843</v>
      </c>
      <c r="B38" s="50">
        <v>580103026</v>
      </c>
      <c r="C38" s="49">
        <v>1000543097</v>
      </c>
      <c r="D38" s="48">
        <v>40000134</v>
      </c>
      <c r="E38" s="46">
        <v>9527</v>
      </c>
      <c r="F38" s="101">
        <v>10000</v>
      </c>
      <c r="G38" s="119">
        <v>9357</v>
      </c>
      <c r="H38" s="46">
        <v>10000</v>
      </c>
      <c r="I38" s="46">
        <v>19000</v>
      </c>
      <c r="J38" s="46">
        <v>10000</v>
      </c>
      <c r="K38" s="46">
        <v>10000</v>
      </c>
      <c r="L38" s="46">
        <f t="shared" si="1"/>
        <v>0</v>
      </c>
      <c r="M38" s="81"/>
      <c r="O38" s="288" t="e">
        <f>MATCH(B38,',42-02-59,42-02-16 מוסיקה'!$A$5:$A$28,0)</f>
        <v>#N/A</v>
      </c>
      <c r="P38" s="288">
        <f>MATCH(B38,',42-02-59,42-02-16 מוסיקה'!$A$32:$A$100,0)</f>
        <v>11</v>
      </c>
      <c r="Q38" s="288" t="e">
        <f>MATCH(B38,',42-02-59,42-02-16 מוסיקה'!$A$102:$A$107,0)</f>
        <v>#N/A</v>
      </c>
    </row>
    <row r="39" spans="1:87" s="62" customFormat="1" ht="33" customHeight="1" x14ac:dyDescent="0.2">
      <c r="A39" s="51" t="s">
        <v>863</v>
      </c>
      <c r="B39" s="105">
        <v>580103323</v>
      </c>
      <c r="C39" s="49">
        <v>1000535181</v>
      </c>
      <c r="D39" s="48">
        <v>40000464</v>
      </c>
      <c r="E39" s="46"/>
      <c r="F39" s="46"/>
      <c r="G39" s="46"/>
      <c r="H39" s="46"/>
      <c r="I39" s="46">
        <v>0</v>
      </c>
      <c r="J39" s="46">
        <v>10000</v>
      </c>
      <c r="K39" s="46">
        <v>10000</v>
      </c>
      <c r="L39" s="46">
        <f t="shared" si="1"/>
        <v>0</v>
      </c>
      <c r="M39" s="387"/>
      <c r="O39" s="288" t="e">
        <f>MATCH(B39,',42-02-59,42-02-16 מוסיקה'!$A$5:$A$28,0)</f>
        <v>#N/A</v>
      </c>
      <c r="P39" s="288">
        <f>MATCH(B39,',42-02-59,42-02-16 מוסיקה'!$A$32:$A$100,0)</f>
        <v>38</v>
      </c>
      <c r="Q39" s="288" t="e">
        <f>MATCH(B39,',42-02-59,42-02-16 מוסיקה'!$A$102:$A$107,0)</f>
        <v>#N/A</v>
      </c>
    </row>
    <row r="40" spans="1:87" s="62" customFormat="1" ht="47.25" customHeight="1" x14ac:dyDescent="0.2">
      <c r="A40" s="51" t="s">
        <v>798</v>
      </c>
      <c r="B40" s="105">
        <v>580122034</v>
      </c>
      <c r="C40" s="49">
        <v>1000552138</v>
      </c>
      <c r="D40" s="48">
        <v>40000484</v>
      </c>
      <c r="E40" s="46">
        <v>2638881</v>
      </c>
      <c r="F40" s="46">
        <v>3005448</v>
      </c>
      <c r="G40" s="46">
        <v>3302170</v>
      </c>
      <c r="H40" s="46">
        <v>3108000</v>
      </c>
      <c r="I40" s="46">
        <v>3111861</v>
      </c>
      <c r="J40" s="46">
        <v>3315487</v>
      </c>
      <c r="K40" s="46">
        <v>3315487</v>
      </c>
      <c r="L40" s="46">
        <f t="shared" si="1"/>
        <v>0</v>
      </c>
      <c r="M40" s="377"/>
      <c r="O40" s="288">
        <f>MATCH(B40,',42-02-59,42-02-16 מוסיקה'!$A$5:$A$28,0)</f>
        <v>7</v>
      </c>
      <c r="P40" s="288" t="e">
        <f>MATCH(B40,',42-02-59,42-02-16 מוסיקה'!$A$32:$A$100,0)</f>
        <v>#N/A</v>
      </c>
      <c r="Q40" s="288" t="e">
        <f>MATCH(B40,',42-02-59,42-02-16 מוסיקה'!$A$102:$A$107,0)</f>
        <v>#N/A</v>
      </c>
    </row>
    <row r="41" spans="1:87" s="62" customFormat="1" ht="35.25" customHeight="1" x14ac:dyDescent="0.2">
      <c r="A41" s="55" t="s">
        <v>809</v>
      </c>
      <c r="B41" s="50">
        <v>580132249</v>
      </c>
      <c r="C41" s="49">
        <v>1000547011</v>
      </c>
      <c r="D41" s="48">
        <v>40000490</v>
      </c>
      <c r="E41" s="46">
        <v>25723</v>
      </c>
      <c r="F41" s="46">
        <v>25000</v>
      </c>
      <c r="G41" s="46">
        <v>23392</v>
      </c>
      <c r="H41" s="46">
        <v>25000</v>
      </c>
      <c r="I41" s="46">
        <v>40000</v>
      </c>
      <c r="J41" s="46">
        <v>40000</v>
      </c>
      <c r="K41" s="46">
        <v>40000</v>
      </c>
      <c r="L41" s="46">
        <f t="shared" si="1"/>
        <v>0</v>
      </c>
      <c r="M41" s="304"/>
      <c r="O41" s="288" t="e">
        <f>MATCH(B41,',42-02-59,42-02-16 מוסיקה'!$A$5:$A$28,0)</f>
        <v>#N/A</v>
      </c>
      <c r="P41" s="288">
        <f>MATCH(B41,',42-02-59,42-02-16 מוסיקה'!$A$32:$A$100,0)</f>
        <v>18</v>
      </c>
      <c r="Q41" s="288" t="e">
        <f>MATCH(B41,',42-02-59,42-02-16 מוסיקה'!$A$102:$A$107,0)</f>
        <v>#N/A</v>
      </c>
    </row>
    <row r="42" spans="1:87" s="62" customFormat="1" ht="39" customHeight="1" x14ac:dyDescent="0.2">
      <c r="A42" s="55" t="s">
        <v>815</v>
      </c>
      <c r="B42" s="265">
        <v>580147239</v>
      </c>
      <c r="C42" s="266">
        <v>1000542606</v>
      </c>
      <c r="D42" s="48">
        <v>40000506</v>
      </c>
      <c r="E42" s="46">
        <v>300000</v>
      </c>
      <c r="F42" s="46">
        <v>344500</v>
      </c>
      <c r="G42" s="46">
        <v>327486</v>
      </c>
      <c r="H42" s="46">
        <v>320000</v>
      </c>
      <c r="I42" s="46">
        <v>320000</v>
      </c>
      <c r="J42" s="46">
        <v>317506</v>
      </c>
      <c r="K42" s="46">
        <v>317506</v>
      </c>
      <c r="L42" s="46">
        <f t="shared" si="1"/>
        <v>0</v>
      </c>
      <c r="M42" s="806"/>
      <c r="N42" s="121"/>
      <c r="O42" s="288" t="e">
        <f>MATCH(B42,',42-02-59,42-02-16 מוסיקה'!$A$5:$A$28,0)</f>
        <v>#N/A</v>
      </c>
      <c r="P42" s="288">
        <f>MATCH(B42,',42-02-59,42-02-16 מוסיקה'!$A$32:$A$100,0)</f>
        <v>5</v>
      </c>
      <c r="Q42" s="288" t="e">
        <f>MATCH(B42,',42-02-59,42-02-16 מוסיקה'!$A$102:$A$107,0)</f>
        <v>#N/A</v>
      </c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</row>
    <row r="43" spans="1:87" s="62" customFormat="1" ht="39" customHeight="1" x14ac:dyDescent="0.2">
      <c r="A43" s="55" t="s">
        <v>838</v>
      </c>
      <c r="B43" s="50">
        <v>580147239</v>
      </c>
      <c r="C43" s="49">
        <v>1000542686</v>
      </c>
      <c r="D43" s="48">
        <v>40000506</v>
      </c>
      <c r="E43" s="46">
        <v>38108</v>
      </c>
      <c r="F43" s="46">
        <v>70000</v>
      </c>
      <c r="G43" s="46">
        <v>56141</v>
      </c>
      <c r="H43" s="46">
        <v>80000</v>
      </c>
      <c r="I43" s="46">
        <v>100000</v>
      </c>
      <c r="J43" s="46">
        <v>130000</v>
      </c>
      <c r="K43" s="46">
        <v>130000</v>
      </c>
      <c r="L43" s="46">
        <f t="shared" si="1"/>
        <v>0</v>
      </c>
      <c r="M43" s="387"/>
      <c r="O43" s="288" t="e">
        <f>MATCH(B43,',42-02-59,42-02-16 מוסיקה'!$A$5:$A$28,0)</f>
        <v>#N/A</v>
      </c>
      <c r="P43" s="288">
        <f>MATCH(B43,',42-02-59,42-02-16 מוסיקה'!$A$32:$A$100,0)</f>
        <v>5</v>
      </c>
      <c r="Q43" s="288" t="e">
        <f>MATCH(B43,',42-02-59,42-02-16 מוסיקה'!$A$102:$A$107,0)</f>
        <v>#N/A</v>
      </c>
    </row>
    <row r="44" spans="1:87" s="62" customFormat="1" ht="36.75" customHeight="1" x14ac:dyDescent="0.2">
      <c r="A44" s="55" t="s">
        <v>812</v>
      </c>
      <c r="B44" s="50">
        <v>580164325</v>
      </c>
      <c r="C44" s="49">
        <v>1000549640</v>
      </c>
      <c r="D44" s="48">
        <v>40000161</v>
      </c>
      <c r="E44" s="46">
        <v>137190</v>
      </c>
      <c r="F44" s="46">
        <v>100000</v>
      </c>
      <c r="G44" s="46">
        <v>74854</v>
      </c>
      <c r="H44" s="46">
        <v>75000</v>
      </c>
      <c r="I44" s="46">
        <v>75000</v>
      </c>
      <c r="J44" s="46">
        <v>70000</v>
      </c>
      <c r="K44" s="46">
        <v>70000</v>
      </c>
      <c r="L44" s="46">
        <f t="shared" si="1"/>
        <v>0</v>
      </c>
      <c r="M44" s="376"/>
      <c r="O44" s="288" t="e">
        <f>MATCH(B44,',42-02-59,42-02-16 מוסיקה'!$A$5:$A$28,0)</f>
        <v>#N/A</v>
      </c>
      <c r="P44" s="288">
        <f>MATCH(B44,',42-02-59,42-02-16 מוסיקה'!$A$32:$A$100,0)</f>
        <v>1</v>
      </c>
      <c r="Q44" s="288" t="e">
        <f>MATCH(B44,',42-02-59,42-02-16 מוסיקה'!$A$102:$A$107,0)</f>
        <v>#N/A</v>
      </c>
    </row>
    <row r="45" spans="1:87" s="62" customFormat="1" ht="51" customHeight="1" x14ac:dyDescent="0.2">
      <c r="A45" s="55" t="s">
        <v>821</v>
      </c>
      <c r="B45" s="50">
        <v>580175818</v>
      </c>
      <c r="C45" s="49">
        <v>1000545527</v>
      </c>
      <c r="D45" s="48">
        <v>40000532</v>
      </c>
      <c r="E45" s="46">
        <v>85000</v>
      </c>
      <c r="F45" s="46">
        <v>90000</v>
      </c>
      <c r="G45" s="119">
        <v>84211</v>
      </c>
      <c r="H45" s="46">
        <v>85000</v>
      </c>
      <c r="I45" s="46">
        <v>85000</v>
      </c>
      <c r="J45" s="46">
        <v>85000</v>
      </c>
      <c r="K45" s="46">
        <v>85000</v>
      </c>
      <c r="L45" s="46">
        <f t="shared" si="1"/>
        <v>0</v>
      </c>
      <c r="M45" s="75"/>
      <c r="O45" s="288" t="e">
        <f>MATCH(B45,',42-02-59,42-02-16 מוסיקה'!$A$5:$A$28,0)</f>
        <v>#N/A</v>
      </c>
      <c r="P45" s="288">
        <f>MATCH(B45,',42-02-59,42-02-16 מוסיקה'!$A$32:$A$100,0)</f>
        <v>20</v>
      </c>
      <c r="Q45" s="288" t="e">
        <f>MATCH(B45,',42-02-59,42-02-16 מוסיקה'!$A$102:$A$107,0)</f>
        <v>#N/A</v>
      </c>
    </row>
    <row r="46" spans="1:87" s="62" customFormat="1" ht="39" customHeight="1" x14ac:dyDescent="0.2">
      <c r="A46" s="55" t="s">
        <v>729</v>
      </c>
      <c r="B46" s="50">
        <v>580175966</v>
      </c>
      <c r="C46" s="49">
        <v>1000548687</v>
      </c>
      <c r="D46" s="48">
        <v>40000533</v>
      </c>
      <c r="E46" s="46">
        <v>250000</v>
      </c>
      <c r="F46" s="46">
        <v>300000</v>
      </c>
      <c r="G46" s="46">
        <v>251336</v>
      </c>
      <c r="H46" s="46">
        <v>203625</v>
      </c>
      <c r="I46" s="46">
        <v>193251</v>
      </c>
      <c r="J46" s="46">
        <v>195903</v>
      </c>
      <c r="K46" s="46">
        <v>195903</v>
      </c>
      <c r="L46" s="46">
        <f t="shared" si="1"/>
        <v>0</v>
      </c>
      <c r="M46" s="377"/>
      <c r="O46" s="288">
        <f>MATCH(B46,',42-02-59,42-02-16 מוסיקה'!$A$5:$A$28,0)</f>
        <v>14</v>
      </c>
      <c r="P46" s="288" t="e">
        <f>MATCH(B46,',42-02-59,42-02-16 מוסיקה'!$A$32:$A$100,0)</f>
        <v>#N/A</v>
      </c>
      <c r="Q46" s="288" t="e">
        <f>MATCH(B46,',42-02-59,42-02-16 מוסיקה'!$A$102:$A$107,0)</f>
        <v>#N/A</v>
      </c>
    </row>
    <row r="47" spans="1:87" s="62" customFormat="1" ht="42" customHeight="1" x14ac:dyDescent="0.2">
      <c r="A47" s="55" t="s">
        <v>846</v>
      </c>
      <c r="B47" s="50">
        <v>580186278</v>
      </c>
      <c r="C47" s="49">
        <v>1000537351</v>
      </c>
      <c r="D47" s="48">
        <v>40000541</v>
      </c>
      <c r="E47" s="46">
        <v>51744</v>
      </c>
      <c r="F47" s="46">
        <v>36000</v>
      </c>
      <c r="G47" s="46">
        <v>33684</v>
      </c>
      <c r="H47" s="46">
        <v>30000</v>
      </c>
      <c r="I47" s="46">
        <v>30000</v>
      </c>
      <c r="J47" s="46">
        <v>30000</v>
      </c>
      <c r="K47" s="46">
        <v>30000</v>
      </c>
      <c r="L47" s="46">
        <f t="shared" si="1"/>
        <v>0</v>
      </c>
      <c r="M47" s="811"/>
      <c r="O47" s="288" t="e">
        <f>MATCH(B47,',42-02-59,42-02-16 מוסיקה'!$A$5:$A$28,0)</f>
        <v>#N/A</v>
      </c>
      <c r="P47" s="288">
        <f>MATCH(B47,',42-02-59,42-02-16 מוסיקה'!$A$32:$A$100,0)</f>
        <v>29</v>
      </c>
      <c r="Q47" s="288" t="e">
        <f>MATCH(B47,',42-02-59,42-02-16 מוסיקה'!$A$102:$A$107,0)</f>
        <v>#N/A</v>
      </c>
    </row>
    <row r="48" spans="1:87" s="44" customFormat="1" ht="39.75" customHeight="1" x14ac:dyDescent="0.2">
      <c r="A48" s="55" t="s">
        <v>868</v>
      </c>
      <c r="B48" s="50">
        <v>580186377</v>
      </c>
      <c r="C48" s="54">
        <v>1000537527</v>
      </c>
      <c r="D48" s="48">
        <v>40000168</v>
      </c>
      <c r="E48" s="46">
        <v>62000</v>
      </c>
      <c r="F48" s="101">
        <v>67000</v>
      </c>
      <c r="G48" s="46">
        <v>71094</v>
      </c>
      <c r="H48" s="46">
        <v>83146</v>
      </c>
      <c r="I48" s="46">
        <v>72000</v>
      </c>
      <c r="J48" s="46">
        <v>109613</v>
      </c>
      <c r="K48" s="46">
        <v>109613</v>
      </c>
      <c r="L48" s="46">
        <f t="shared" si="1"/>
        <v>0</v>
      </c>
      <c r="M48" s="277"/>
      <c r="O48" s="288" t="e">
        <f>MATCH(B48,',42-02-59,42-02-16 מוסיקה'!$A$5:$A$28,0)</f>
        <v>#N/A</v>
      </c>
      <c r="P48" s="288">
        <f>MATCH(B48,',42-02-59,42-02-16 מוסיקה'!$A$32:$A$100,0)</f>
        <v>9</v>
      </c>
      <c r="Q48" s="288" t="e">
        <f>MATCH(B48,',42-02-59,42-02-16 מוסיקה'!$A$102:$A$107,0)</f>
        <v>#N/A</v>
      </c>
    </row>
    <row r="49" spans="1:82" s="62" customFormat="1" ht="39" customHeight="1" x14ac:dyDescent="0.2">
      <c r="A49" s="51" t="s">
        <v>796</v>
      </c>
      <c r="B49" s="105">
        <v>580198471</v>
      </c>
      <c r="C49" s="49">
        <v>1000541664</v>
      </c>
      <c r="D49" s="48">
        <v>40000173</v>
      </c>
      <c r="E49" s="46">
        <v>2800000</v>
      </c>
      <c r="F49" s="119">
        <v>3036401</v>
      </c>
      <c r="G49" s="119">
        <v>3334732</v>
      </c>
      <c r="H49" s="46">
        <v>3191244</v>
      </c>
      <c r="I49" s="46">
        <v>3160322</v>
      </c>
      <c r="J49" s="46">
        <v>3278931</v>
      </c>
      <c r="K49" s="46">
        <v>3278931</v>
      </c>
      <c r="L49" s="46">
        <f t="shared" si="1"/>
        <v>0</v>
      </c>
      <c r="M49" s="378"/>
      <c r="O49" s="288">
        <f>MATCH(B49,',42-02-59,42-02-16 מוסיקה'!$A$5:$A$28,0)</f>
        <v>10</v>
      </c>
      <c r="P49" s="288" t="e">
        <f>MATCH(B49,',42-02-59,42-02-16 מוסיקה'!$A$32:$A$100,0)</f>
        <v>#N/A</v>
      </c>
      <c r="Q49" s="288" t="e">
        <f>MATCH(B49,',42-02-59,42-02-16 מוסיקה'!$A$102:$A$107,0)</f>
        <v>#N/A</v>
      </c>
    </row>
    <row r="50" spans="1:82" s="62" customFormat="1" ht="51.75" customHeight="1" x14ac:dyDescent="0.2">
      <c r="A50" s="55" t="s">
        <v>797</v>
      </c>
      <c r="B50" s="50">
        <v>580208486</v>
      </c>
      <c r="C50" s="49">
        <v>1000539256</v>
      </c>
      <c r="D50" s="48">
        <v>40000179</v>
      </c>
      <c r="E50" s="46">
        <v>315370</v>
      </c>
      <c r="F50" s="46">
        <v>400000</v>
      </c>
      <c r="G50" s="46">
        <v>339629</v>
      </c>
      <c r="H50" s="46">
        <v>279166</v>
      </c>
      <c r="I50" s="46">
        <v>278625</v>
      </c>
      <c r="J50" s="46">
        <v>248530</v>
      </c>
      <c r="K50" s="46">
        <v>248530</v>
      </c>
      <c r="L50" s="46">
        <f t="shared" si="1"/>
        <v>0</v>
      </c>
      <c r="M50" s="377"/>
      <c r="O50" s="288">
        <f>MATCH(B50,',42-02-59,42-02-16 מוסיקה'!$A$5:$A$28,0)</f>
        <v>15</v>
      </c>
      <c r="P50" s="288">
        <f>MATCH(B50,',42-02-59,42-02-16 מוסיקה'!$A$32:$A$100,0)</f>
        <v>19</v>
      </c>
      <c r="Q50" s="288" t="e">
        <f>MATCH(B50,',42-02-59,42-02-16 מוסיקה'!$A$102:$A$107,0)</f>
        <v>#N/A</v>
      </c>
    </row>
    <row r="51" spans="1:82" s="62" customFormat="1" ht="39" customHeight="1" x14ac:dyDescent="0.2">
      <c r="A51" s="55" t="s">
        <v>822</v>
      </c>
      <c r="B51" s="50">
        <v>580208486</v>
      </c>
      <c r="C51" s="49">
        <v>1000539574</v>
      </c>
      <c r="D51" s="48">
        <v>40000179</v>
      </c>
      <c r="E51" s="46">
        <v>30000</v>
      </c>
      <c r="F51" s="119">
        <v>54048</v>
      </c>
      <c r="G51" s="119">
        <v>46784</v>
      </c>
      <c r="H51" s="46">
        <v>45000</v>
      </c>
      <c r="I51" s="46">
        <v>50000</v>
      </c>
      <c r="J51" s="46">
        <v>60000</v>
      </c>
      <c r="K51" s="46">
        <v>60000</v>
      </c>
      <c r="L51" s="46">
        <f t="shared" si="1"/>
        <v>0</v>
      </c>
      <c r="M51" s="79"/>
      <c r="O51" s="288">
        <f>MATCH(B51,',42-02-59,42-02-16 מוסיקה'!$A$5:$A$28,0)</f>
        <v>15</v>
      </c>
      <c r="P51" s="288">
        <f>MATCH(B51,',42-02-59,42-02-16 מוסיקה'!$A$32:$A$100,0)</f>
        <v>19</v>
      </c>
      <c r="Q51" s="288" t="e">
        <f>MATCH(B51,',42-02-59,42-02-16 מוסיקה'!$A$102:$A$107,0)</f>
        <v>#N/A</v>
      </c>
    </row>
    <row r="52" spans="1:82" s="62" customFormat="1" ht="39.75" customHeight="1" x14ac:dyDescent="0.2">
      <c r="A52" s="55" t="s">
        <v>865</v>
      </c>
      <c r="B52" s="182">
        <v>580222545</v>
      </c>
      <c r="C52" s="54">
        <v>1000530997</v>
      </c>
      <c r="D52" s="48">
        <v>40216045</v>
      </c>
      <c r="E52" s="46">
        <v>60000</v>
      </c>
      <c r="F52" s="101">
        <v>65000</v>
      </c>
      <c r="G52" s="46">
        <v>68801</v>
      </c>
      <c r="H52" s="46">
        <v>81146</v>
      </c>
      <c r="I52" s="46">
        <v>70000</v>
      </c>
      <c r="J52" s="46">
        <v>70000</v>
      </c>
      <c r="K52" s="46">
        <v>70000</v>
      </c>
      <c r="L52" s="46">
        <f t="shared" si="1"/>
        <v>0</v>
      </c>
      <c r="M52" s="381"/>
      <c r="O52" s="288" t="e">
        <f>MATCH(B52,',42-02-59,42-02-16 מוסיקה'!$A$5:$A$28,0)</f>
        <v>#N/A</v>
      </c>
      <c r="P52" s="288">
        <f>MATCH(B52,',42-02-59,42-02-16 מוסיקה'!$A$32:$A$100,0)</f>
        <v>26</v>
      </c>
      <c r="Q52" s="288" t="e">
        <f>MATCH(B52,',42-02-59,42-02-16 מוסיקה'!$A$102:$A$107,0)</f>
        <v>#N/A</v>
      </c>
    </row>
    <row r="53" spans="1:82" s="62" customFormat="1" ht="55.5" customHeight="1" x14ac:dyDescent="0.2">
      <c r="A53" s="55" t="s">
        <v>816</v>
      </c>
      <c r="B53" s="50">
        <v>580238699</v>
      </c>
      <c r="C53" s="49">
        <v>1000545523</v>
      </c>
      <c r="D53" s="48">
        <v>40000594</v>
      </c>
      <c r="E53" s="46">
        <v>70000</v>
      </c>
      <c r="F53" s="46">
        <v>88030</v>
      </c>
      <c r="G53" s="119">
        <v>84211</v>
      </c>
      <c r="H53" s="46">
        <v>85000</v>
      </c>
      <c r="I53" s="46">
        <v>85000</v>
      </c>
      <c r="J53" s="46">
        <v>85000</v>
      </c>
      <c r="K53" s="46">
        <v>85000</v>
      </c>
      <c r="L53" s="46">
        <f t="shared" si="1"/>
        <v>0</v>
      </c>
      <c r="M53" s="129"/>
      <c r="O53" s="288" t="e">
        <f>MATCH(B53,',42-02-59,42-02-16 מוסיקה'!$A$5:$A$28,0)</f>
        <v>#N/A</v>
      </c>
      <c r="P53" s="288">
        <f>MATCH(B53,',42-02-59,42-02-16 מוסיקה'!$A$32:$A$100,0)</f>
        <v>12</v>
      </c>
      <c r="Q53" s="288" t="e">
        <f>MATCH(B53,',42-02-59,42-02-16 מוסיקה'!$A$102:$A$107,0)</f>
        <v>#N/A</v>
      </c>
    </row>
    <row r="54" spans="1:82" s="62" customFormat="1" ht="39" customHeight="1" x14ac:dyDescent="0.2">
      <c r="A54" s="55" t="s">
        <v>832</v>
      </c>
      <c r="B54" s="50">
        <v>580238699</v>
      </c>
      <c r="C54" s="49">
        <v>1000545494</v>
      </c>
      <c r="D54" s="48">
        <v>40000594</v>
      </c>
      <c r="E54" s="46">
        <v>90000</v>
      </c>
      <c r="F54" s="46">
        <v>156493</v>
      </c>
      <c r="G54" s="46">
        <v>112281</v>
      </c>
      <c r="H54" s="46">
        <v>100000</v>
      </c>
      <c r="I54" s="46">
        <v>100000</v>
      </c>
      <c r="J54" s="46">
        <v>100000</v>
      </c>
      <c r="K54" s="46">
        <v>100000</v>
      </c>
      <c r="L54" s="46">
        <f t="shared" si="1"/>
        <v>0</v>
      </c>
      <c r="M54" s="386"/>
      <c r="O54" s="288" t="e">
        <f>MATCH(B54,',42-02-59,42-02-16 מוסיקה'!$A$5:$A$28,0)</f>
        <v>#N/A</v>
      </c>
      <c r="P54" s="288">
        <f>MATCH(B54,',42-02-59,42-02-16 מוסיקה'!$A$32:$A$100,0)</f>
        <v>12</v>
      </c>
      <c r="Q54" s="288" t="e">
        <f>MATCH(B54,',42-02-59,42-02-16 מוסיקה'!$A$102:$A$107,0)</f>
        <v>#N/A</v>
      </c>
    </row>
    <row r="55" spans="1:82" s="62" customFormat="1" ht="39" customHeight="1" x14ac:dyDescent="0.2">
      <c r="A55" s="51" t="s">
        <v>804</v>
      </c>
      <c r="B55" s="798">
        <v>580256683</v>
      </c>
      <c r="C55" s="266">
        <v>1000542768</v>
      </c>
      <c r="D55" s="48">
        <v>40000624</v>
      </c>
      <c r="E55" s="46">
        <v>3225237</v>
      </c>
      <c r="F55" s="46">
        <v>3338317</v>
      </c>
      <c r="G55" s="46">
        <v>3298410</v>
      </c>
      <c r="H55" s="46">
        <v>3161910</v>
      </c>
      <c r="I55" s="46">
        <v>3043400</v>
      </c>
      <c r="J55" s="46">
        <v>3174908</v>
      </c>
      <c r="K55" s="46">
        <v>3174908</v>
      </c>
      <c r="L55" s="46">
        <f t="shared" si="1"/>
        <v>0</v>
      </c>
      <c r="M55" s="88"/>
      <c r="N55" s="121"/>
      <c r="O55" s="288">
        <f>MATCH(B55,',42-02-59,42-02-16 מוסיקה'!$A$5:$A$28,0)</f>
        <v>8</v>
      </c>
      <c r="P55" s="288" t="e">
        <f>MATCH(B55,',42-02-59,42-02-16 מוסיקה'!$A$32:$A$100,0)</f>
        <v>#N/A</v>
      </c>
      <c r="Q55" s="288" t="e">
        <f>MATCH(B55,',42-02-59,42-02-16 מוסיקה'!$A$102:$A$107,0)</f>
        <v>#N/A</v>
      </c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</row>
    <row r="56" spans="1:82" s="62" customFormat="1" ht="57" customHeight="1" x14ac:dyDescent="0.2">
      <c r="A56" s="51" t="s">
        <v>755</v>
      </c>
      <c r="B56" s="105">
        <v>580263507</v>
      </c>
      <c r="C56" s="49">
        <v>1000546213</v>
      </c>
      <c r="D56" s="48">
        <v>40000632</v>
      </c>
      <c r="E56" s="46">
        <v>618753</v>
      </c>
      <c r="F56" s="46">
        <v>700000</v>
      </c>
      <c r="G56" s="46">
        <v>832751</v>
      </c>
      <c r="H56" s="46">
        <v>835000</v>
      </c>
      <c r="I56" s="46">
        <v>835000</v>
      </c>
      <c r="J56" s="46">
        <v>835000</v>
      </c>
      <c r="K56" s="46">
        <v>835000</v>
      </c>
      <c r="L56" s="46">
        <f t="shared" si="1"/>
        <v>0</v>
      </c>
      <c r="M56" s="810"/>
      <c r="O56" s="288" t="e">
        <f>MATCH(B56,',42-02-59,42-02-16 מוסיקה'!$A$5:$A$28,0)</f>
        <v>#N/A</v>
      </c>
      <c r="P56" s="288">
        <f>MATCH(B56,',42-02-59,42-02-16 מוסיקה'!$A$32:$A$100,0)</f>
        <v>13</v>
      </c>
      <c r="Q56" s="288" t="e">
        <f>MATCH(B56,',42-02-59,42-02-16 מוסיקה'!$A$102:$A$107,0)</f>
        <v>#N/A</v>
      </c>
    </row>
    <row r="57" spans="1:82" s="62" customFormat="1" ht="57" customHeight="1" x14ac:dyDescent="0.2">
      <c r="A57" s="51" t="s">
        <v>836</v>
      </c>
      <c r="B57" s="105">
        <v>580263507</v>
      </c>
      <c r="C57" s="49">
        <v>1000546576</v>
      </c>
      <c r="D57" s="48">
        <v>40000632</v>
      </c>
      <c r="E57" s="46">
        <v>0</v>
      </c>
      <c r="F57" s="46">
        <v>0</v>
      </c>
      <c r="G57" s="46">
        <v>37427</v>
      </c>
      <c r="H57" s="46">
        <v>40000</v>
      </c>
      <c r="I57" s="46">
        <v>20000</v>
      </c>
      <c r="J57" s="46">
        <v>13176</v>
      </c>
      <c r="K57" s="46">
        <v>13176</v>
      </c>
      <c r="L57" s="46">
        <f t="shared" si="1"/>
        <v>0</v>
      </c>
      <c r="M57" s="810"/>
      <c r="O57" s="288" t="e">
        <f>MATCH(B57,',42-02-59,42-02-16 מוסיקה'!$A$5:$A$28,0)</f>
        <v>#N/A</v>
      </c>
      <c r="P57" s="288">
        <f>MATCH(B57,',42-02-59,42-02-16 מוסיקה'!$A$32:$A$100,0)</f>
        <v>13</v>
      </c>
      <c r="Q57" s="288" t="e">
        <f>MATCH(B57,',42-02-59,42-02-16 מוסיקה'!$A$102:$A$107,0)</f>
        <v>#N/A</v>
      </c>
    </row>
    <row r="58" spans="1:82" s="62" customFormat="1" ht="41.25" customHeight="1" x14ac:dyDescent="0.2">
      <c r="A58" s="55" t="s">
        <v>795</v>
      </c>
      <c r="B58" s="50">
        <v>580269561</v>
      </c>
      <c r="C58" s="49">
        <v>1000534297</v>
      </c>
      <c r="D58" s="48">
        <v>40002884</v>
      </c>
      <c r="E58" s="46">
        <v>417195</v>
      </c>
      <c r="F58" s="46">
        <v>552378</v>
      </c>
      <c r="G58" s="46">
        <v>470043</v>
      </c>
      <c r="H58" s="46">
        <v>490357</v>
      </c>
      <c r="I58" s="46">
        <v>297704</v>
      </c>
      <c r="J58" s="46">
        <v>265409</v>
      </c>
      <c r="K58" s="46">
        <v>265409</v>
      </c>
      <c r="L58" s="46">
        <f t="shared" si="1"/>
        <v>0</v>
      </c>
      <c r="M58" s="79"/>
      <c r="O58" s="288">
        <f>MATCH(B58,',42-02-59,42-02-16 מוסיקה'!$A$5:$A$28,0)</f>
        <v>13</v>
      </c>
      <c r="P58" s="288" t="e">
        <f>MATCH(B58,',42-02-59,42-02-16 מוסיקה'!$A$32:$A$100,0)</f>
        <v>#N/A</v>
      </c>
      <c r="Q58" s="288" t="e">
        <f>MATCH(B58,',42-02-59,42-02-16 מוסיקה'!$A$102:$A$107,0)</f>
        <v>#N/A</v>
      </c>
    </row>
    <row r="59" spans="1:82" s="62" customFormat="1" ht="51" customHeight="1" x14ac:dyDescent="0.2">
      <c r="A59" s="55" t="s">
        <v>826</v>
      </c>
      <c r="B59" s="50">
        <v>580288728</v>
      </c>
      <c r="C59" s="49">
        <v>1000544695</v>
      </c>
      <c r="D59" s="48">
        <v>40000655</v>
      </c>
      <c r="E59" s="46">
        <v>100000</v>
      </c>
      <c r="F59" s="46">
        <v>160000</v>
      </c>
      <c r="G59" s="46">
        <v>112281</v>
      </c>
      <c r="H59" s="46">
        <v>100000</v>
      </c>
      <c r="I59" s="46">
        <v>40001</v>
      </c>
      <c r="J59" s="46">
        <v>100000</v>
      </c>
      <c r="K59" s="46">
        <v>100000</v>
      </c>
      <c r="L59" s="46">
        <f t="shared" si="1"/>
        <v>0</v>
      </c>
      <c r="M59" s="299"/>
      <c r="O59" s="288" t="e">
        <f>MATCH(B59,',42-02-59,42-02-16 מוסיקה'!$A$5:$A$28,0)</f>
        <v>#N/A</v>
      </c>
      <c r="P59" s="288">
        <f>MATCH(B59,',42-02-59,42-02-16 מוסיקה'!$A$32:$A$100,0)</f>
        <v>21</v>
      </c>
      <c r="Q59" s="288" t="e">
        <f>MATCH(B59,',42-02-59,42-02-16 מוסיקה'!$A$102:$A$107,0)</f>
        <v>#N/A</v>
      </c>
    </row>
    <row r="60" spans="1:82" s="62" customFormat="1" ht="36" customHeight="1" x14ac:dyDescent="0.2">
      <c r="A60" s="51" t="s">
        <v>806</v>
      </c>
      <c r="B60" s="105">
        <v>580293454</v>
      </c>
      <c r="C60" s="49">
        <v>1000532368</v>
      </c>
      <c r="D60" s="48">
        <v>40000216</v>
      </c>
      <c r="E60" s="46">
        <v>1518216</v>
      </c>
      <c r="F60" s="46">
        <v>1502633</v>
      </c>
      <c r="G60" s="119">
        <v>1803162</v>
      </c>
      <c r="H60" s="46">
        <v>1454590</v>
      </c>
      <c r="I60" s="46">
        <v>1664214</v>
      </c>
      <c r="J60" s="46">
        <v>1621070</v>
      </c>
      <c r="K60" s="46">
        <v>1621070</v>
      </c>
      <c r="L60" s="46">
        <f t="shared" si="1"/>
        <v>0</v>
      </c>
      <c r="M60" s="79"/>
      <c r="O60" s="288">
        <f>MATCH(B60,',42-02-59,42-02-16 מוסיקה'!$A$5:$A$28,0)</f>
        <v>12</v>
      </c>
      <c r="P60" s="288" t="e">
        <f>MATCH(B60,',42-02-59,42-02-16 מוסיקה'!$A$32:$A$100,0)</f>
        <v>#N/A</v>
      </c>
      <c r="Q60" s="288" t="e">
        <f>MATCH(B60,',42-02-59,42-02-16 מוסיקה'!$A$102:$A$107,0)</f>
        <v>#N/A</v>
      </c>
    </row>
    <row r="61" spans="1:82" s="62" customFormat="1" ht="42" customHeight="1" x14ac:dyDescent="0.2">
      <c r="A61" s="51" t="s">
        <v>794</v>
      </c>
      <c r="B61" s="105">
        <v>580303808</v>
      </c>
      <c r="C61" s="49">
        <v>1000552699</v>
      </c>
      <c r="D61" s="48">
        <v>40000662</v>
      </c>
      <c r="E61" s="46">
        <v>1772567</v>
      </c>
      <c r="F61" s="46">
        <v>1725424</v>
      </c>
      <c r="G61" s="119">
        <v>1368000</v>
      </c>
      <c r="H61" s="46">
        <v>1586164</v>
      </c>
      <c r="I61" s="46">
        <v>1219361</v>
      </c>
      <c r="J61" s="46">
        <v>1030525</v>
      </c>
      <c r="K61" s="46">
        <v>1030525</v>
      </c>
      <c r="L61" s="46">
        <f t="shared" si="1"/>
        <v>0</v>
      </c>
      <c r="M61" s="813"/>
      <c r="O61" s="288">
        <f>MATCH(B61,',42-02-59,42-02-16 מוסיקה'!$A$5:$A$28,0)</f>
        <v>11</v>
      </c>
      <c r="P61" s="288" t="e">
        <f>MATCH(B61,',42-02-59,42-02-16 מוסיקה'!$A$32:$A$100,0)</f>
        <v>#N/A</v>
      </c>
      <c r="Q61" s="288" t="e">
        <f>MATCH(B61,',42-02-59,42-02-16 מוסיקה'!$A$102:$A$107,0)</f>
        <v>#N/A</v>
      </c>
    </row>
    <row r="62" spans="1:82" s="62" customFormat="1" ht="46.5" customHeight="1" x14ac:dyDescent="0.2">
      <c r="A62" s="55" t="s">
        <v>791</v>
      </c>
      <c r="B62" s="50">
        <v>580317691</v>
      </c>
      <c r="C62" s="49">
        <v>1000642951</v>
      </c>
      <c r="D62" s="48">
        <v>40000677</v>
      </c>
      <c r="E62" s="46">
        <v>14291</v>
      </c>
      <c r="F62" s="46">
        <v>25000</v>
      </c>
      <c r="G62" s="46">
        <v>28070</v>
      </c>
      <c r="H62" s="46">
        <v>28000</v>
      </c>
      <c r="I62" s="46">
        <v>50000</v>
      </c>
      <c r="J62" s="46">
        <v>108373</v>
      </c>
      <c r="K62" s="46">
        <v>0</v>
      </c>
      <c r="L62" s="74">
        <f t="shared" si="1"/>
        <v>108373</v>
      </c>
      <c r="M62" s="375" t="s">
        <v>792</v>
      </c>
      <c r="O62" s="288" t="e">
        <f>MATCH(B62,',42-02-59,42-02-16 מוסיקה'!$A$5:$A$28,0)</f>
        <v>#N/A</v>
      </c>
      <c r="P62" s="288" t="e">
        <f>MATCH(B62,',42-02-59,42-02-16 מוסיקה'!$A$32:$A$100,0)</f>
        <v>#N/A</v>
      </c>
      <c r="Q62" s="288" t="e">
        <f>MATCH(B62,',42-02-59,42-02-16 מוסיקה'!$A$102:$A$107,0)</f>
        <v>#N/A</v>
      </c>
    </row>
    <row r="63" spans="1:82" s="62" customFormat="1" ht="47.25" customHeight="1" x14ac:dyDescent="0.2">
      <c r="A63" s="55" t="s">
        <v>827</v>
      </c>
      <c r="B63" s="389">
        <v>580323863</v>
      </c>
      <c r="C63" s="390">
        <v>1000546814</v>
      </c>
      <c r="D63" s="305">
        <v>40216066</v>
      </c>
      <c r="E63" s="46">
        <v>14291</v>
      </c>
      <c r="F63" s="46">
        <v>25000</v>
      </c>
      <c r="G63" s="46">
        <v>19649</v>
      </c>
      <c r="H63" s="46">
        <v>20000</v>
      </c>
      <c r="I63" s="46">
        <v>10000</v>
      </c>
      <c r="J63" s="46">
        <v>10000</v>
      </c>
      <c r="K63" s="46">
        <v>10000</v>
      </c>
      <c r="L63" s="46">
        <f t="shared" si="1"/>
        <v>0</v>
      </c>
      <c r="M63" s="304"/>
      <c r="O63" s="288" t="e">
        <f>MATCH(B63,',42-02-59,42-02-16 מוסיקה'!$A$5:$A$28,0)</f>
        <v>#N/A</v>
      </c>
      <c r="P63" s="288">
        <f>MATCH(B63,',42-02-59,42-02-16 מוסיקה'!$A$32:$A$100,0)</f>
        <v>69</v>
      </c>
      <c r="Q63" s="288" t="e">
        <f>MATCH(B63,',42-02-59,42-02-16 מוסיקה'!$A$102:$A$107,0)</f>
        <v>#N/A</v>
      </c>
    </row>
    <row r="64" spans="1:82" s="62" customFormat="1" ht="36.75" customHeight="1" x14ac:dyDescent="0.2">
      <c r="A64" s="134" t="s">
        <v>837</v>
      </c>
      <c r="B64" s="126">
        <v>580327740</v>
      </c>
      <c r="C64" s="189">
        <v>1000541018</v>
      </c>
      <c r="D64" s="132">
        <v>40221541</v>
      </c>
      <c r="E64" s="119">
        <v>95271</v>
      </c>
      <c r="F64" s="101">
        <v>170000</v>
      </c>
      <c r="G64" s="46">
        <v>140351</v>
      </c>
      <c r="H64" s="46">
        <v>165000</v>
      </c>
      <c r="I64" s="46">
        <v>165329</v>
      </c>
      <c r="J64" s="46">
        <v>200000</v>
      </c>
      <c r="K64" s="46">
        <v>200000</v>
      </c>
      <c r="L64" s="46">
        <f t="shared" si="1"/>
        <v>0</v>
      </c>
      <c r="M64" s="71"/>
      <c r="O64" s="288" t="e">
        <f>MATCH(B64,',42-02-59,42-02-16 מוסיקה'!$A$5:$A$28,0)</f>
        <v>#N/A</v>
      </c>
      <c r="P64" s="288">
        <f>MATCH(B64,',42-02-59,42-02-16 מוסיקה'!$A$32:$A$100,0)</f>
        <v>17</v>
      </c>
      <c r="Q64" s="288" t="e">
        <f>MATCH(B64,',42-02-59,42-02-16 מוסיקה'!$A$102:$A$107,0)</f>
        <v>#N/A</v>
      </c>
    </row>
    <row r="65" spans="1:217" s="62" customFormat="1" ht="39" customHeight="1" x14ac:dyDescent="0.2">
      <c r="A65" s="55" t="s">
        <v>847</v>
      </c>
      <c r="B65" s="50">
        <v>580327740</v>
      </c>
      <c r="C65" s="49">
        <v>1000541176</v>
      </c>
      <c r="D65" s="48">
        <v>40221541</v>
      </c>
      <c r="E65" s="46">
        <v>0</v>
      </c>
      <c r="F65" s="101">
        <v>0</v>
      </c>
      <c r="G65" s="46">
        <v>14035</v>
      </c>
      <c r="H65" s="46">
        <v>15000</v>
      </c>
      <c r="I65" s="46">
        <v>15000</v>
      </c>
      <c r="J65" s="46">
        <v>15000</v>
      </c>
      <c r="K65" s="46">
        <v>15000</v>
      </c>
      <c r="L65" s="46">
        <f t="shared" si="1"/>
        <v>0</v>
      </c>
      <c r="M65" s="129"/>
      <c r="O65" s="288" t="e">
        <f>MATCH(B65,',42-02-59,42-02-16 מוסיקה'!$A$5:$A$28,0)</f>
        <v>#N/A</v>
      </c>
      <c r="P65" s="288">
        <f>MATCH(B65,',42-02-59,42-02-16 מוסיקה'!$A$32:$A$100,0)</f>
        <v>17</v>
      </c>
      <c r="Q65" s="288" t="e">
        <f>MATCH(B65,',42-02-59,42-02-16 מוסיקה'!$A$102:$A$107,0)</f>
        <v>#N/A</v>
      </c>
    </row>
    <row r="66" spans="1:217" s="62" customFormat="1" ht="38.25" customHeight="1" x14ac:dyDescent="0.2">
      <c r="A66" s="55" t="s">
        <v>848</v>
      </c>
      <c r="B66" s="50">
        <v>580327740</v>
      </c>
      <c r="C66" s="49">
        <v>1000544724</v>
      </c>
      <c r="D66" s="48">
        <v>40221541</v>
      </c>
      <c r="E66" s="46"/>
      <c r="F66" s="46"/>
      <c r="G66" s="284"/>
      <c r="H66" s="46"/>
      <c r="I66" s="46">
        <v>0</v>
      </c>
      <c r="J66" s="46">
        <v>10000</v>
      </c>
      <c r="K66" s="46">
        <v>10000</v>
      </c>
      <c r="L66" s="46">
        <f t="shared" ref="L66:L97" si="2">J66-K66</f>
        <v>0</v>
      </c>
      <c r="M66" s="300"/>
      <c r="O66" s="288" t="e">
        <f>MATCH(B66,',42-02-59,42-02-16 מוסיקה'!$A$5:$A$28,0)</f>
        <v>#N/A</v>
      </c>
      <c r="P66" s="288">
        <f>MATCH(B66,',42-02-59,42-02-16 מוסיקה'!$A$32:$A$100,0)</f>
        <v>17</v>
      </c>
      <c r="Q66" s="288" t="e">
        <f>MATCH(B66,',42-02-59,42-02-16 מוסיקה'!$A$102:$A$107,0)</f>
        <v>#N/A</v>
      </c>
    </row>
    <row r="67" spans="1:217" s="62" customFormat="1" ht="43.5" customHeight="1" x14ac:dyDescent="0.2">
      <c r="A67" s="55" t="s">
        <v>849</v>
      </c>
      <c r="B67" s="50">
        <v>580327740</v>
      </c>
      <c r="C67" s="54">
        <v>1000541683</v>
      </c>
      <c r="D67" s="48">
        <v>40221541</v>
      </c>
      <c r="E67" s="46"/>
      <c r="F67" s="101"/>
      <c r="G67" s="46"/>
      <c r="H67" s="46"/>
      <c r="I67" s="46">
        <v>0</v>
      </c>
      <c r="J67" s="46">
        <v>20000</v>
      </c>
      <c r="K67" s="46">
        <v>20000</v>
      </c>
      <c r="L67" s="46">
        <f t="shared" si="2"/>
        <v>0</v>
      </c>
      <c r="M67" s="129"/>
      <c r="O67" s="288" t="e">
        <f>MATCH(B67,',42-02-59,42-02-16 מוסיקה'!$A$5:$A$28,0)</f>
        <v>#N/A</v>
      </c>
      <c r="P67" s="288">
        <f>MATCH(B67,',42-02-59,42-02-16 מוסיקה'!$A$32:$A$100,0)</f>
        <v>17</v>
      </c>
      <c r="Q67" s="288" t="e">
        <f>MATCH(B67,',42-02-59,42-02-16 מוסיקה'!$A$102:$A$107,0)</f>
        <v>#N/A</v>
      </c>
    </row>
    <row r="68" spans="1:217" s="62" customFormat="1" ht="34.5" customHeight="1" x14ac:dyDescent="0.2">
      <c r="A68" s="55" t="s">
        <v>850</v>
      </c>
      <c r="B68" s="50">
        <v>580327740</v>
      </c>
      <c r="C68" s="49">
        <v>1000541164</v>
      </c>
      <c r="D68" s="48">
        <v>40221541</v>
      </c>
      <c r="E68" s="46">
        <v>9527</v>
      </c>
      <c r="F68" s="101">
        <v>10000</v>
      </c>
      <c r="G68" s="46">
        <v>9357</v>
      </c>
      <c r="H68" s="46">
        <v>10000</v>
      </c>
      <c r="I68" s="46">
        <v>10000</v>
      </c>
      <c r="J68" s="46">
        <v>10000</v>
      </c>
      <c r="K68" s="46">
        <v>10000</v>
      </c>
      <c r="L68" s="46">
        <f t="shared" si="2"/>
        <v>0</v>
      </c>
      <c r="M68" s="129"/>
      <c r="O68" s="288" t="e">
        <f>MATCH(B68,',42-02-59,42-02-16 מוסיקה'!$A$5:$A$28,0)</f>
        <v>#N/A</v>
      </c>
      <c r="P68" s="288">
        <f>MATCH(B68,',42-02-59,42-02-16 מוסיקה'!$A$32:$A$100,0)</f>
        <v>17</v>
      </c>
      <c r="Q68" s="288" t="e">
        <f>MATCH(B68,',42-02-59,42-02-16 מוסיקה'!$A$102:$A$107,0)</f>
        <v>#N/A</v>
      </c>
    </row>
    <row r="69" spans="1:217" s="62" customFormat="1" ht="37.5" customHeight="1" x14ac:dyDescent="0.2">
      <c r="A69" s="55" t="s">
        <v>851</v>
      </c>
      <c r="B69" s="50">
        <v>580327740</v>
      </c>
      <c r="C69" s="49">
        <v>1000541184</v>
      </c>
      <c r="D69" s="48">
        <v>40221541</v>
      </c>
      <c r="E69" s="46">
        <v>0</v>
      </c>
      <c r="F69" s="101">
        <v>0</v>
      </c>
      <c r="G69" s="46">
        <v>14035</v>
      </c>
      <c r="H69" s="46">
        <v>15000</v>
      </c>
      <c r="I69" s="46">
        <v>30000</v>
      </c>
      <c r="J69" s="46">
        <v>40000</v>
      </c>
      <c r="K69" s="46">
        <v>40000</v>
      </c>
      <c r="L69" s="46">
        <f t="shared" si="2"/>
        <v>0</v>
      </c>
      <c r="M69" s="129"/>
      <c r="O69" s="288" t="e">
        <f>MATCH(B69,',42-02-59,42-02-16 מוסיקה'!$A$5:$A$28,0)</f>
        <v>#N/A</v>
      </c>
      <c r="P69" s="288">
        <f>MATCH(B69,',42-02-59,42-02-16 מוסיקה'!$A$32:$A$100,0)</f>
        <v>17</v>
      </c>
      <c r="Q69" s="288" t="e">
        <f>MATCH(B69,',42-02-59,42-02-16 מוסיקה'!$A$102:$A$107,0)</f>
        <v>#N/A</v>
      </c>
    </row>
    <row r="70" spans="1:217" s="62" customFormat="1" ht="36.75" customHeight="1" x14ac:dyDescent="0.2">
      <c r="A70" s="134" t="s">
        <v>852</v>
      </c>
      <c r="B70" s="126">
        <v>580327740</v>
      </c>
      <c r="C70" s="189">
        <v>1000541140</v>
      </c>
      <c r="D70" s="132">
        <v>40221541</v>
      </c>
      <c r="E70" s="119">
        <v>19054</v>
      </c>
      <c r="F70" s="101">
        <v>30000</v>
      </c>
      <c r="G70" s="46">
        <v>28070</v>
      </c>
      <c r="H70" s="46">
        <v>30000</v>
      </c>
      <c r="I70" s="46">
        <v>40000</v>
      </c>
      <c r="J70" s="46">
        <v>40000</v>
      </c>
      <c r="K70" s="46">
        <v>40000</v>
      </c>
      <c r="L70" s="46">
        <f t="shared" si="2"/>
        <v>0</v>
      </c>
      <c r="M70" s="129"/>
      <c r="O70" s="288" t="e">
        <f>MATCH(B70,',42-02-59,42-02-16 מוסיקה'!$A$5:$A$28,0)</f>
        <v>#N/A</v>
      </c>
      <c r="P70" s="288">
        <f>MATCH(B70,',42-02-59,42-02-16 מוסיקה'!$A$32:$A$100,0)</f>
        <v>17</v>
      </c>
      <c r="Q70" s="288" t="e">
        <f>MATCH(B70,',42-02-59,42-02-16 מוסיקה'!$A$102:$A$107,0)</f>
        <v>#N/A</v>
      </c>
    </row>
    <row r="71" spans="1:217" s="62" customFormat="1" ht="42.75" customHeight="1" x14ac:dyDescent="0.2">
      <c r="A71" s="55" t="s">
        <v>853</v>
      </c>
      <c r="B71" s="50">
        <v>580327740</v>
      </c>
      <c r="C71" s="49">
        <v>1000541126</v>
      </c>
      <c r="D71" s="48">
        <v>40221541</v>
      </c>
      <c r="E71" s="46">
        <v>0</v>
      </c>
      <c r="F71" s="101">
        <v>0</v>
      </c>
      <c r="G71" s="46">
        <v>23392</v>
      </c>
      <c r="H71" s="46">
        <v>25000</v>
      </c>
      <c r="I71" s="46">
        <v>40000</v>
      </c>
      <c r="J71" s="46">
        <v>40000</v>
      </c>
      <c r="K71" s="46">
        <v>40000</v>
      </c>
      <c r="L71" s="46">
        <f t="shared" si="2"/>
        <v>0</v>
      </c>
      <c r="M71" s="129"/>
      <c r="O71" s="288" t="e">
        <f>MATCH(B71,',42-02-59,42-02-16 מוסיקה'!$A$5:$A$28,0)</f>
        <v>#N/A</v>
      </c>
      <c r="P71" s="288">
        <f>MATCH(B71,',42-02-59,42-02-16 מוסיקה'!$A$32:$A$100,0)</f>
        <v>17</v>
      </c>
      <c r="Q71" s="288" t="e">
        <f>MATCH(B71,',42-02-59,42-02-16 מוסיקה'!$A$102:$A$107,0)</f>
        <v>#N/A</v>
      </c>
    </row>
    <row r="72" spans="1:217" s="62" customFormat="1" ht="39" customHeight="1" x14ac:dyDescent="0.2">
      <c r="A72" s="55" t="s">
        <v>671</v>
      </c>
      <c r="B72" s="50">
        <v>580327740</v>
      </c>
      <c r="C72" s="49">
        <v>1000541628</v>
      </c>
      <c r="D72" s="48">
        <v>40221541</v>
      </c>
      <c r="E72" s="46">
        <v>0</v>
      </c>
      <c r="F72" s="46">
        <v>0</v>
      </c>
      <c r="G72" s="284">
        <v>15000</v>
      </c>
      <c r="H72" s="46">
        <v>15000</v>
      </c>
      <c r="I72" s="46">
        <v>15000</v>
      </c>
      <c r="J72" s="46">
        <v>15000</v>
      </c>
      <c r="K72" s="46">
        <v>15000</v>
      </c>
      <c r="L72" s="46">
        <f t="shared" si="2"/>
        <v>0</v>
      </c>
      <c r="M72" s="300"/>
      <c r="O72" s="288" t="e">
        <f>MATCH(B72,',42-02-59,42-02-16 מוסיקה'!$A$5:$A$28,0)</f>
        <v>#N/A</v>
      </c>
      <c r="P72" s="288">
        <f>MATCH(B72,',42-02-59,42-02-16 מוסיקה'!$A$32:$A$100,0)</f>
        <v>17</v>
      </c>
      <c r="Q72" s="288" t="e">
        <f>MATCH(B72,',42-02-59,42-02-16 מוסיקה'!$A$102:$A$107,0)</f>
        <v>#N/A</v>
      </c>
    </row>
    <row r="73" spans="1:217" s="62" customFormat="1" ht="34.5" customHeight="1" x14ac:dyDescent="0.2">
      <c r="A73" s="55" t="s">
        <v>854</v>
      </c>
      <c r="B73" s="50">
        <v>580327740</v>
      </c>
      <c r="C73" s="49">
        <v>1000541174</v>
      </c>
      <c r="D73" s="48">
        <v>40221541</v>
      </c>
      <c r="E73" s="46">
        <v>0</v>
      </c>
      <c r="F73" s="101">
        <v>12000</v>
      </c>
      <c r="G73" s="46">
        <v>0</v>
      </c>
      <c r="H73" s="46">
        <v>10000</v>
      </c>
      <c r="I73" s="46">
        <v>10000</v>
      </c>
      <c r="J73" s="46">
        <v>10000</v>
      </c>
      <c r="K73" s="46">
        <v>10000</v>
      </c>
      <c r="L73" s="46">
        <f t="shared" si="2"/>
        <v>0</v>
      </c>
      <c r="M73" s="129"/>
      <c r="O73" s="288" t="e">
        <f>MATCH(B73,',42-02-59,42-02-16 מוסיקה'!$A$5:$A$28,0)</f>
        <v>#N/A</v>
      </c>
      <c r="P73" s="288">
        <f>MATCH(B73,',42-02-59,42-02-16 מוסיקה'!$A$32:$A$100,0)</f>
        <v>17</v>
      </c>
      <c r="Q73" s="288" t="e">
        <f>MATCH(B73,',42-02-59,42-02-16 מוסיקה'!$A$102:$A$107,0)</f>
        <v>#N/A</v>
      </c>
    </row>
    <row r="74" spans="1:217" s="62" customFormat="1" ht="36.75" customHeight="1" x14ac:dyDescent="0.2">
      <c r="A74" s="134" t="s">
        <v>855</v>
      </c>
      <c r="B74" s="126">
        <v>580327740</v>
      </c>
      <c r="C74" s="800">
        <v>1000541587</v>
      </c>
      <c r="D74" s="132">
        <v>40221541</v>
      </c>
      <c r="E74" s="119">
        <v>0</v>
      </c>
      <c r="F74" s="101">
        <v>0</v>
      </c>
      <c r="G74" s="46">
        <v>0</v>
      </c>
      <c r="H74" s="46">
        <v>0</v>
      </c>
      <c r="I74" s="46">
        <v>20000</v>
      </c>
      <c r="J74" s="46">
        <v>20000</v>
      </c>
      <c r="K74" s="46">
        <v>20000</v>
      </c>
      <c r="L74" s="46">
        <f t="shared" si="2"/>
        <v>0</v>
      </c>
      <c r="M74" s="129"/>
      <c r="O74" s="288" t="e">
        <f>MATCH(B74,',42-02-59,42-02-16 מוסיקה'!$A$5:$A$28,0)</f>
        <v>#N/A</v>
      </c>
      <c r="P74" s="288">
        <f>MATCH(B74,',42-02-59,42-02-16 מוסיקה'!$A$32:$A$100,0)</f>
        <v>17</v>
      </c>
      <c r="Q74" s="288" t="e">
        <f>MATCH(B74,',42-02-59,42-02-16 מוסיקה'!$A$102:$A$107,0)</f>
        <v>#N/A</v>
      </c>
    </row>
    <row r="75" spans="1:217" s="62" customFormat="1" ht="43.5" customHeight="1" x14ac:dyDescent="0.2">
      <c r="A75" s="55" t="s">
        <v>856</v>
      </c>
      <c r="B75" s="50">
        <v>580327740</v>
      </c>
      <c r="C75" s="49">
        <v>1000541201</v>
      </c>
      <c r="D75" s="48">
        <v>40221541</v>
      </c>
      <c r="E75" s="46">
        <v>0</v>
      </c>
      <c r="F75" s="101">
        <v>0</v>
      </c>
      <c r="G75" s="46">
        <v>0</v>
      </c>
      <c r="H75" s="46">
        <v>0</v>
      </c>
      <c r="I75" s="46">
        <v>22000</v>
      </c>
      <c r="J75" s="46">
        <v>22000</v>
      </c>
      <c r="K75" s="46">
        <v>22000</v>
      </c>
      <c r="L75" s="46">
        <f t="shared" si="2"/>
        <v>0</v>
      </c>
      <c r="M75" s="129"/>
      <c r="O75" s="288" t="e">
        <f>MATCH(B75,',42-02-59,42-02-16 מוסיקה'!$A$5:$A$28,0)</f>
        <v>#N/A</v>
      </c>
      <c r="P75" s="288">
        <f>MATCH(B75,',42-02-59,42-02-16 מוסיקה'!$A$32:$A$100,0)</f>
        <v>17</v>
      </c>
      <c r="Q75" s="288" t="e">
        <f>MATCH(B75,',42-02-59,42-02-16 מוסיקה'!$A$102:$A$107,0)</f>
        <v>#N/A</v>
      </c>
    </row>
    <row r="76" spans="1:217" s="62" customFormat="1" ht="36.75" customHeight="1" x14ac:dyDescent="0.2">
      <c r="A76" s="134" t="s">
        <v>857</v>
      </c>
      <c r="B76" s="126">
        <v>580327740</v>
      </c>
      <c r="C76" s="189">
        <v>1000541173</v>
      </c>
      <c r="D76" s="132">
        <v>40221541</v>
      </c>
      <c r="E76" s="119">
        <v>0</v>
      </c>
      <c r="F76" s="46">
        <v>0</v>
      </c>
      <c r="G76" s="284">
        <v>0</v>
      </c>
      <c r="H76" s="46">
        <v>0</v>
      </c>
      <c r="I76" s="46">
        <v>20000</v>
      </c>
      <c r="J76" s="46">
        <v>20000</v>
      </c>
      <c r="K76" s="46">
        <v>20000</v>
      </c>
      <c r="L76" s="46">
        <f t="shared" si="2"/>
        <v>0</v>
      </c>
      <c r="M76" s="300"/>
      <c r="O76" s="288" t="e">
        <f>MATCH(B76,',42-02-59,42-02-16 מוסיקה'!$A$5:$A$28,0)</f>
        <v>#N/A</v>
      </c>
      <c r="P76" s="288">
        <f>MATCH(B76,',42-02-59,42-02-16 מוסיקה'!$A$32:$A$100,0)</f>
        <v>17</v>
      </c>
      <c r="Q76" s="288" t="e">
        <f>MATCH(B76,',42-02-59,42-02-16 מוסיקה'!$A$102:$A$107,0)</f>
        <v>#N/A</v>
      </c>
    </row>
    <row r="77" spans="1:217" s="62" customFormat="1" ht="36.75" customHeight="1" x14ac:dyDescent="0.2">
      <c r="A77" s="134" t="s">
        <v>858</v>
      </c>
      <c r="B77" s="126">
        <v>580327740</v>
      </c>
      <c r="C77" s="189">
        <v>1000541163</v>
      </c>
      <c r="D77" s="132">
        <v>40221541</v>
      </c>
      <c r="E77" s="119">
        <v>0</v>
      </c>
      <c r="F77" s="101">
        <v>0</v>
      </c>
      <c r="G77" s="46">
        <v>0</v>
      </c>
      <c r="H77" s="46">
        <v>0</v>
      </c>
      <c r="I77" s="46">
        <v>12000</v>
      </c>
      <c r="J77" s="46">
        <v>12000</v>
      </c>
      <c r="K77" s="46">
        <v>12000</v>
      </c>
      <c r="L77" s="46">
        <f t="shared" si="2"/>
        <v>0</v>
      </c>
      <c r="M77" s="129"/>
      <c r="O77" s="288" t="e">
        <f>MATCH(B77,',42-02-59,42-02-16 מוסיקה'!$A$5:$A$28,0)</f>
        <v>#N/A</v>
      </c>
      <c r="P77" s="288">
        <f>MATCH(B77,',42-02-59,42-02-16 מוסיקה'!$A$32:$A$100,0)</f>
        <v>17</v>
      </c>
      <c r="Q77" s="288" t="e">
        <f>MATCH(B77,',42-02-59,42-02-16 מוסיקה'!$A$102:$A$107,0)</f>
        <v>#N/A</v>
      </c>
    </row>
    <row r="78" spans="1:217" s="62" customFormat="1" ht="36.75" customHeight="1" x14ac:dyDescent="0.2">
      <c r="A78" s="134" t="s">
        <v>859</v>
      </c>
      <c r="B78" s="126">
        <v>580327740</v>
      </c>
      <c r="C78" s="189">
        <v>1000545662</v>
      </c>
      <c r="D78" s="132">
        <v>40221541</v>
      </c>
      <c r="E78" s="119"/>
      <c r="F78" s="46"/>
      <c r="G78" s="284"/>
      <c r="H78" s="46"/>
      <c r="I78" s="46">
        <v>0</v>
      </c>
      <c r="J78" s="46">
        <v>22000</v>
      </c>
      <c r="K78" s="46">
        <v>22000</v>
      </c>
      <c r="L78" s="46">
        <f t="shared" si="2"/>
        <v>0</v>
      </c>
      <c r="M78" s="300"/>
      <c r="O78" s="288" t="e">
        <f>MATCH(B78,',42-02-59,42-02-16 מוסיקה'!$A$5:$A$28,0)</f>
        <v>#N/A</v>
      </c>
      <c r="P78" s="288">
        <f>MATCH(B78,',42-02-59,42-02-16 מוסיקה'!$A$32:$A$100,0)</f>
        <v>17</v>
      </c>
      <c r="Q78" s="288" t="e">
        <f>MATCH(B78,',42-02-59,42-02-16 מוסיקה'!$A$102:$A$107,0)</f>
        <v>#N/A</v>
      </c>
    </row>
    <row r="79" spans="1:217" s="62" customFormat="1" ht="48.75" customHeight="1" x14ac:dyDescent="0.2">
      <c r="A79" s="55" t="s">
        <v>860</v>
      </c>
      <c r="B79" s="50">
        <v>580327740</v>
      </c>
      <c r="C79" s="49">
        <v>1000545561</v>
      </c>
      <c r="D79" s="48">
        <v>40221541</v>
      </c>
      <c r="E79" s="46"/>
      <c r="F79" s="46"/>
      <c r="G79" s="297"/>
      <c r="H79" s="46"/>
      <c r="I79" s="46">
        <v>0</v>
      </c>
      <c r="J79" s="46">
        <v>10000</v>
      </c>
      <c r="K79" s="46">
        <v>10000</v>
      </c>
      <c r="L79" s="46">
        <f t="shared" si="2"/>
        <v>0</v>
      </c>
      <c r="M79" s="300"/>
      <c r="N79" s="287"/>
      <c r="O79" s="288" t="e">
        <f>MATCH(B79,',42-02-59,42-02-16 מוסיקה'!$A$5:$A$28,0)</f>
        <v>#N/A</v>
      </c>
      <c r="P79" s="288">
        <f>MATCH(B79,',42-02-59,42-02-16 מוסיקה'!$A$32:$A$100,0)</f>
        <v>17</v>
      </c>
      <c r="Q79" s="288" t="e">
        <f>MATCH(B79,',42-02-59,42-02-16 מוסיקה'!$A$102:$A$107,0)</f>
        <v>#N/A</v>
      </c>
      <c r="R79" s="288"/>
      <c r="S79" s="289"/>
      <c r="T79" s="290"/>
      <c r="U79" s="183"/>
      <c r="V79" s="287"/>
      <c r="W79" s="287"/>
      <c r="X79" s="287"/>
      <c r="Y79" s="287"/>
      <c r="Z79" s="288"/>
      <c r="AA79" s="289"/>
      <c r="AB79" s="290"/>
      <c r="AC79" s="183"/>
      <c r="AD79" s="287"/>
      <c r="AE79" s="287"/>
      <c r="AF79" s="287"/>
      <c r="AG79" s="287"/>
      <c r="AH79" s="288"/>
      <c r="AI79" s="289"/>
      <c r="AJ79" s="290"/>
      <c r="AK79" s="183"/>
      <c r="AL79" s="287"/>
      <c r="AM79" s="287"/>
      <c r="AN79" s="287"/>
      <c r="AO79" s="287"/>
      <c r="AP79" s="288"/>
      <c r="AQ79" s="289"/>
      <c r="AR79" s="290"/>
      <c r="AS79" s="183"/>
      <c r="AT79" s="287"/>
      <c r="AU79" s="287"/>
      <c r="AV79" s="287"/>
      <c r="AW79" s="287"/>
      <c r="AX79" s="288"/>
      <c r="AY79" s="289"/>
      <c r="AZ79" s="290"/>
      <c r="BA79" s="183"/>
      <c r="BB79" s="287"/>
      <c r="BC79" s="287"/>
      <c r="BD79" s="287"/>
      <c r="BE79" s="287"/>
      <c r="BF79" s="288"/>
      <c r="BG79" s="289"/>
      <c r="BH79" s="290"/>
      <c r="BI79" s="183"/>
      <c r="BJ79" s="287"/>
      <c r="BK79" s="287"/>
      <c r="BL79" s="287"/>
      <c r="BM79" s="287"/>
      <c r="BN79" s="288"/>
      <c r="BO79" s="289"/>
      <c r="BP79" s="290"/>
      <c r="BQ79" s="183"/>
      <c r="BR79" s="287"/>
      <c r="BS79" s="287"/>
      <c r="BT79" s="287"/>
      <c r="BU79" s="287"/>
      <c r="BV79" s="288"/>
      <c r="BW79" s="289"/>
      <c r="BX79" s="290"/>
      <c r="BY79" s="183"/>
      <c r="BZ79" s="287"/>
      <c r="CA79" s="287"/>
      <c r="CB79" s="287"/>
      <c r="CC79" s="287"/>
      <c r="CD79" s="288"/>
      <c r="CE79" s="289"/>
      <c r="CF79" s="290"/>
      <c r="CG79" s="183"/>
      <c r="CH79" s="287"/>
      <c r="CI79" s="287"/>
      <c r="CJ79" s="287"/>
      <c r="CK79" s="287"/>
      <c r="CL79" s="288"/>
      <c r="CM79" s="289"/>
      <c r="CN79" s="290"/>
      <c r="CO79" s="183"/>
      <c r="CP79" s="287"/>
      <c r="CQ79" s="287"/>
      <c r="CR79" s="287"/>
      <c r="CS79" s="287"/>
      <c r="CT79" s="288"/>
      <c r="CU79" s="289"/>
      <c r="CV79" s="290"/>
      <c r="CW79" s="183"/>
      <c r="CX79" s="287"/>
      <c r="CY79" s="287"/>
      <c r="CZ79" s="287"/>
      <c r="DA79" s="287"/>
      <c r="DB79" s="288"/>
      <c r="DC79" s="289"/>
      <c r="DD79" s="290"/>
      <c r="DE79" s="183"/>
      <c r="DF79" s="287"/>
      <c r="DG79" s="287"/>
      <c r="DH79" s="287"/>
      <c r="DI79" s="287"/>
      <c r="DJ79" s="288"/>
      <c r="DK79" s="289"/>
      <c r="DL79" s="290"/>
      <c r="DM79" s="183"/>
      <c r="DN79" s="287"/>
      <c r="DO79" s="287"/>
      <c r="DP79" s="287"/>
      <c r="DQ79" s="287"/>
      <c r="DR79" s="288"/>
      <c r="DS79" s="289"/>
      <c r="DT79" s="290"/>
      <c r="DU79" s="183"/>
      <c r="DV79" s="287"/>
      <c r="DW79" s="287"/>
      <c r="DX79" s="287"/>
      <c r="DY79" s="287"/>
      <c r="DZ79" s="288"/>
      <c r="EA79" s="289"/>
      <c r="EB79" s="290"/>
      <c r="EC79" s="183"/>
      <c r="ED79" s="287"/>
      <c r="EE79" s="287"/>
      <c r="EF79" s="287"/>
      <c r="EG79" s="287"/>
      <c r="EH79" s="288"/>
      <c r="EI79" s="289"/>
      <c r="EJ79" s="290"/>
      <c r="EK79" s="183"/>
      <c r="EL79" s="287"/>
      <c r="EM79" s="287"/>
      <c r="EN79" s="287"/>
      <c r="EO79" s="287"/>
      <c r="EP79" s="288"/>
      <c r="EQ79" s="289"/>
      <c r="ER79" s="290"/>
      <c r="ES79" s="183"/>
      <c r="ET79" s="287"/>
      <c r="EU79" s="287"/>
      <c r="EV79" s="287"/>
      <c r="EW79" s="287"/>
      <c r="EX79" s="288"/>
      <c r="EY79" s="289"/>
      <c r="EZ79" s="290"/>
      <c r="FA79" s="183"/>
      <c r="FB79" s="287"/>
      <c r="FC79" s="287"/>
      <c r="FD79" s="287"/>
      <c r="FE79" s="287"/>
      <c r="FF79" s="288"/>
      <c r="FG79" s="289"/>
      <c r="FH79" s="290"/>
      <c r="FI79" s="183"/>
      <c r="FJ79" s="287"/>
      <c r="FK79" s="287"/>
      <c r="FL79" s="287"/>
      <c r="FM79" s="287"/>
      <c r="FN79" s="288"/>
      <c r="FO79" s="289"/>
      <c r="FP79" s="290"/>
      <c r="FQ79" s="183"/>
      <c r="FR79" s="287"/>
      <c r="FS79" s="287"/>
      <c r="FT79" s="287"/>
      <c r="FU79" s="287"/>
      <c r="FV79" s="288"/>
      <c r="FW79" s="289"/>
      <c r="FX79" s="290"/>
      <c r="FY79" s="183"/>
      <c r="FZ79" s="287"/>
      <c r="GA79" s="287"/>
      <c r="GB79" s="287"/>
      <c r="GC79" s="287"/>
      <c r="GD79" s="288"/>
      <c r="GE79" s="289"/>
      <c r="GF79" s="290"/>
      <c r="GG79" s="183"/>
      <c r="GH79" s="287"/>
      <c r="GI79" s="287"/>
      <c r="GJ79" s="287"/>
      <c r="GK79" s="287"/>
      <c r="GL79" s="288"/>
      <c r="GM79" s="289"/>
      <c r="GN79" s="290"/>
      <c r="GO79" s="183"/>
      <c r="GP79" s="287"/>
      <c r="GQ79" s="287"/>
      <c r="GR79" s="287"/>
      <c r="GS79" s="287"/>
      <c r="GT79" s="288"/>
      <c r="GU79" s="289"/>
      <c r="GV79" s="290"/>
      <c r="GW79" s="183"/>
      <c r="GX79" s="287"/>
      <c r="GY79" s="287"/>
      <c r="GZ79" s="287"/>
      <c r="HA79" s="287"/>
      <c r="HB79" s="288"/>
      <c r="HC79" s="289"/>
      <c r="HD79" s="290"/>
      <c r="HE79" s="183"/>
      <c r="HF79" s="287"/>
      <c r="HG79" s="287"/>
      <c r="HH79" s="287"/>
      <c r="HI79" s="287"/>
    </row>
    <row r="80" spans="1:217" s="62" customFormat="1" ht="39" customHeight="1" x14ac:dyDescent="0.2">
      <c r="A80" s="55" t="s">
        <v>861</v>
      </c>
      <c r="B80" s="50">
        <v>580327740</v>
      </c>
      <c r="C80" s="49">
        <v>1000545552</v>
      </c>
      <c r="D80" s="48">
        <v>40221541</v>
      </c>
      <c r="E80" s="46"/>
      <c r="F80" s="119"/>
      <c r="G80" s="297"/>
      <c r="H80" s="46"/>
      <c r="I80" s="46">
        <v>0</v>
      </c>
      <c r="J80" s="46">
        <v>12000</v>
      </c>
      <c r="K80" s="46">
        <v>12000</v>
      </c>
      <c r="L80" s="46">
        <f t="shared" si="2"/>
        <v>0</v>
      </c>
      <c r="M80" s="812"/>
      <c r="O80" s="288" t="e">
        <f>MATCH(B80,',42-02-59,42-02-16 מוסיקה'!$A$5:$A$28,0)</f>
        <v>#N/A</v>
      </c>
      <c r="P80" s="288">
        <f>MATCH(B80,',42-02-59,42-02-16 מוסיקה'!$A$32:$A$100,0)</f>
        <v>17</v>
      </c>
      <c r="Q80" s="288" t="e">
        <f>MATCH(B80,',42-02-59,42-02-16 מוסיקה'!$A$102:$A$107,0)</f>
        <v>#N/A</v>
      </c>
    </row>
    <row r="81" spans="1:17" s="62" customFormat="1" ht="42" customHeight="1" x14ac:dyDescent="0.2">
      <c r="A81" s="55" t="s">
        <v>870</v>
      </c>
      <c r="B81" s="50">
        <v>580327740</v>
      </c>
      <c r="C81" s="54">
        <v>1000541203</v>
      </c>
      <c r="D81" s="48">
        <v>40221541</v>
      </c>
      <c r="E81" s="46">
        <v>50000</v>
      </c>
      <c r="F81" s="101">
        <v>50000</v>
      </c>
      <c r="G81" s="46">
        <v>55977</v>
      </c>
      <c r="H81" s="46">
        <v>70000</v>
      </c>
      <c r="I81" s="46">
        <v>70000</v>
      </c>
      <c r="J81" s="46">
        <v>96000</v>
      </c>
      <c r="K81" s="46">
        <v>96000</v>
      </c>
      <c r="L81" s="46">
        <f t="shared" si="2"/>
        <v>0</v>
      </c>
      <c r="M81" s="129"/>
      <c r="O81" s="288" t="e">
        <f>MATCH(B81,',42-02-59,42-02-16 מוסיקה'!$A$5:$A$28,0)</f>
        <v>#N/A</v>
      </c>
      <c r="P81" s="288">
        <f>MATCH(B81,',42-02-59,42-02-16 מוסיקה'!$A$32:$A$100,0)</f>
        <v>17</v>
      </c>
      <c r="Q81" s="288" t="e">
        <f>MATCH(B81,',42-02-59,42-02-16 מוסיקה'!$A$102:$A$107,0)</f>
        <v>#N/A</v>
      </c>
    </row>
    <row r="82" spans="1:17" s="62" customFormat="1" ht="37.5" customHeight="1" x14ac:dyDescent="0.2">
      <c r="A82" s="55" t="s">
        <v>871</v>
      </c>
      <c r="B82" s="50">
        <v>580327740</v>
      </c>
      <c r="C82" s="49">
        <v>1000541076</v>
      </c>
      <c r="D82" s="48">
        <v>40221541</v>
      </c>
      <c r="E82" s="46">
        <v>23818</v>
      </c>
      <c r="F82" s="101">
        <v>25000</v>
      </c>
      <c r="G82" s="46">
        <v>23392</v>
      </c>
      <c r="H82" s="46">
        <v>23000</v>
      </c>
      <c r="I82" s="46">
        <v>28000</v>
      </c>
      <c r="J82" s="46">
        <v>40000</v>
      </c>
      <c r="K82" s="46">
        <v>40000</v>
      </c>
      <c r="L82" s="46">
        <f t="shared" si="2"/>
        <v>0</v>
      </c>
      <c r="M82" s="129"/>
      <c r="O82" s="288" t="e">
        <f>MATCH(B82,',42-02-59,42-02-16 מוסיקה'!$A$5:$A$28,0)</f>
        <v>#N/A</v>
      </c>
      <c r="P82" s="288">
        <f>MATCH(B82,',42-02-59,42-02-16 מוסיקה'!$A$32:$A$100,0)</f>
        <v>17</v>
      </c>
      <c r="Q82" s="288" t="e">
        <f>MATCH(B82,',42-02-59,42-02-16 מוסיקה'!$A$102:$A$107,0)</f>
        <v>#N/A</v>
      </c>
    </row>
    <row r="83" spans="1:17" s="62" customFormat="1" ht="35.25" customHeight="1" x14ac:dyDescent="0.2">
      <c r="A83" s="55" t="s">
        <v>872</v>
      </c>
      <c r="B83" s="50">
        <v>580327740</v>
      </c>
      <c r="C83" s="49">
        <v>1000541113</v>
      </c>
      <c r="D83" s="48">
        <v>40221541</v>
      </c>
      <c r="E83" s="46">
        <v>0</v>
      </c>
      <c r="F83" s="101">
        <v>0</v>
      </c>
      <c r="G83" s="119">
        <v>23392</v>
      </c>
      <c r="H83" s="46">
        <v>25000</v>
      </c>
      <c r="I83" s="46">
        <v>30000</v>
      </c>
      <c r="J83" s="46">
        <v>35000</v>
      </c>
      <c r="K83" s="46">
        <v>35000</v>
      </c>
      <c r="L83" s="46">
        <f t="shared" si="2"/>
        <v>0</v>
      </c>
      <c r="M83" s="129"/>
      <c r="O83" s="288" t="e">
        <f>MATCH(B83,',42-02-59,42-02-16 מוסיקה'!$A$5:$A$28,0)</f>
        <v>#N/A</v>
      </c>
      <c r="P83" s="288">
        <f>MATCH(B83,',42-02-59,42-02-16 מוסיקה'!$A$32:$A$100,0)</f>
        <v>17</v>
      </c>
      <c r="Q83" s="288" t="e">
        <f>MATCH(B83,',42-02-59,42-02-16 מוסיקה'!$A$102:$A$107,0)</f>
        <v>#N/A</v>
      </c>
    </row>
    <row r="84" spans="1:17" s="62" customFormat="1" ht="36" customHeight="1" x14ac:dyDescent="0.2">
      <c r="A84" s="55" t="s">
        <v>873</v>
      </c>
      <c r="B84" s="50">
        <v>580327740</v>
      </c>
      <c r="C84" s="54">
        <v>1000541181</v>
      </c>
      <c r="D84" s="48">
        <v>40221541</v>
      </c>
      <c r="E84" s="46"/>
      <c r="F84" s="101"/>
      <c r="G84" s="119"/>
      <c r="H84" s="46"/>
      <c r="I84" s="46">
        <v>0</v>
      </c>
      <c r="J84" s="46">
        <v>20000</v>
      </c>
      <c r="K84" s="46">
        <v>20000</v>
      </c>
      <c r="L84" s="46">
        <f t="shared" si="2"/>
        <v>0</v>
      </c>
      <c r="M84" s="81"/>
      <c r="O84" s="288" t="e">
        <f>MATCH(B84,',42-02-59,42-02-16 מוסיקה'!$A$5:$A$28,0)</f>
        <v>#N/A</v>
      </c>
      <c r="P84" s="288">
        <f>MATCH(B84,',42-02-59,42-02-16 מוסיקה'!$A$32:$A$100,0)</f>
        <v>17</v>
      </c>
      <c r="Q84" s="288" t="e">
        <f>MATCH(B84,',42-02-59,42-02-16 מוסיקה'!$A$102:$A$107,0)</f>
        <v>#N/A</v>
      </c>
    </row>
    <row r="85" spans="1:17" s="62" customFormat="1" ht="54" customHeight="1" x14ac:dyDescent="0.2">
      <c r="A85" s="55" t="s">
        <v>875</v>
      </c>
      <c r="B85" s="50">
        <v>580327740</v>
      </c>
      <c r="C85" s="54">
        <v>1000541048</v>
      </c>
      <c r="D85" s="48">
        <v>40221541</v>
      </c>
      <c r="E85" s="46">
        <v>100000</v>
      </c>
      <c r="F85" s="101">
        <v>125000</v>
      </c>
      <c r="G85" s="46">
        <v>84211</v>
      </c>
      <c r="H85" s="46">
        <v>100000</v>
      </c>
      <c r="I85" s="46">
        <v>100000</v>
      </c>
      <c r="J85" s="46">
        <v>100000</v>
      </c>
      <c r="K85" s="46">
        <v>100000</v>
      </c>
      <c r="L85" s="46">
        <f t="shared" si="2"/>
        <v>0</v>
      </c>
      <c r="M85" s="81"/>
      <c r="O85" s="288" t="e">
        <f>MATCH(B85,',42-02-59,42-02-16 מוסיקה'!$A$5:$A$28,0)</f>
        <v>#N/A</v>
      </c>
      <c r="P85" s="288">
        <f>MATCH(B85,',42-02-59,42-02-16 מוסיקה'!$A$32:$A$100,0)</f>
        <v>17</v>
      </c>
      <c r="Q85" s="288" t="e">
        <f>MATCH(B85,',42-02-59,42-02-16 מוסיקה'!$A$102:$A$107,0)</f>
        <v>#N/A</v>
      </c>
    </row>
    <row r="86" spans="1:17" s="62" customFormat="1" ht="45" customHeight="1" x14ac:dyDescent="0.2">
      <c r="A86" s="55" t="s">
        <v>876</v>
      </c>
      <c r="B86" s="50">
        <v>580327740</v>
      </c>
      <c r="C86" s="54">
        <v>1000541106</v>
      </c>
      <c r="D86" s="48">
        <v>40221541</v>
      </c>
      <c r="E86" s="46">
        <v>0</v>
      </c>
      <c r="F86" s="101">
        <v>0</v>
      </c>
      <c r="G86" s="46">
        <v>46784</v>
      </c>
      <c r="H86" s="46">
        <v>60000</v>
      </c>
      <c r="I86" s="46">
        <v>80000</v>
      </c>
      <c r="J86" s="46">
        <v>90000</v>
      </c>
      <c r="K86" s="46">
        <v>90000</v>
      </c>
      <c r="L86" s="46">
        <f t="shared" si="2"/>
        <v>0</v>
      </c>
      <c r="M86" s="81"/>
      <c r="O86" s="288" t="e">
        <f>MATCH(B86,',42-02-59,42-02-16 מוסיקה'!$A$5:$A$28,0)</f>
        <v>#N/A</v>
      </c>
      <c r="P86" s="288">
        <f>MATCH(B86,',42-02-59,42-02-16 מוסיקה'!$A$32:$A$100,0)</f>
        <v>17</v>
      </c>
      <c r="Q86" s="288" t="e">
        <f>MATCH(B86,',42-02-59,42-02-16 מוסיקה'!$A$102:$A$107,0)</f>
        <v>#N/A</v>
      </c>
    </row>
    <row r="87" spans="1:17" s="62" customFormat="1" ht="42.75" customHeight="1" x14ac:dyDescent="0.2">
      <c r="A87" s="55" t="s">
        <v>877</v>
      </c>
      <c r="B87" s="50">
        <v>580327740</v>
      </c>
      <c r="C87" s="49">
        <v>1000541069</v>
      </c>
      <c r="D87" s="48">
        <v>40221541</v>
      </c>
      <c r="E87" s="46">
        <v>0</v>
      </c>
      <c r="F87" s="101">
        <v>0</v>
      </c>
      <c r="G87" s="46">
        <v>0</v>
      </c>
      <c r="H87" s="46">
        <v>12000</v>
      </c>
      <c r="I87" s="46">
        <v>12000</v>
      </c>
      <c r="J87" s="46">
        <v>19257</v>
      </c>
      <c r="K87" s="46">
        <v>19257</v>
      </c>
      <c r="L87" s="46">
        <f t="shared" si="2"/>
        <v>0</v>
      </c>
      <c r="M87" s="129"/>
      <c r="O87" s="288" t="e">
        <f>MATCH(B87,',42-02-59,42-02-16 מוסיקה'!$A$5:$A$28,0)</f>
        <v>#N/A</v>
      </c>
      <c r="P87" s="288">
        <f>MATCH(B87,',42-02-59,42-02-16 מוסיקה'!$A$32:$A$100,0)</f>
        <v>17</v>
      </c>
      <c r="Q87" s="288" t="e">
        <f>MATCH(B87,',42-02-59,42-02-16 מוסיקה'!$A$102:$A$107,0)</f>
        <v>#N/A</v>
      </c>
    </row>
    <row r="88" spans="1:17" s="62" customFormat="1" ht="39" customHeight="1" x14ac:dyDescent="0.2">
      <c r="A88" s="51" t="s">
        <v>869</v>
      </c>
      <c r="B88" s="50">
        <v>580352490</v>
      </c>
      <c r="C88" s="49">
        <v>1000553063</v>
      </c>
      <c r="D88" s="48">
        <v>40000242</v>
      </c>
      <c r="E88" s="46">
        <v>28581</v>
      </c>
      <c r="F88" s="101">
        <v>25000</v>
      </c>
      <c r="G88" s="46">
        <v>18714</v>
      </c>
      <c r="H88" s="46">
        <v>20000</v>
      </c>
      <c r="I88" s="46">
        <v>20000</v>
      </c>
      <c r="J88" s="46">
        <v>11309</v>
      </c>
      <c r="K88" s="46">
        <v>11309</v>
      </c>
      <c r="L88" s="46">
        <f t="shared" si="2"/>
        <v>0</v>
      </c>
      <c r="M88" s="88"/>
      <c r="O88" s="288" t="e">
        <f>MATCH(B88,',42-02-59,42-02-16 מוסיקה'!$A$5:$A$28,0)</f>
        <v>#N/A</v>
      </c>
      <c r="P88" s="288">
        <f>MATCH(B88,',42-02-59,42-02-16 מוסיקה'!$A$32:$A$100,0)</f>
        <v>24</v>
      </c>
      <c r="Q88" s="288" t="e">
        <f>MATCH(B88,',42-02-59,42-02-16 מוסיקה'!$A$102:$A$107,0)</f>
        <v>#N/A</v>
      </c>
    </row>
    <row r="89" spans="1:17" s="62" customFormat="1" ht="43.5" customHeight="1" x14ac:dyDescent="0.2">
      <c r="A89" s="55" t="s">
        <v>817</v>
      </c>
      <c r="B89" s="50">
        <v>580362804</v>
      </c>
      <c r="C89" s="49">
        <v>1000532732</v>
      </c>
      <c r="D89" s="48">
        <v>40000709</v>
      </c>
      <c r="E89" s="46">
        <v>330000</v>
      </c>
      <c r="F89" s="46">
        <v>370000</v>
      </c>
      <c r="G89" s="46">
        <v>327486</v>
      </c>
      <c r="H89" s="46">
        <v>460000</v>
      </c>
      <c r="I89" s="46">
        <v>520040</v>
      </c>
      <c r="J89" s="46">
        <v>570000</v>
      </c>
      <c r="K89" s="46">
        <v>570000</v>
      </c>
      <c r="L89" s="46">
        <f t="shared" si="2"/>
        <v>0</v>
      </c>
      <c r="M89" s="88"/>
      <c r="O89" s="288" t="e">
        <f>MATCH(B89,',42-02-59,42-02-16 מוסיקה'!$A$5:$A$28,0)</f>
        <v>#N/A</v>
      </c>
      <c r="P89" s="288">
        <f>MATCH(B89,',42-02-59,42-02-16 מוסיקה'!$A$32:$A$100,0)</f>
        <v>23</v>
      </c>
      <c r="Q89" s="288" t="e">
        <f>MATCH(B89,',42-02-59,42-02-16 מוסיקה'!$A$102:$A$107,0)</f>
        <v>#N/A</v>
      </c>
    </row>
    <row r="90" spans="1:17" s="62" customFormat="1" ht="27.95" customHeight="1" x14ac:dyDescent="0.2">
      <c r="A90" s="55" t="s">
        <v>776</v>
      </c>
      <c r="B90" s="50">
        <v>580363364</v>
      </c>
      <c r="C90" s="54">
        <v>1000542487</v>
      </c>
      <c r="D90" s="48">
        <v>40216077</v>
      </c>
      <c r="E90" s="46">
        <v>66000</v>
      </c>
      <c r="F90" s="101">
        <v>125000</v>
      </c>
      <c r="G90" s="46">
        <v>84211</v>
      </c>
      <c r="H90" s="46">
        <v>80000</v>
      </c>
      <c r="I90" s="46">
        <v>80000</v>
      </c>
      <c r="J90" s="46">
        <v>80000</v>
      </c>
      <c r="K90" s="46">
        <v>80000</v>
      </c>
      <c r="L90" s="46">
        <f t="shared" si="2"/>
        <v>0</v>
      </c>
      <c r="M90" s="81"/>
      <c r="O90" s="288" t="e">
        <f>MATCH(B90,',42-02-59,42-02-16 מוסיקה'!$A$5:$A$28,0)</f>
        <v>#N/A</v>
      </c>
      <c r="P90" s="288">
        <f>MATCH(B90,',42-02-59,42-02-16 מוסיקה'!$A$32:$A$100,0)</f>
        <v>32</v>
      </c>
      <c r="Q90" s="288" t="e">
        <f>MATCH(B90,',42-02-59,42-02-16 מוסיקה'!$A$102:$A$107,0)</f>
        <v>#N/A</v>
      </c>
    </row>
    <row r="91" spans="1:17" s="62" customFormat="1" ht="54" customHeight="1" x14ac:dyDescent="0.2">
      <c r="A91" s="55" t="s">
        <v>808</v>
      </c>
      <c r="B91" s="50">
        <v>580383990</v>
      </c>
      <c r="C91" s="49">
        <v>1000542984</v>
      </c>
      <c r="D91" s="48">
        <v>40216097</v>
      </c>
      <c r="E91" s="46">
        <v>184520</v>
      </c>
      <c r="F91" s="46">
        <v>231851</v>
      </c>
      <c r="G91" s="46">
        <v>220406</v>
      </c>
      <c r="H91" s="46">
        <v>237937</v>
      </c>
      <c r="I91" s="46">
        <v>262006</v>
      </c>
      <c r="J91" s="46">
        <v>300955</v>
      </c>
      <c r="K91" s="46">
        <v>300955</v>
      </c>
      <c r="L91" s="46">
        <f t="shared" si="2"/>
        <v>0</v>
      </c>
      <c r="M91" s="55"/>
      <c r="O91" s="288">
        <f>MATCH(B91,',42-02-59,42-02-16 מוסיקה'!$A$5:$A$28,0)</f>
        <v>24</v>
      </c>
      <c r="P91" s="288" t="e">
        <f>MATCH(B91,',42-02-59,42-02-16 מוסיקה'!$A$32:$A$100,0)</f>
        <v>#N/A</v>
      </c>
      <c r="Q91" s="288" t="e">
        <f>MATCH(B91,',42-02-59,42-02-16 מוסיקה'!$A$102:$A$107,0)</f>
        <v>#N/A</v>
      </c>
    </row>
    <row r="92" spans="1:17" s="62" customFormat="1" ht="43.5" customHeight="1" x14ac:dyDescent="0.2">
      <c r="A92" s="55" t="s">
        <v>866</v>
      </c>
      <c r="B92" s="50">
        <v>580431245</v>
      </c>
      <c r="C92" s="54">
        <v>1000545194</v>
      </c>
      <c r="D92" s="48">
        <v>40228523</v>
      </c>
      <c r="E92" s="46">
        <v>0</v>
      </c>
      <c r="F92" s="101">
        <v>50000</v>
      </c>
      <c r="G92" s="119">
        <v>55516</v>
      </c>
      <c r="H92" s="46">
        <v>50000</v>
      </c>
      <c r="I92" s="46">
        <v>50000</v>
      </c>
      <c r="J92" s="46">
        <v>50000</v>
      </c>
      <c r="K92" s="46">
        <v>50000</v>
      </c>
      <c r="L92" s="46">
        <f t="shared" si="2"/>
        <v>0</v>
      </c>
      <c r="M92" s="81"/>
      <c r="O92" s="288" t="e">
        <f>MATCH(B92,',42-02-59,42-02-16 מוסיקה'!$A$5:$A$28,0)</f>
        <v>#N/A</v>
      </c>
      <c r="P92" s="288">
        <f>MATCH(B92,',42-02-59,42-02-16 מוסיקה'!$A$32:$A$100,0)</f>
        <v>30</v>
      </c>
      <c r="Q92" s="288" t="e">
        <f>MATCH(B92,',42-02-59,42-02-16 מוסיקה'!$A$102:$A$107,0)</f>
        <v>#N/A</v>
      </c>
    </row>
    <row r="93" spans="1:17" s="62" customFormat="1" ht="43.5" customHeight="1" x14ac:dyDescent="0.2">
      <c r="A93" s="55" t="s">
        <v>867</v>
      </c>
      <c r="B93" s="50">
        <v>580431245</v>
      </c>
      <c r="C93" s="54">
        <v>1000542731</v>
      </c>
      <c r="D93" s="48">
        <v>40228523</v>
      </c>
      <c r="E93" s="46">
        <v>9456</v>
      </c>
      <c r="F93" s="101">
        <v>20000</v>
      </c>
      <c r="G93" s="46">
        <v>18714</v>
      </c>
      <c r="H93" s="46">
        <v>50000</v>
      </c>
      <c r="I93" s="46">
        <v>50000</v>
      </c>
      <c r="J93" s="46">
        <v>50000</v>
      </c>
      <c r="K93" s="46">
        <v>50000</v>
      </c>
      <c r="L93" s="46">
        <f t="shared" si="2"/>
        <v>0</v>
      </c>
      <c r="M93" s="81"/>
      <c r="O93" s="288" t="e">
        <f>MATCH(B93,',42-02-59,42-02-16 מוסיקה'!$A$5:$A$28,0)</f>
        <v>#N/A</v>
      </c>
      <c r="P93" s="288">
        <f>MATCH(B93,',42-02-59,42-02-16 מוסיקה'!$A$32:$A$100,0)</f>
        <v>30</v>
      </c>
      <c r="Q93" s="288" t="e">
        <f>MATCH(B93,',42-02-59,42-02-16 מוסיקה'!$A$102:$A$107,0)</f>
        <v>#N/A</v>
      </c>
    </row>
    <row r="94" spans="1:17" s="62" customFormat="1" ht="35.25" customHeight="1" x14ac:dyDescent="0.2">
      <c r="A94" s="55" t="s">
        <v>807</v>
      </c>
      <c r="B94" s="50">
        <v>580474906</v>
      </c>
      <c r="C94" s="49">
        <v>1000539946</v>
      </c>
      <c r="D94" s="48">
        <v>40374797</v>
      </c>
      <c r="E94" s="46">
        <v>23818</v>
      </c>
      <c r="F94" s="101">
        <v>175000</v>
      </c>
      <c r="G94" s="46">
        <v>230625</v>
      </c>
      <c r="H94" s="46">
        <v>232208</v>
      </c>
      <c r="I94" s="46">
        <v>221271</v>
      </c>
      <c r="J94" s="46">
        <v>221291</v>
      </c>
      <c r="K94" s="46">
        <v>221291</v>
      </c>
      <c r="L94" s="46">
        <f t="shared" si="2"/>
        <v>0</v>
      </c>
      <c r="M94" s="81"/>
      <c r="O94" s="288">
        <f>MATCH(B94,',42-02-59,42-02-16 מוסיקה'!$A$5:$A$28,0)</f>
        <v>18</v>
      </c>
      <c r="P94" s="288" t="e">
        <f>MATCH(B94,',42-02-59,42-02-16 מוסיקה'!$A$32:$A$100,0)</f>
        <v>#N/A</v>
      </c>
      <c r="Q94" s="288" t="e">
        <f>MATCH(B94,',42-02-59,42-02-16 מוסיקה'!$A$102:$A$107,0)</f>
        <v>#N/A</v>
      </c>
    </row>
    <row r="95" spans="1:17" s="62" customFormat="1" ht="27.75" customHeight="1" x14ac:dyDescent="0.2">
      <c r="A95" s="55" t="s">
        <v>835</v>
      </c>
      <c r="B95" s="50">
        <v>580489847</v>
      </c>
      <c r="C95" s="49">
        <v>1000545425</v>
      </c>
      <c r="D95" s="48">
        <v>40467070</v>
      </c>
      <c r="E95" s="46">
        <v>150000</v>
      </c>
      <c r="F95" s="46">
        <v>160000</v>
      </c>
      <c r="G95" s="46">
        <v>140351</v>
      </c>
      <c r="H95" s="46">
        <v>100000</v>
      </c>
      <c r="I95" s="46">
        <v>80000</v>
      </c>
      <c r="J95" s="46">
        <v>92398</v>
      </c>
      <c r="K95" s="46">
        <v>92398</v>
      </c>
      <c r="L95" s="46">
        <f t="shared" si="2"/>
        <v>0</v>
      </c>
      <c r="M95" s="79"/>
      <c r="O95" s="288" t="e">
        <f>MATCH(B95,',42-02-59,42-02-16 מוסיקה'!$A$5:$A$28,0)</f>
        <v>#N/A</v>
      </c>
      <c r="P95" s="288">
        <f>MATCH(B95,',42-02-59,42-02-16 מוסיקה'!$A$32:$A$100,0)</f>
        <v>33</v>
      </c>
      <c r="Q95" s="288" t="e">
        <f>MATCH(B95,',42-02-59,42-02-16 מוסיקה'!$A$102:$A$107,0)</f>
        <v>#N/A</v>
      </c>
    </row>
    <row r="96" spans="1:17" s="62" customFormat="1" ht="46.5" customHeight="1" x14ac:dyDescent="0.2">
      <c r="A96" s="55" t="s">
        <v>833</v>
      </c>
      <c r="B96" s="50">
        <v>580496719</v>
      </c>
      <c r="C96" s="49">
        <v>1000538380</v>
      </c>
      <c r="D96" s="48">
        <v>40384701</v>
      </c>
      <c r="E96" s="46">
        <v>0</v>
      </c>
      <c r="F96" s="46">
        <v>0</v>
      </c>
      <c r="G96" s="46">
        <v>34048</v>
      </c>
      <c r="H96" s="46">
        <v>40000</v>
      </c>
      <c r="I96" s="46">
        <v>130000</v>
      </c>
      <c r="J96" s="46">
        <v>160302</v>
      </c>
      <c r="K96" s="46">
        <v>160302</v>
      </c>
      <c r="L96" s="46">
        <f t="shared" si="2"/>
        <v>0</v>
      </c>
      <c r="M96" s="254"/>
      <c r="O96" s="288">
        <f>MATCH(B96,',42-02-59,42-02-16 מוסיקה'!$A$5:$A$28,0)</f>
        <v>20</v>
      </c>
      <c r="P96" s="288" t="e">
        <f>MATCH(B96,',42-02-59,42-02-16 מוסיקה'!$A$32:$A$100,0)</f>
        <v>#N/A</v>
      </c>
      <c r="Q96" s="288" t="e">
        <f>MATCH(B96,',42-02-59,42-02-16 מוסיקה'!$A$102:$A$107,0)</f>
        <v>#N/A</v>
      </c>
    </row>
    <row r="97" spans="1:17" s="62" customFormat="1" ht="45" customHeight="1" x14ac:dyDescent="0.2">
      <c r="A97" s="51" t="s">
        <v>801</v>
      </c>
      <c r="B97" s="105">
        <v>580503605</v>
      </c>
      <c r="C97" s="49">
        <v>1000541994</v>
      </c>
      <c r="D97" s="48">
        <v>40821399</v>
      </c>
      <c r="E97" s="46">
        <v>2336671</v>
      </c>
      <c r="F97" s="46">
        <v>2461432</v>
      </c>
      <c r="G97" s="46">
        <v>2360260</v>
      </c>
      <c r="H97" s="46">
        <v>2264632</v>
      </c>
      <c r="I97" s="46">
        <v>2402024</v>
      </c>
      <c r="J97" s="46">
        <v>2557213</v>
      </c>
      <c r="K97" s="46">
        <v>2557213</v>
      </c>
      <c r="L97" s="46">
        <f t="shared" si="2"/>
        <v>0</v>
      </c>
      <c r="M97" s="248"/>
      <c r="O97" s="288">
        <f>MATCH(B97,',42-02-59,42-02-16 מוסיקה'!$A$5:$A$28,0)</f>
        <v>6</v>
      </c>
      <c r="P97" s="288" t="e">
        <f>MATCH(B97,',42-02-59,42-02-16 מוסיקה'!$A$32:$A$100,0)</f>
        <v>#N/A</v>
      </c>
      <c r="Q97" s="288" t="e">
        <f>MATCH(B97,',42-02-59,42-02-16 מוסיקה'!$A$102:$A$107,0)</f>
        <v>#N/A</v>
      </c>
    </row>
    <row r="98" spans="1:17" s="62" customFormat="1" ht="51.75" customHeight="1" x14ac:dyDescent="0.2">
      <c r="A98" s="55" t="s">
        <v>823</v>
      </c>
      <c r="B98" s="50">
        <v>580509024</v>
      </c>
      <c r="C98" s="49">
        <v>1000542702</v>
      </c>
      <c r="D98" s="48">
        <v>40527700</v>
      </c>
      <c r="E98" s="46">
        <v>0</v>
      </c>
      <c r="F98" s="382">
        <v>0</v>
      </c>
      <c r="G98" s="119">
        <v>0</v>
      </c>
      <c r="H98" s="46">
        <v>15000</v>
      </c>
      <c r="I98" s="46">
        <v>50000</v>
      </c>
      <c r="J98" s="46">
        <v>100000</v>
      </c>
      <c r="K98" s="46">
        <v>100000</v>
      </c>
      <c r="L98" s="46">
        <f t="shared" ref="L98:L99" si="3">J98-K98</f>
        <v>0</v>
      </c>
      <c r="M98" s="81"/>
      <c r="O98" s="288" t="e">
        <f>MATCH(B98,',42-02-59,42-02-16 מוסיקה'!$A$5:$A$28,0)</f>
        <v>#N/A</v>
      </c>
      <c r="P98" s="288">
        <f>MATCH(B98,',42-02-59,42-02-16 מוסיקה'!$A$32:$A$100,0)</f>
        <v>34</v>
      </c>
      <c r="Q98" s="288" t="e">
        <f>MATCH(B98,',42-02-59,42-02-16 מוסיקה'!$A$102:$A$107,0)</f>
        <v>#N/A</v>
      </c>
    </row>
    <row r="99" spans="1:17" s="62" customFormat="1" ht="51.75" customHeight="1" x14ac:dyDescent="0.2">
      <c r="A99" s="55" t="s">
        <v>878</v>
      </c>
      <c r="B99" s="50">
        <v>580515815</v>
      </c>
      <c r="C99" s="49">
        <v>1000545866</v>
      </c>
      <c r="D99" s="48">
        <v>40984631</v>
      </c>
      <c r="E99" s="46"/>
      <c r="F99" s="119"/>
      <c r="G99" s="119"/>
      <c r="H99" s="46"/>
      <c r="I99" s="46">
        <v>0</v>
      </c>
      <c r="J99" s="46">
        <v>20000</v>
      </c>
      <c r="K99" s="46">
        <v>20000</v>
      </c>
      <c r="L99" s="46">
        <f t="shared" si="3"/>
        <v>0</v>
      </c>
      <c r="M99" s="393"/>
      <c r="O99" s="288" t="e">
        <f>MATCH(B99,',42-02-59,42-02-16 מוסיקה'!$A$5:$A$28,0)</f>
        <v>#N/A</v>
      </c>
      <c r="P99" s="288">
        <f>MATCH(B99,',42-02-59,42-02-16 מוסיקה'!$A$32:$A$100,0)</f>
        <v>37</v>
      </c>
      <c r="Q99" s="288" t="e">
        <f>MATCH(B99,',42-02-59,42-02-16 מוסיקה'!$A$102:$A$107,0)</f>
        <v>#N/A</v>
      </c>
    </row>
    <row r="100" spans="1:17" s="62" customFormat="1" ht="51.75" customHeight="1" x14ac:dyDescent="0.2">
      <c r="A100" s="65" t="s">
        <v>790</v>
      </c>
      <c r="B100" s="797"/>
      <c r="C100" s="797"/>
      <c r="D100" s="797"/>
      <c r="E100" s="797"/>
      <c r="F100" s="803"/>
      <c r="G100" s="803"/>
      <c r="H100" s="797"/>
      <c r="I100" s="797"/>
      <c r="J100" s="797"/>
      <c r="K100" s="797"/>
      <c r="L100" s="797"/>
      <c r="M100" s="809"/>
      <c r="O100" s="288" t="e">
        <f>MATCH(B100,',42-02-59,42-02-16 מוסיקה'!$A$5:$A$28,0)</f>
        <v>#N/A</v>
      </c>
      <c r="P100" s="288" t="e">
        <f>MATCH(B100,',42-02-59,42-02-16 מוסיקה'!$A$32:$A$100,0)</f>
        <v>#N/A</v>
      </c>
      <c r="Q100" s="288" t="e">
        <f>MATCH(B100,',42-02-59,42-02-16 מוסיקה'!$A$102:$A$107,0)</f>
        <v>#N/A</v>
      </c>
    </row>
    <row r="101" spans="1:17" x14ac:dyDescent="0.2">
      <c r="J101" s="395">
        <f>SUM(J2:J100)</f>
        <v>51100805</v>
      </c>
    </row>
  </sheetData>
  <sortState ref="A2:M101">
    <sortCondition ref="B24"/>
  </sortState>
  <conditionalFormatting sqref="O3:Q100">
    <cfRule type="containsErrors" dxfId="10" priority="1">
      <formula>ISERROR(O3)</formula>
    </cfRule>
  </conditionalFormatting>
  <pageMargins left="0.11811023622047245" right="0.15748031496062992" top="0.47244094488188981" bottom="0.47244094488188981" header="0.15748031496062992" footer="0.19685039370078741"/>
  <pageSetup paperSize="9" scale="80" orientation="landscape" r:id="rId1"/>
  <headerFooter alignWithMargins="0">
    <oddHeader>&amp;C&amp;"Guttman Yad-Brush,רגיל"&amp;14תקנת מוסיקה - 42-02-16</oddHeader>
    <oddFooter>&amp;L&amp;D&amp;C&amp;P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A1:CH114"/>
  <sheetViews>
    <sheetView rightToLeft="1" zoomScale="80" zoomScaleNormal="80" zoomScaleSheetLayoutView="100" workbookViewId="0">
      <pane ySplit="1" topLeftCell="A2" activePane="bottomLeft" state="frozen"/>
      <selection pane="bottomLeft" activeCell="B6" sqref="B6"/>
    </sheetView>
  </sheetViews>
  <sheetFormatPr defaultColWidth="0.7109375" defaultRowHeight="12.75" x14ac:dyDescent="0.2"/>
  <cols>
    <col min="1" max="1" width="24.28515625" style="41" customWidth="1"/>
    <col min="2" max="2" width="10.85546875" style="41" bestFit="1" customWidth="1"/>
    <col min="3" max="3" width="13.5703125" style="423" customWidth="1"/>
    <col min="4" max="4" width="10.42578125" style="41" customWidth="1"/>
    <col min="5" max="5" width="11.85546875" style="41" hidden="1" customWidth="1"/>
    <col min="6" max="6" width="13.140625" style="41" hidden="1" customWidth="1"/>
    <col min="7" max="7" width="12.85546875" style="117" hidden="1" customWidth="1"/>
    <col min="8" max="8" width="13.7109375" style="117" hidden="1" customWidth="1"/>
    <col min="9" max="9" width="11.85546875" style="117" hidden="1" customWidth="1"/>
    <col min="10" max="10" width="21" style="117" customWidth="1"/>
    <col min="11" max="12" width="13" style="117" customWidth="1"/>
    <col min="13" max="13" width="37" style="115" customWidth="1"/>
    <col min="14" max="46" width="10" style="42" customWidth="1"/>
    <col min="47" max="69" width="0.7109375" style="42"/>
    <col min="70" max="16384" width="0.7109375" style="41"/>
  </cols>
  <sheetData>
    <row r="1" spans="1:86" s="99" customFormat="1" ht="41.25" customHeight="1" x14ac:dyDescent="0.2">
      <c r="A1" s="103" t="s">
        <v>273</v>
      </c>
      <c r="B1" s="103" t="s">
        <v>272</v>
      </c>
      <c r="C1" s="142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</row>
    <row r="2" spans="1:86" s="94" customFormat="1" ht="30" customHeight="1" x14ac:dyDescent="0.2">
      <c r="A2" s="145" t="s">
        <v>952</v>
      </c>
      <c r="B2" s="144"/>
      <c r="C2" s="411"/>
      <c r="D2" s="144"/>
      <c r="E2" s="243"/>
      <c r="F2" s="243"/>
      <c r="G2" s="153"/>
      <c r="H2" s="153"/>
      <c r="I2" s="153"/>
      <c r="J2" s="153"/>
      <c r="K2" s="144"/>
      <c r="L2" s="144"/>
      <c r="M2" s="181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</row>
    <row r="3" spans="1:86" s="62" customFormat="1" ht="35.25" customHeight="1" x14ac:dyDescent="0.2">
      <c r="A3" s="51" t="s">
        <v>953</v>
      </c>
      <c r="B3" s="105">
        <v>510697501</v>
      </c>
      <c r="C3" s="130">
        <v>1000536000</v>
      </c>
      <c r="D3" s="48">
        <v>40000023</v>
      </c>
      <c r="E3" s="46">
        <v>226949</v>
      </c>
      <c r="F3" s="46">
        <v>210479</v>
      </c>
      <c r="G3" s="46">
        <v>216974</v>
      </c>
      <c r="H3" s="119">
        <v>191881</v>
      </c>
      <c r="I3" s="46">
        <v>227833</v>
      </c>
      <c r="J3" s="46">
        <v>234183</v>
      </c>
      <c r="K3" s="46">
        <v>114282</v>
      </c>
      <c r="L3" s="74">
        <f>J3-K3</f>
        <v>119901</v>
      </c>
      <c r="M3" s="78" t="s">
        <v>166</v>
      </c>
      <c r="O3" s="288">
        <f>MATCH(B3,'42-02-18 מוזיאונים'!$A$5:$A$46,0)</f>
        <v>19</v>
      </c>
      <c r="P3" s="288" t="e">
        <f>MATCH(B3,'42-02-18 מוזיאונים'!$A$52:$A$58,0)</f>
        <v>#N/A</v>
      </c>
    </row>
    <row r="4" spans="1:86" s="62" customFormat="1" ht="32.25" customHeight="1" x14ac:dyDescent="0.2">
      <c r="A4" s="51" t="s">
        <v>954</v>
      </c>
      <c r="B4" s="105">
        <v>510697501</v>
      </c>
      <c r="C4" s="49">
        <v>1000583403</v>
      </c>
      <c r="D4" s="48">
        <v>40000023</v>
      </c>
      <c r="E4" s="46"/>
      <c r="F4" s="46"/>
      <c r="G4" s="46"/>
      <c r="H4" s="46"/>
      <c r="I4" s="46">
        <v>0</v>
      </c>
      <c r="J4" s="46">
        <v>11513</v>
      </c>
      <c r="K4" s="53">
        <v>0</v>
      </c>
      <c r="L4" s="74">
        <f>J4-K4</f>
        <v>11513</v>
      </c>
      <c r="M4" s="78" t="s">
        <v>166</v>
      </c>
      <c r="O4" s="288">
        <f>MATCH(B4,'42-02-18 מוזיאונים'!$A$5:$A$46,0)</f>
        <v>19</v>
      </c>
      <c r="P4" s="288" t="e">
        <f>MATCH(B4,'42-02-18 מוזיאונים'!$A$52:$A$58,0)</f>
        <v>#N/A</v>
      </c>
    </row>
    <row r="5" spans="1:86" s="62" customFormat="1" ht="39" customHeight="1" x14ac:dyDescent="0.2">
      <c r="A5" s="51" t="s">
        <v>955</v>
      </c>
      <c r="B5" s="50">
        <v>511757114</v>
      </c>
      <c r="C5" s="49">
        <v>1000583288</v>
      </c>
      <c r="D5" s="48">
        <v>40000291</v>
      </c>
      <c r="E5" s="46">
        <v>0</v>
      </c>
      <c r="F5" s="46">
        <v>0</v>
      </c>
      <c r="G5" s="46">
        <v>0</v>
      </c>
      <c r="H5" s="46">
        <v>23810</v>
      </c>
      <c r="I5" s="46">
        <v>12075</v>
      </c>
      <c r="J5" s="46">
        <v>41438</v>
      </c>
      <c r="K5" s="53">
        <v>0</v>
      </c>
      <c r="L5" s="74">
        <f>J5-K5</f>
        <v>41438</v>
      </c>
      <c r="M5" s="245" t="s">
        <v>956</v>
      </c>
      <c r="O5" s="288">
        <f>MATCH(B5,'42-02-18 מוזיאונים'!$A$5:$A$46,0)</f>
        <v>39</v>
      </c>
      <c r="P5" s="288" t="e">
        <f>MATCH(B5,'42-02-18 מוזיאונים'!$A$52:$A$58,0)</f>
        <v>#N/A</v>
      </c>
    </row>
    <row r="6" spans="1:86" s="62" customFormat="1" ht="32.25" customHeight="1" x14ac:dyDescent="0.2">
      <c r="A6" s="51" t="s">
        <v>957</v>
      </c>
      <c r="B6" s="105">
        <v>580446128</v>
      </c>
      <c r="C6" s="54">
        <v>1000583520</v>
      </c>
      <c r="D6" s="48">
        <v>40268014</v>
      </c>
      <c r="E6" s="46">
        <v>0</v>
      </c>
      <c r="F6" s="46">
        <v>0</v>
      </c>
      <c r="G6" s="46">
        <v>0</v>
      </c>
      <c r="H6" s="119">
        <v>0</v>
      </c>
      <c r="I6" s="46">
        <v>15000</v>
      </c>
      <c r="J6" s="46">
        <v>20813</v>
      </c>
      <c r="K6" s="53">
        <v>0</v>
      </c>
      <c r="L6" s="74">
        <f>J6-K6</f>
        <v>20813</v>
      </c>
      <c r="M6" s="87" t="s">
        <v>186</v>
      </c>
      <c r="O6" s="288">
        <f>MATCH(B6,'42-02-18 מוזיאונים'!$A$5:$A$46,0)</f>
        <v>31</v>
      </c>
      <c r="P6" s="288" t="e">
        <f>MATCH(B6,'42-02-18 מוזיאונים'!$A$52:$A$58,0)</f>
        <v>#N/A</v>
      </c>
    </row>
    <row r="7" spans="1:86" s="62" customFormat="1" ht="46.5" customHeight="1" x14ac:dyDescent="0.2">
      <c r="A7" s="51" t="s">
        <v>958</v>
      </c>
      <c r="B7" s="105">
        <v>580002780</v>
      </c>
      <c r="C7" s="130">
        <v>1000542576</v>
      </c>
      <c r="D7" s="48">
        <v>40000049</v>
      </c>
      <c r="E7" s="46">
        <v>0</v>
      </c>
      <c r="F7" s="46">
        <v>0</v>
      </c>
      <c r="G7" s="46">
        <v>0</v>
      </c>
      <c r="H7" s="119">
        <v>104253</v>
      </c>
      <c r="I7" s="46">
        <v>200000</v>
      </c>
      <c r="J7" s="46">
        <v>300000</v>
      </c>
      <c r="K7" s="46">
        <v>300000</v>
      </c>
      <c r="L7" s="46">
        <f t="shared" ref="L7:L70" si="0">J7-K7</f>
        <v>0</v>
      </c>
      <c r="M7" s="125"/>
      <c r="O7" s="288">
        <f>MATCH(B7,'42-02-18 מוזיאונים'!$A$5:$A$46,0)</f>
        <v>41</v>
      </c>
      <c r="P7" s="288" t="e">
        <f>MATCH(B7,'42-02-18 מוזיאונים'!$A$52:$A$58,0)</f>
        <v>#N/A</v>
      </c>
    </row>
    <row r="8" spans="1:86" s="62" customFormat="1" ht="48.75" customHeight="1" x14ac:dyDescent="0.2">
      <c r="A8" s="51" t="s">
        <v>959</v>
      </c>
      <c r="B8" s="105">
        <v>580016731</v>
      </c>
      <c r="C8" s="130">
        <v>1000531207</v>
      </c>
      <c r="D8" s="48">
        <v>40000345</v>
      </c>
      <c r="E8" s="46">
        <v>697187</v>
      </c>
      <c r="F8" s="46">
        <v>748982</v>
      </c>
      <c r="G8" s="46">
        <v>858190</v>
      </c>
      <c r="H8" s="119">
        <v>961528</v>
      </c>
      <c r="I8" s="46">
        <v>1039506</v>
      </c>
      <c r="J8" s="46">
        <v>1071636</v>
      </c>
      <c r="K8" s="46">
        <v>1071636</v>
      </c>
      <c r="L8" s="46">
        <f t="shared" si="0"/>
        <v>0</v>
      </c>
      <c r="M8" s="125"/>
      <c r="N8" s="121"/>
      <c r="O8" s="288">
        <f>MATCH(B8,'42-02-18 מוזיאונים'!$A$5:$A$46,0)</f>
        <v>7</v>
      </c>
      <c r="P8" s="288" t="e">
        <f>MATCH(B8,'42-02-18 מוזיאונים'!$A$52:$A$58,0)</f>
        <v>#N/A</v>
      </c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</row>
    <row r="9" spans="1:86" s="62" customFormat="1" ht="40.5" customHeight="1" x14ac:dyDescent="0.2">
      <c r="A9" s="51" t="s">
        <v>960</v>
      </c>
      <c r="B9" s="105">
        <v>500221015</v>
      </c>
      <c r="C9" s="130">
        <v>1000545601</v>
      </c>
      <c r="D9" s="48">
        <v>20000127</v>
      </c>
      <c r="E9" s="46">
        <v>128021</v>
      </c>
      <c r="F9" s="46">
        <v>128872</v>
      </c>
      <c r="G9" s="46">
        <v>120639</v>
      </c>
      <c r="H9" s="119">
        <v>129919</v>
      </c>
      <c r="I9" s="46">
        <v>141288</v>
      </c>
      <c r="J9" s="46">
        <v>150076</v>
      </c>
      <c r="K9" s="46">
        <v>150076</v>
      </c>
      <c r="L9" s="46">
        <f t="shared" si="0"/>
        <v>0</v>
      </c>
      <c r="M9" s="412"/>
      <c r="O9" s="288" t="e">
        <f>MATCH(B9,'42-02-18 מוזיאונים'!$A$5:$A$46,0)</f>
        <v>#N/A</v>
      </c>
      <c r="P9" s="288">
        <f>MATCH(B9,'42-02-18 מוזיאונים'!$A$52:$A$58,0)</f>
        <v>5</v>
      </c>
    </row>
    <row r="10" spans="1:86" s="62" customFormat="1" ht="50.25" customHeight="1" x14ac:dyDescent="0.2">
      <c r="A10" s="51" t="s">
        <v>961</v>
      </c>
      <c r="B10" s="105">
        <v>500264007</v>
      </c>
      <c r="C10" s="130">
        <v>1000533187</v>
      </c>
      <c r="D10" s="48">
        <v>20000222</v>
      </c>
      <c r="E10" s="46">
        <v>278893</v>
      </c>
      <c r="F10" s="46">
        <v>305945</v>
      </c>
      <c r="G10" s="46">
        <v>276311</v>
      </c>
      <c r="H10" s="119">
        <v>268372</v>
      </c>
      <c r="I10" s="46">
        <v>284063</v>
      </c>
      <c r="J10" s="46">
        <v>245096</v>
      </c>
      <c r="K10" s="46">
        <v>245096</v>
      </c>
      <c r="L10" s="46">
        <f t="shared" si="0"/>
        <v>0</v>
      </c>
      <c r="M10" s="299"/>
      <c r="O10" s="288" t="e">
        <f>MATCH(B10,'42-02-18 מוזיאונים'!$A$5:$A$46,0)</f>
        <v>#N/A</v>
      </c>
      <c r="P10" s="288" t="e">
        <f>MATCH(B10,'42-02-18 מוזיאונים'!$A$52:$A$58,0)</f>
        <v>#N/A</v>
      </c>
    </row>
    <row r="11" spans="1:86" s="62" customFormat="1" ht="33" customHeight="1" x14ac:dyDescent="0.2">
      <c r="A11" s="51" t="s">
        <v>962</v>
      </c>
      <c r="B11" s="105">
        <v>500279005</v>
      </c>
      <c r="C11" s="130">
        <v>1000531241</v>
      </c>
      <c r="D11" s="48">
        <v>20000243</v>
      </c>
      <c r="E11" s="46">
        <v>256908</v>
      </c>
      <c r="F11" s="46">
        <v>285676</v>
      </c>
      <c r="G11" s="46">
        <v>316985</v>
      </c>
      <c r="H11" s="119">
        <v>342690</v>
      </c>
      <c r="I11" s="46">
        <v>335610</v>
      </c>
      <c r="J11" s="46">
        <v>354992</v>
      </c>
      <c r="K11" s="46">
        <v>354992</v>
      </c>
      <c r="L11" s="46">
        <f t="shared" si="0"/>
        <v>0</v>
      </c>
      <c r="M11" s="413"/>
      <c r="O11" s="288" t="e">
        <f>MATCH(B11,'42-02-18 מוזיאונים'!$A$5:$A$46,0)</f>
        <v>#N/A</v>
      </c>
      <c r="P11" s="288">
        <f>MATCH(B11,'42-02-18 מוזיאונים'!$A$52:$A$58,0)</f>
        <v>3</v>
      </c>
    </row>
    <row r="12" spans="1:86" s="62" customFormat="1" ht="37.5" customHeight="1" x14ac:dyDescent="0.2">
      <c r="A12" s="51" t="s">
        <v>963</v>
      </c>
      <c r="B12" s="105">
        <v>500279005</v>
      </c>
      <c r="C12" s="130">
        <v>1000544428</v>
      </c>
      <c r="D12" s="48">
        <v>20000243</v>
      </c>
      <c r="E12" s="46">
        <v>210400</v>
      </c>
      <c r="F12" s="46">
        <v>199066</v>
      </c>
      <c r="G12" s="46">
        <v>175122</v>
      </c>
      <c r="H12" s="119">
        <v>163902</v>
      </c>
      <c r="I12" s="46">
        <v>173155</v>
      </c>
      <c r="J12" s="46">
        <v>180787</v>
      </c>
      <c r="K12" s="46">
        <v>180787</v>
      </c>
      <c r="L12" s="46">
        <f t="shared" si="0"/>
        <v>0</v>
      </c>
      <c r="M12" s="75"/>
      <c r="O12" s="288" t="e">
        <f>MATCH(B12,'42-02-18 מוזיאונים'!$A$5:$A$46,0)</f>
        <v>#N/A</v>
      </c>
      <c r="P12" s="288">
        <f>MATCH(B12,'42-02-18 מוזיאונים'!$A$52:$A$58,0)</f>
        <v>3</v>
      </c>
    </row>
    <row r="13" spans="1:86" s="62" customFormat="1" ht="51.75" customHeight="1" x14ac:dyDescent="0.2">
      <c r="A13" s="51" t="s">
        <v>964</v>
      </c>
      <c r="B13" s="105">
        <v>500283007</v>
      </c>
      <c r="C13" s="130">
        <v>1000537803</v>
      </c>
      <c r="D13" s="48">
        <v>20000247</v>
      </c>
      <c r="E13" s="46">
        <v>283821</v>
      </c>
      <c r="F13" s="46">
        <v>308520</v>
      </c>
      <c r="G13" s="46">
        <v>321896</v>
      </c>
      <c r="H13" s="119">
        <v>341702</v>
      </c>
      <c r="I13" s="46">
        <v>387252</v>
      </c>
      <c r="J13" s="46">
        <v>372759</v>
      </c>
      <c r="K13" s="46">
        <v>372759</v>
      </c>
      <c r="L13" s="46">
        <f t="shared" si="0"/>
        <v>0</v>
      </c>
      <c r="M13" s="414"/>
      <c r="N13" s="121"/>
      <c r="O13" s="288" t="e">
        <f>MATCH(B13,'42-02-18 מוזיאונים'!$A$5:$A$46,0)</f>
        <v>#N/A</v>
      </c>
      <c r="P13" s="288">
        <f>MATCH(B13,'42-02-18 מוזיאונים'!$A$52:$A$58,0)</f>
        <v>6</v>
      </c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</row>
    <row r="14" spans="1:86" s="62" customFormat="1" ht="45" customHeight="1" x14ac:dyDescent="0.2">
      <c r="A14" s="51" t="s">
        <v>965</v>
      </c>
      <c r="B14" s="105">
        <v>510175417</v>
      </c>
      <c r="C14" s="130">
        <v>1000547430</v>
      </c>
      <c r="D14" s="48">
        <v>40000006</v>
      </c>
      <c r="E14" s="46">
        <v>110089</v>
      </c>
      <c r="F14" s="46">
        <v>127522</v>
      </c>
      <c r="G14" s="46">
        <v>116870</v>
      </c>
      <c r="H14" s="119">
        <v>180774</v>
      </c>
      <c r="I14" s="46">
        <v>198403</v>
      </c>
      <c r="J14" s="46">
        <v>181231</v>
      </c>
      <c r="K14" s="46">
        <v>181231</v>
      </c>
      <c r="L14" s="46">
        <f t="shared" si="0"/>
        <v>0</v>
      </c>
      <c r="M14" s="412"/>
      <c r="N14" s="121"/>
      <c r="O14" s="288">
        <f>MATCH(B14,'42-02-18 מוזיאונים'!$A$5:$A$46,0)</f>
        <v>14</v>
      </c>
      <c r="P14" s="288" t="e">
        <f>MATCH(B14,'42-02-18 מוזיאונים'!$A$52:$A$58,0)</f>
        <v>#N/A</v>
      </c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</row>
    <row r="15" spans="1:86" s="62" customFormat="1" ht="39.950000000000003" customHeight="1" x14ac:dyDescent="0.2">
      <c r="A15" s="51" t="s">
        <v>966</v>
      </c>
      <c r="B15" s="105">
        <v>510177587</v>
      </c>
      <c r="C15" s="130">
        <v>1000544202</v>
      </c>
      <c r="D15" s="48">
        <v>40000007</v>
      </c>
      <c r="E15" s="46">
        <v>360563</v>
      </c>
      <c r="F15" s="46">
        <v>407955</v>
      </c>
      <c r="G15" s="46">
        <v>381481</v>
      </c>
      <c r="H15" s="119">
        <v>385923</v>
      </c>
      <c r="I15" s="46">
        <v>388527</v>
      </c>
      <c r="J15" s="46">
        <v>408399</v>
      </c>
      <c r="K15" s="46">
        <v>408399</v>
      </c>
      <c r="L15" s="46">
        <f t="shared" si="0"/>
        <v>0</v>
      </c>
      <c r="M15" s="412"/>
      <c r="O15" s="288">
        <f>MATCH(B15,'42-02-18 מוזיאונים'!$A$5:$A$46,0)</f>
        <v>8</v>
      </c>
      <c r="P15" s="288" t="e">
        <f>MATCH(B15,'42-02-18 מוזיאונים'!$A$52:$A$58,0)</f>
        <v>#N/A</v>
      </c>
    </row>
    <row r="16" spans="1:86" s="62" customFormat="1" ht="39.950000000000003" customHeight="1" x14ac:dyDescent="0.2">
      <c r="A16" s="51" t="s">
        <v>967</v>
      </c>
      <c r="B16" s="105">
        <v>510730898</v>
      </c>
      <c r="C16" s="130">
        <v>1000540632</v>
      </c>
      <c r="D16" s="48">
        <v>40000026</v>
      </c>
      <c r="E16" s="46">
        <v>1326108</v>
      </c>
      <c r="F16" s="46">
        <v>1342161</v>
      </c>
      <c r="G16" s="46">
        <v>1336808</v>
      </c>
      <c r="H16" s="119">
        <v>1419620</v>
      </c>
      <c r="I16" s="46">
        <v>1632542</v>
      </c>
      <c r="J16" s="46">
        <v>1686096</v>
      </c>
      <c r="K16" s="46">
        <v>1686096</v>
      </c>
      <c r="L16" s="46">
        <f t="shared" si="0"/>
        <v>0</v>
      </c>
      <c r="M16" s="248"/>
      <c r="N16" s="121"/>
      <c r="O16" s="288">
        <f>MATCH(B16,'42-02-18 מוזיאונים'!$A$5:$A$46,0)</f>
        <v>2</v>
      </c>
      <c r="P16" s="288" t="e">
        <f>MATCH(B16,'42-02-18 מוזיאונים'!$A$52:$A$58,0)</f>
        <v>#N/A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</row>
    <row r="17" spans="1:86" s="62" customFormat="1" ht="34.5" customHeight="1" x14ac:dyDescent="0.2">
      <c r="A17" s="51" t="s">
        <v>968</v>
      </c>
      <c r="B17" s="105">
        <v>520002320</v>
      </c>
      <c r="C17" s="130">
        <v>1000532012</v>
      </c>
      <c r="D17" s="48">
        <v>40000039</v>
      </c>
      <c r="E17" s="46">
        <v>3245442</v>
      </c>
      <c r="F17" s="46">
        <v>3136383</v>
      </c>
      <c r="G17" s="46">
        <v>2937914</v>
      </c>
      <c r="H17" s="119">
        <v>2968596</v>
      </c>
      <c r="I17" s="46">
        <v>3339152</v>
      </c>
      <c r="J17" s="46">
        <v>3404007</v>
      </c>
      <c r="K17" s="46">
        <v>3404007</v>
      </c>
      <c r="L17" s="46">
        <f t="shared" si="0"/>
        <v>0</v>
      </c>
      <c r="M17" s="79"/>
      <c r="O17" s="288">
        <f>MATCH(B17,'42-02-18 מוזיאונים'!$A$5:$A$46,0)</f>
        <v>4</v>
      </c>
      <c r="P17" s="288" t="e">
        <f>MATCH(B17,'42-02-18 מוזיאונים'!$A$52:$A$58,0)</f>
        <v>#N/A</v>
      </c>
    </row>
    <row r="18" spans="1:86" s="62" customFormat="1" ht="39.950000000000003" customHeight="1" x14ac:dyDescent="0.2">
      <c r="A18" s="51" t="s">
        <v>893</v>
      </c>
      <c r="B18" s="105">
        <v>580004794</v>
      </c>
      <c r="C18" s="130">
        <v>1000543210</v>
      </c>
      <c r="D18" s="48">
        <v>40000050</v>
      </c>
      <c r="E18" s="46">
        <v>233419</v>
      </c>
      <c r="F18" s="46">
        <v>222645</v>
      </c>
      <c r="G18" s="46">
        <v>199613</v>
      </c>
      <c r="H18" s="119">
        <v>209012</v>
      </c>
      <c r="I18" s="46">
        <v>216134</v>
      </c>
      <c r="J18" s="46">
        <v>237298</v>
      </c>
      <c r="K18" s="46">
        <v>237298</v>
      </c>
      <c r="L18" s="46">
        <f t="shared" si="0"/>
        <v>0</v>
      </c>
      <c r="M18" s="129"/>
      <c r="O18" s="288">
        <f>MATCH(B18,'42-02-18 מוזיאונים'!$A$5:$A$46,0)</f>
        <v>10</v>
      </c>
      <c r="P18" s="288" t="e">
        <f>MATCH(B18,'42-02-18 מוזיאונים'!$A$52:$A$58,0)</f>
        <v>#N/A</v>
      </c>
    </row>
    <row r="19" spans="1:86" s="62" customFormat="1" ht="35.25" customHeight="1" x14ac:dyDescent="0.2">
      <c r="A19" s="51" t="s">
        <v>969</v>
      </c>
      <c r="B19" s="105">
        <v>580005270</v>
      </c>
      <c r="C19" s="130">
        <v>1000541649</v>
      </c>
      <c r="D19" s="48">
        <v>40000052</v>
      </c>
      <c r="E19" s="46">
        <v>500725</v>
      </c>
      <c r="F19" s="46">
        <v>542377</v>
      </c>
      <c r="G19" s="46">
        <v>543521</v>
      </c>
      <c r="H19" s="119">
        <v>577609</v>
      </c>
      <c r="I19" s="46">
        <v>616268</v>
      </c>
      <c r="J19" s="46">
        <v>647836</v>
      </c>
      <c r="K19" s="46">
        <v>647836</v>
      </c>
      <c r="L19" s="46">
        <f t="shared" si="0"/>
        <v>0</v>
      </c>
      <c r="M19" s="129"/>
      <c r="O19" s="288">
        <f>MATCH(B19,'42-02-18 מוזיאונים'!$A$5:$A$46,0)</f>
        <v>22</v>
      </c>
      <c r="P19" s="288" t="e">
        <f>MATCH(B19,'42-02-18 מוזיאונים'!$A$52:$A$58,0)</f>
        <v>#N/A</v>
      </c>
    </row>
    <row r="20" spans="1:86" s="62" customFormat="1" ht="48" customHeight="1" x14ac:dyDescent="0.2">
      <c r="A20" s="51" t="s">
        <v>970</v>
      </c>
      <c r="B20" s="105">
        <v>580020501</v>
      </c>
      <c r="C20" s="130">
        <v>1000545916</v>
      </c>
      <c r="D20" s="48">
        <v>40000071</v>
      </c>
      <c r="E20" s="46">
        <v>396859</v>
      </c>
      <c r="F20" s="46">
        <v>377362</v>
      </c>
      <c r="G20" s="46">
        <v>358520</v>
      </c>
      <c r="H20" s="119">
        <v>375420</v>
      </c>
      <c r="I20" s="46">
        <v>370756</v>
      </c>
      <c r="J20" s="46">
        <v>363596</v>
      </c>
      <c r="K20" s="46">
        <v>363596</v>
      </c>
      <c r="L20" s="46">
        <f t="shared" si="0"/>
        <v>0</v>
      </c>
      <c r="M20" s="129"/>
      <c r="N20" s="121"/>
      <c r="O20" s="288" t="e">
        <f>MATCH(B20,'42-02-18 מוזיאונים'!$A$5:$A$46,0)</f>
        <v>#N/A</v>
      </c>
      <c r="P20" s="288" t="e">
        <f>MATCH(B20,'42-02-18 מוזיאונים'!$A$52:$A$58,0)</f>
        <v>#N/A</v>
      </c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</row>
    <row r="21" spans="1:86" s="62" customFormat="1" ht="45" customHeight="1" x14ac:dyDescent="0.2">
      <c r="A21" s="51" t="s">
        <v>971</v>
      </c>
      <c r="B21" s="105">
        <v>580022077</v>
      </c>
      <c r="C21" s="130">
        <v>1000538298</v>
      </c>
      <c r="D21" s="48">
        <v>40000075</v>
      </c>
      <c r="E21" s="46">
        <v>232700</v>
      </c>
      <c r="F21" s="46">
        <v>236921</v>
      </c>
      <c r="G21" s="46">
        <v>217437</v>
      </c>
      <c r="H21" s="119">
        <v>210310</v>
      </c>
      <c r="I21" s="46">
        <v>236298</v>
      </c>
      <c r="J21" s="46">
        <v>248992</v>
      </c>
      <c r="K21" s="46">
        <v>248992</v>
      </c>
      <c r="L21" s="46">
        <f t="shared" si="0"/>
        <v>0</v>
      </c>
      <c r="M21" s="412"/>
      <c r="O21" s="288">
        <f>MATCH(B21,'42-02-18 מוזיאונים'!$A$5:$A$46,0)</f>
        <v>17</v>
      </c>
      <c r="P21" s="288" t="e">
        <f>MATCH(B21,'42-02-18 מוזיאונים'!$A$52:$A$58,0)</f>
        <v>#N/A</v>
      </c>
    </row>
    <row r="22" spans="1:86" s="62" customFormat="1" ht="39.950000000000003" customHeight="1" x14ac:dyDescent="0.2">
      <c r="A22" s="51" t="s">
        <v>932</v>
      </c>
      <c r="B22" s="105">
        <v>580036887</v>
      </c>
      <c r="C22" s="130">
        <v>1000537171</v>
      </c>
      <c r="D22" s="48">
        <v>40000092</v>
      </c>
      <c r="E22" s="46">
        <v>216760</v>
      </c>
      <c r="F22" s="46">
        <v>225479</v>
      </c>
      <c r="G22" s="46">
        <v>201904</v>
      </c>
      <c r="H22" s="119">
        <v>184155</v>
      </c>
      <c r="I22" s="46">
        <v>161215</v>
      </c>
      <c r="J22" s="46">
        <v>150831</v>
      </c>
      <c r="K22" s="46">
        <v>150831</v>
      </c>
      <c r="L22" s="46">
        <f t="shared" si="0"/>
        <v>0</v>
      </c>
      <c r="M22" s="79"/>
      <c r="O22" s="288">
        <f>MATCH(B22,'42-02-18 מוזיאונים'!$A$5:$A$46,0)</f>
        <v>37</v>
      </c>
      <c r="P22" s="288" t="e">
        <f>MATCH(B22,'42-02-18 מוזיאונים'!$A$52:$A$58,0)</f>
        <v>#N/A</v>
      </c>
    </row>
    <row r="23" spans="1:86" s="62" customFormat="1" ht="39.75" customHeight="1" x14ac:dyDescent="0.2">
      <c r="A23" s="51" t="s">
        <v>972</v>
      </c>
      <c r="B23" s="105">
        <v>580039162</v>
      </c>
      <c r="C23" s="130">
        <v>1000537901</v>
      </c>
      <c r="D23" s="48">
        <v>40000099</v>
      </c>
      <c r="E23" s="46">
        <v>176651</v>
      </c>
      <c r="F23" s="46">
        <v>165154</v>
      </c>
      <c r="G23" s="46">
        <v>149400</v>
      </c>
      <c r="H23" s="119">
        <v>149462</v>
      </c>
      <c r="I23" s="46">
        <v>163898</v>
      </c>
      <c r="J23" s="46">
        <v>160680</v>
      </c>
      <c r="K23" s="46">
        <v>160680</v>
      </c>
      <c r="L23" s="46">
        <f t="shared" si="0"/>
        <v>0</v>
      </c>
      <c r="M23" s="412"/>
      <c r="O23" s="288">
        <f>MATCH(B23,'42-02-18 מוזיאונים'!$A$5:$A$46,0)</f>
        <v>12</v>
      </c>
      <c r="P23" s="288" t="e">
        <f>MATCH(B23,'42-02-18 מוזיאונים'!$A$52:$A$58,0)</f>
        <v>#N/A</v>
      </c>
    </row>
    <row r="24" spans="1:86" s="62" customFormat="1" ht="39.950000000000003" customHeight="1" x14ac:dyDescent="0.2">
      <c r="A24" s="51" t="s">
        <v>973</v>
      </c>
      <c r="B24" s="105">
        <v>580040061</v>
      </c>
      <c r="C24" s="130">
        <v>1000537281</v>
      </c>
      <c r="D24" s="48">
        <v>40000101</v>
      </c>
      <c r="E24" s="46">
        <v>203449</v>
      </c>
      <c r="F24" s="46">
        <v>205375</v>
      </c>
      <c r="G24" s="46">
        <v>236716</v>
      </c>
      <c r="H24" s="119">
        <v>280426</v>
      </c>
      <c r="I24" s="46">
        <v>266964</v>
      </c>
      <c r="J24" s="46">
        <v>283530</v>
      </c>
      <c r="K24" s="46">
        <v>283530</v>
      </c>
      <c r="L24" s="46">
        <f t="shared" si="0"/>
        <v>0</v>
      </c>
      <c r="M24" s="415"/>
      <c r="O24" s="288">
        <f>MATCH(B24,'42-02-18 מוזיאונים'!$A$5:$A$46,0)</f>
        <v>20</v>
      </c>
      <c r="P24" s="288" t="e">
        <f>MATCH(B24,'42-02-18 מוזיאונים'!$A$52:$A$58,0)</f>
        <v>#N/A</v>
      </c>
    </row>
    <row r="25" spans="1:86" s="62" customFormat="1" ht="39.950000000000003" customHeight="1" x14ac:dyDescent="0.2">
      <c r="A25" s="51" t="s">
        <v>974</v>
      </c>
      <c r="B25" s="105">
        <v>580046134</v>
      </c>
      <c r="C25" s="130">
        <v>1000544410</v>
      </c>
      <c r="D25" s="48">
        <v>40000107</v>
      </c>
      <c r="E25" s="46">
        <v>1471871</v>
      </c>
      <c r="F25" s="46">
        <v>1424310</v>
      </c>
      <c r="G25" s="46">
        <v>1257750</v>
      </c>
      <c r="H25" s="119">
        <v>1080105</v>
      </c>
      <c r="I25" s="46">
        <v>1220080</v>
      </c>
      <c r="J25" s="46">
        <v>1381865</v>
      </c>
      <c r="K25" s="46">
        <v>1381865</v>
      </c>
      <c r="L25" s="46">
        <f t="shared" si="0"/>
        <v>0</v>
      </c>
      <c r="M25" s="129"/>
      <c r="O25" s="288">
        <f>MATCH(B25,'42-02-18 מוזיאונים'!$A$5:$A$46,0)</f>
        <v>3</v>
      </c>
      <c r="P25" s="288" t="e">
        <f>MATCH(B25,'42-02-18 מוזיאונים'!$A$52:$A$58,0)</f>
        <v>#N/A</v>
      </c>
    </row>
    <row r="26" spans="1:86" s="62" customFormat="1" ht="39.950000000000003" customHeight="1" x14ac:dyDescent="0.2">
      <c r="A26" s="51" t="s">
        <v>975</v>
      </c>
      <c r="B26" s="105">
        <v>580061802</v>
      </c>
      <c r="C26" s="130">
        <v>1000537726</v>
      </c>
      <c r="D26" s="48">
        <v>40000118</v>
      </c>
      <c r="E26" s="46">
        <v>312175</v>
      </c>
      <c r="F26" s="46">
        <v>348416</v>
      </c>
      <c r="G26" s="46">
        <v>313989</v>
      </c>
      <c r="H26" s="119">
        <v>319526</v>
      </c>
      <c r="I26" s="46">
        <v>353197</v>
      </c>
      <c r="J26" s="46">
        <v>343445</v>
      </c>
      <c r="K26" s="46">
        <v>343445</v>
      </c>
      <c r="L26" s="46">
        <f t="shared" si="0"/>
        <v>0</v>
      </c>
      <c r="M26" s="127"/>
      <c r="O26" s="288">
        <f>MATCH(B26,'42-02-18 מוזיאונים'!$A$5:$A$46,0)</f>
        <v>25</v>
      </c>
      <c r="P26" s="288" t="e">
        <f>MATCH(B26,'42-02-18 מוזיאונים'!$A$52:$A$58,0)</f>
        <v>#N/A</v>
      </c>
    </row>
    <row r="27" spans="1:86" s="62" customFormat="1" ht="39.950000000000003" customHeight="1" x14ac:dyDescent="0.2">
      <c r="A27" s="51" t="s">
        <v>923</v>
      </c>
      <c r="B27" s="105">
        <v>580077964</v>
      </c>
      <c r="C27" s="130">
        <v>1000544986</v>
      </c>
      <c r="D27" s="48">
        <v>40000128</v>
      </c>
      <c r="E27" s="46">
        <v>259113</v>
      </c>
      <c r="F27" s="46">
        <v>274386</v>
      </c>
      <c r="G27" s="46">
        <v>264976</v>
      </c>
      <c r="H27" s="119">
        <v>269550</v>
      </c>
      <c r="I27" s="46">
        <v>316872</v>
      </c>
      <c r="J27" s="46">
        <v>344027</v>
      </c>
      <c r="K27" s="46">
        <v>344027</v>
      </c>
      <c r="L27" s="46">
        <f t="shared" si="0"/>
        <v>0</v>
      </c>
      <c r="M27" s="412"/>
      <c r="O27" s="288">
        <f>MATCH(B27,'42-02-18 מוזיאונים'!$A$5:$A$46,0)</f>
        <v>30</v>
      </c>
      <c r="P27" s="288" t="e">
        <f>MATCH(B27,'42-02-18 מוזיאונים'!$A$52:$A$58,0)</f>
        <v>#N/A</v>
      </c>
    </row>
    <row r="28" spans="1:86" s="62" customFormat="1" ht="35.25" customHeight="1" x14ac:dyDescent="0.2">
      <c r="A28" s="136" t="s">
        <v>976</v>
      </c>
      <c r="B28" s="349">
        <v>580087021</v>
      </c>
      <c r="C28" s="130">
        <v>1000542381</v>
      </c>
      <c r="D28" s="132">
        <v>40000130</v>
      </c>
      <c r="E28" s="119">
        <v>704044</v>
      </c>
      <c r="F28" s="119">
        <v>781288</v>
      </c>
      <c r="G28" s="119">
        <v>754048</v>
      </c>
      <c r="H28" s="119">
        <v>760813</v>
      </c>
      <c r="I28" s="46">
        <v>815832</v>
      </c>
      <c r="J28" s="46">
        <v>804252</v>
      </c>
      <c r="K28" s="46">
        <v>804252</v>
      </c>
      <c r="L28" s="46">
        <f t="shared" si="0"/>
        <v>0</v>
      </c>
      <c r="M28" s="267"/>
      <c r="O28" s="288">
        <f>MATCH(B28,'42-02-18 מוזיאונים'!$A$5:$A$46,0)</f>
        <v>6</v>
      </c>
      <c r="P28" s="288" t="e">
        <f>MATCH(B28,'42-02-18 מוזיאונים'!$A$52:$A$58,0)</f>
        <v>#N/A</v>
      </c>
    </row>
    <row r="29" spans="1:86" s="62" customFormat="1" ht="43.5" customHeight="1" x14ac:dyDescent="0.2">
      <c r="A29" s="51" t="s">
        <v>977</v>
      </c>
      <c r="B29" s="105">
        <v>580213023</v>
      </c>
      <c r="C29" s="130">
        <v>1000544034</v>
      </c>
      <c r="D29" s="48">
        <v>40000183</v>
      </c>
      <c r="E29" s="46">
        <v>1978892</v>
      </c>
      <c r="F29" s="46">
        <v>2130389</v>
      </c>
      <c r="G29" s="46">
        <v>2134231</v>
      </c>
      <c r="H29" s="119">
        <v>2146330</v>
      </c>
      <c r="I29" s="46">
        <v>2093844</v>
      </c>
      <c r="J29" s="46">
        <v>2148340</v>
      </c>
      <c r="K29" s="46">
        <v>2148340</v>
      </c>
      <c r="L29" s="46">
        <f t="shared" si="0"/>
        <v>0</v>
      </c>
      <c r="M29" s="75"/>
      <c r="O29" s="288">
        <f>MATCH(B29,'42-02-18 מוזיאונים'!$A$5:$A$46,0)</f>
        <v>32</v>
      </c>
      <c r="P29" s="288" t="e">
        <f>MATCH(B29,'42-02-18 מוזיאונים'!$A$52:$A$58,0)</f>
        <v>#N/A</v>
      </c>
    </row>
    <row r="30" spans="1:86" s="62" customFormat="1" ht="39.75" customHeight="1" x14ac:dyDescent="0.2">
      <c r="A30" s="51" t="s">
        <v>978</v>
      </c>
      <c r="B30" s="105">
        <v>580255909</v>
      </c>
      <c r="C30" s="130">
        <v>1000544744</v>
      </c>
      <c r="D30" s="48">
        <v>40000200</v>
      </c>
      <c r="E30" s="46">
        <v>499454</v>
      </c>
      <c r="F30" s="46">
        <v>534438</v>
      </c>
      <c r="G30" s="46">
        <v>571838</v>
      </c>
      <c r="H30" s="119">
        <v>571246</v>
      </c>
      <c r="I30" s="46">
        <v>568782</v>
      </c>
      <c r="J30" s="46">
        <v>574949</v>
      </c>
      <c r="K30" s="46">
        <v>574949</v>
      </c>
      <c r="L30" s="46">
        <f t="shared" si="0"/>
        <v>0</v>
      </c>
      <c r="M30" s="75"/>
      <c r="O30" s="288">
        <f>MATCH(B30,'42-02-18 מוזיאונים'!$A$5:$A$46,0)</f>
        <v>26</v>
      </c>
      <c r="P30" s="288" t="e">
        <f>MATCH(B30,'42-02-18 מוזיאונים'!$A$52:$A$58,0)</f>
        <v>#N/A</v>
      </c>
    </row>
    <row r="31" spans="1:86" s="62" customFormat="1" ht="46.5" customHeight="1" x14ac:dyDescent="0.2">
      <c r="A31" s="51" t="s">
        <v>979</v>
      </c>
      <c r="B31" s="105">
        <v>580292639</v>
      </c>
      <c r="C31" s="130">
        <v>1000540618</v>
      </c>
      <c r="D31" s="48">
        <v>40000215</v>
      </c>
      <c r="E31" s="46">
        <v>186975</v>
      </c>
      <c r="F31" s="46">
        <v>214900</v>
      </c>
      <c r="G31" s="46">
        <v>217877</v>
      </c>
      <c r="H31" s="46">
        <v>234320</v>
      </c>
      <c r="I31" s="46">
        <v>243102</v>
      </c>
      <c r="J31" s="46">
        <v>228981</v>
      </c>
      <c r="K31" s="46">
        <v>228981</v>
      </c>
      <c r="L31" s="46">
        <f t="shared" si="0"/>
        <v>0</v>
      </c>
      <c r="M31" s="412"/>
      <c r="O31" s="288">
        <f>MATCH(B31,'42-02-18 מוזיאונים'!$A$5:$A$46,0)</f>
        <v>15</v>
      </c>
      <c r="P31" s="288" t="e">
        <f>MATCH(B31,'42-02-18 מוזיאונים'!$A$52:$A$58,0)</f>
        <v>#N/A</v>
      </c>
    </row>
    <row r="32" spans="1:86" s="62" customFormat="1" ht="53.25" customHeight="1" x14ac:dyDescent="0.2">
      <c r="A32" s="51" t="s">
        <v>980</v>
      </c>
      <c r="B32" s="105">
        <v>580302339</v>
      </c>
      <c r="C32" s="130">
        <v>1000537172</v>
      </c>
      <c r="D32" s="48">
        <v>40000220</v>
      </c>
      <c r="E32" s="46">
        <v>190658</v>
      </c>
      <c r="F32" s="46">
        <v>205724</v>
      </c>
      <c r="G32" s="46">
        <v>187853</v>
      </c>
      <c r="H32" s="119">
        <v>230000</v>
      </c>
      <c r="I32" s="46">
        <v>240997</v>
      </c>
      <c r="J32" s="46">
        <v>240343</v>
      </c>
      <c r="K32" s="46">
        <v>240343</v>
      </c>
      <c r="L32" s="46">
        <f t="shared" si="0"/>
        <v>0</v>
      </c>
      <c r="M32" s="127"/>
      <c r="O32" s="288">
        <f>MATCH(B32,'42-02-18 מוזיאונים'!$A$5:$A$46,0)</f>
        <v>24</v>
      </c>
      <c r="P32" s="288" t="e">
        <f>MATCH(B32,'42-02-18 מוזיאונים'!$A$52:$A$58,0)</f>
        <v>#N/A</v>
      </c>
    </row>
    <row r="33" spans="1:86" s="62" customFormat="1" ht="39.950000000000003" customHeight="1" x14ac:dyDescent="0.2">
      <c r="A33" s="51" t="s">
        <v>981</v>
      </c>
      <c r="B33" s="105">
        <v>500701628</v>
      </c>
      <c r="C33" s="130">
        <v>1000538008</v>
      </c>
      <c r="D33" s="48">
        <v>40000249</v>
      </c>
      <c r="E33" s="46">
        <v>462255</v>
      </c>
      <c r="F33" s="46">
        <v>538969</v>
      </c>
      <c r="G33" s="46">
        <v>472431</v>
      </c>
      <c r="H33" s="119">
        <v>498859</v>
      </c>
      <c r="I33" s="46">
        <v>509673</v>
      </c>
      <c r="J33" s="46">
        <v>524855</v>
      </c>
      <c r="K33" s="46">
        <v>524855</v>
      </c>
      <c r="L33" s="46">
        <f t="shared" si="0"/>
        <v>0</v>
      </c>
      <c r="M33" s="127"/>
      <c r="O33" s="288">
        <f>MATCH(B33,'42-02-18 מוזיאונים'!$A$5:$A$46,0)</f>
        <v>29</v>
      </c>
      <c r="P33" s="288" t="e">
        <f>MATCH(B33,'42-02-18 מוזיאונים'!$A$52:$A$58,0)</f>
        <v>#N/A</v>
      </c>
    </row>
    <row r="34" spans="1:86" s="44" customFormat="1" ht="45.75" customHeight="1" x14ac:dyDescent="0.2">
      <c r="A34" s="45" t="s">
        <v>982</v>
      </c>
      <c r="B34" s="66">
        <v>512287350</v>
      </c>
      <c r="C34" s="416">
        <v>1000551953</v>
      </c>
      <c r="D34" s="48">
        <v>40000293</v>
      </c>
      <c r="E34" s="46"/>
      <c r="F34" s="101"/>
      <c r="G34" s="46"/>
      <c r="H34" s="119"/>
      <c r="I34" s="46">
        <v>0</v>
      </c>
      <c r="J34" s="46">
        <v>113849</v>
      </c>
      <c r="K34" s="46">
        <v>113849</v>
      </c>
      <c r="L34" s="46">
        <f t="shared" si="0"/>
        <v>0</v>
      </c>
      <c r="M34" s="417"/>
      <c r="O34" s="288">
        <f>MATCH(B34,'42-02-18 מוזיאונים'!$A$5:$A$46,0)</f>
        <v>42</v>
      </c>
      <c r="P34" s="288" t="e">
        <f>MATCH(B34,'42-02-18 מוזיאונים'!$A$52:$A$58,0)</f>
        <v>#N/A</v>
      </c>
    </row>
    <row r="35" spans="1:86" s="62" customFormat="1" ht="39.75" customHeight="1" x14ac:dyDescent="0.2">
      <c r="A35" s="45" t="s">
        <v>983</v>
      </c>
      <c r="B35" s="66">
        <v>512287350</v>
      </c>
      <c r="C35" s="416">
        <v>1000551982</v>
      </c>
      <c r="D35" s="48">
        <v>40000293</v>
      </c>
      <c r="E35" s="46"/>
      <c r="F35" s="46"/>
      <c r="G35" s="46"/>
      <c r="H35" s="119"/>
      <c r="I35" s="46">
        <v>0</v>
      </c>
      <c r="J35" s="46">
        <v>294016</v>
      </c>
      <c r="K35" s="46">
        <v>294016</v>
      </c>
      <c r="L35" s="46">
        <f t="shared" si="0"/>
        <v>0</v>
      </c>
      <c r="M35" s="417"/>
      <c r="O35" s="288">
        <f>MATCH(B35,'42-02-18 מוזיאונים'!$A$5:$A$46,0)</f>
        <v>42</v>
      </c>
      <c r="P35" s="288" t="e">
        <f>MATCH(B35,'42-02-18 מוזיאונים'!$A$52:$A$58,0)</f>
        <v>#N/A</v>
      </c>
    </row>
    <row r="36" spans="1:86" s="62" customFormat="1" ht="39.950000000000003" customHeight="1" x14ac:dyDescent="0.2">
      <c r="A36" s="51" t="s">
        <v>905</v>
      </c>
      <c r="B36" s="105">
        <v>520028168</v>
      </c>
      <c r="C36" s="130">
        <v>1000543256</v>
      </c>
      <c r="D36" s="48">
        <v>40000298</v>
      </c>
      <c r="E36" s="46">
        <v>171472</v>
      </c>
      <c r="F36" s="46">
        <v>161564</v>
      </c>
      <c r="G36" s="46">
        <v>165255</v>
      </c>
      <c r="H36" s="119">
        <v>156560</v>
      </c>
      <c r="I36" s="46">
        <v>170092</v>
      </c>
      <c r="J36" s="46">
        <v>179798</v>
      </c>
      <c r="K36" s="46">
        <v>179798</v>
      </c>
      <c r="L36" s="46">
        <f t="shared" si="0"/>
        <v>0</v>
      </c>
      <c r="M36" s="127"/>
      <c r="O36" s="288">
        <f>MATCH(B36,'42-02-18 מוזיאונים'!$A$5:$A$46,0)</f>
        <v>18</v>
      </c>
      <c r="P36" s="288" t="e">
        <f>MATCH(B36,'42-02-18 מוזיאונים'!$A$52:$A$58,0)</f>
        <v>#N/A</v>
      </c>
    </row>
    <row r="37" spans="1:86" s="62" customFormat="1" ht="39.950000000000003" customHeight="1" x14ac:dyDescent="0.2">
      <c r="A37" s="51" t="s">
        <v>984</v>
      </c>
      <c r="B37" s="105">
        <v>520035908</v>
      </c>
      <c r="C37" s="130">
        <v>1000537713</v>
      </c>
      <c r="D37" s="48">
        <v>40000299</v>
      </c>
      <c r="E37" s="46">
        <v>1660426</v>
      </c>
      <c r="F37" s="46">
        <v>1789044</v>
      </c>
      <c r="G37" s="46">
        <v>1792414</v>
      </c>
      <c r="H37" s="119">
        <v>1843269</v>
      </c>
      <c r="I37" s="46">
        <v>1970186</v>
      </c>
      <c r="J37" s="46">
        <v>1953764</v>
      </c>
      <c r="K37" s="46">
        <v>1953764</v>
      </c>
      <c r="L37" s="46">
        <f t="shared" si="0"/>
        <v>0</v>
      </c>
      <c r="M37" s="75"/>
      <c r="N37" s="121"/>
      <c r="O37" s="288">
        <f>MATCH(B37,'42-02-18 מוזיאונים'!$A$5:$A$46,0)</f>
        <v>5</v>
      </c>
      <c r="P37" s="288" t="e">
        <f>MATCH(B37,'42-02-18 מוזיאונים'!$A$52:$A$58,0)</f>
        <v>#N/A</v>
      </c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</row>
    <row r="38" spans="1:86" s="62" customFormat="1" ht="40.5" customHeight="1" x14ac:dyDescent="0.2">
      <c r="A38" s="51" t="s">
        <v>985</v>
      </c>
      <c r="B38" s="105">
        <v>580006310</v>
      </c>
      <c r="C38" s="130">
        <v>1000549473</v>
      </c>
      <c r="D38" s="48">
        <v>40000323</v>
      </c>
      <c r="E38" s="46">
        <v>92732</v>
      </c>
      <c r="F38" s="46">
        <v>109397</v>
      </c>
      <c r="G38" s="46">
        <v>90267</v>
      </c>
      <c r="H38" s="119">
        <v>95461</v>
      </c>
      <c r="I38" s="46">
        <v>131759</v>
      </c>
      <c r="J38" s="46">
        <v>151521</v>
      </c>
      <c r="K38" s="46">
        <v>151521</v>
      </c>
      <c r="L38" s="46">
        <f t="shared" si="0"/>
        <v>0</v>
      </c>
      <c r="M38" s="127"/>
      <c r="N38" s="121"/>
      <c r="O38" s="288">
        <f>MATCH(B38,'42-02-18 מוזיאונים'!$A$5:$A$46,0)</f>
        <v>21</v>
      </c>
      <c r="P38" s="288" t="e">
        <f>MATCH(B38,'42-02-18 מוזיאונים'!$A$52:$A$58,0)</f>
        <v>#N/A</v>
      </c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</row>
    <row r="39" spans="1:86" s="62" customFormat="1" ht="39.950000000000003" customHeight="1" x14ac:dyDescent="0.2">
      <c r="A39" s="51" t="s">
        <v>986</v>
      </c>
      <c r="B39" s="105">
        <v>580015717</v>
      </c>
      <c r="C39" s="130">
        <v>1000537730</v>
      </c>
      <c r="D39" s="48">
        <v>40000341</v>
      </c>
      <c r="E39" s="46">
        <v>2465436</v>
      </c>
      <c r="F39" s="46">
        <v>2813374</v>
      </c>
      <c r="G39" s="46">
        <v>3161504</v>
      </c>
      <c r="H39" s="119">
        <v>3008404</v>
      </c>
      <c r="I39" s="46">
        <v>3176757</v>
      </c>
      <c r="J39" s="46">
        <v>3317934</v>
      </c>
      <c r="K39" s="46">
        <v>3317934</v>
      </c>
      <c r="L39" s="46">
        <f t="shared" si="0"/>
        <v>0</v>
      </c>
      <c r="M39" s="77"/>
      <c r="O39" s="288">
        <f>MATCH(B39,'42-02-18 מוזיאונים'!$A$5:$A$46,0)</f>
        <v>28</v>
      </c>
      <c r="P39" s="288" t="e">
        <f>MATCH(B39,'42-02-18 מוזיאונים'!$A$52:$A$58,0)</f>
        <v>#N/A</v>
      </c>
    </row>
    <row r="40" spans="1:86" s="62" customFormat="1" ht="48.75" customHeight="1" x14ac:dyDescent="0.2">
      <c r="A40" s="51" t="s">
        <v>987</v>
      </c>
      <c r="B40" s="105">
        <v>580017499</v>
      </c>
      <c r="C40" s="130">
        <v>1000544573</v>
      </c>
      <c r="D40" s="48">
        <v>40000346</v>
      </c>
      <c r="E40" s="46">
        <v>142095</v>
      </c>
      <c r="F40" s="46">
        <v>137605</v>
      </c>
      <c r="G40" s="46">
        <v>100017</v>
      </c>
      <c r="H40" s="119">
        <v>125726</v>
      </c>
      <c r="I40" s="46">
        <v>122432</v>
      </c>
      <c r="J40" s="46">
        <v>121078</v>
      </c>
      <c r="K40" s="46">
        <v>121078</v>
      </c>
      <c r="L40" s="46">
        <f t="shared" si="0"/>
        <v>0</v>
      </c>
      <c r="M40" s="127"/>
      <c r="O40" s="288">
        <f>MATCH(B40,'42-02-18 מוזיאונים'!$A$5:$A$46,0)</f>
        <v>16</v>
      </c>
      <c r="P40" s="288" t="e">
        <f>MATCH(B40,'42-02-18 מוזיאונים'!$A$52:$A$58,0)</f>
        <v>#N/A</v>
      </c>
    </row>
    <row r="41" spans="1:86" s="62" customFormat="1" ht="54.75" customHeight="1" x14ac:dyDescent="0.2">
      <c r="A41" s="51" t="s">
        <v>988</v>
      </c>
      <c r="B41" s="105">
        <v>580041085</v>
      </c>
      <c r="C41" s="130">
        <v>1000547897</v>
      </c>
      <c r="D41" s="48">
        <v>40000391</v>
      </c>
      <c r="E41" s="46">
        <v>62540</v>
      </c>
      <c r="F41" s="46">
        <v>62539</v>
      </c>
      <c r="G41" s="46">
        <v>58130</v>
      </c>
      <c r="H41" s="119">
        <v>56352</v>
      </c>
      <c r="I41" s="46">
        <v>54767</v>
      </c>
      <c r="J41" s="46">
        <v>57767</v>
      </c>
      <c r="K41" s="46">
        <v>57767</v>
      </c>
      <c r="L41" s="46">
        <f t="shared" si="0"/>
        <v>0</v>
      </c>
      <c r="M41" s="412"/>
      <c r="O41" s="288">
        <f>MATCH(B41,'42-02-18 מוזיאונים'!$A$5:$A$46,0)</f>
        <v>27</v>
      </c>
      <c r="P41" s="288" t="e">
        <f>MATCH(B41,'42-02-18 מוזיאונים'!$A$52:$A$58,0)</f>
        <v>#N/A</v>
      </c>
    </row>
    <row r="42" spans="1:86" s="62" customFormat="1" ht="49.5" customHeight="1" x14ac:dyDescent="0.2">
      <c r="A42" s="51" t="s">
        <v>989</v>
      </c>
      <c r="B42" s="105">
        <v>580055929</v>
      </c>
      <c r="C42" s="130">
        <v>1000532252</v>
      </c>
      <c r="D42" s="48">
        <v>40000408</v>
      </c>
      <c r="E42" s="46">
        <v>207907</v>
      </c>
      <c r="F42" s="46">
        <v>191343</v>
      </c>
      <c r="G42" s="46">
        <v>207855</v>
      </c>
      <c r="H42" s="119">
        <v>225425</v>
      </c>
      <c r="I42" s="46">
        <v>214890</v>
      </c>
      <c r="J42" s="46">
        <v>224593</v>
      </c>
      <c r="K42" s="46">
        <v>224593</v>
      </c>
      <c r="L42" s="46">
        <f t="shared" si="0"/>
        <v>0</v>
      </c>
      <c r="M42" s="127"/>
      <c r="O42" s="288">
        <f>MATCH(B42,'42-02-18 מוזיאונים'!$A$5:$A$46,0)</f>
        <v>9</v>
      </c>
      <c r="P42" s="288" t="e">
        <f>MATCH(B42,'42-02-18 מוזיאונים'!$A$52:$A$58,0)</f>
        <v>#N/A</v>
      </c>
    </row>
    <row r="43" spans="1:86" s="62" customFormat="1" ht="61.5" customHeight="1" x14ac:dyDescent="0.2">
      <c r="A43" s="51" t="s">
        <v>990</v>
      </c>
      <c r="B43" s="105">
        <v>580067551</v>
      </c>
      <c r="C43" s="130">
        <v>1000537178</v>
      </c>
      <c r="D43" s="48">
        <v>40000422</v>
      </c>
      <c r="E43" s="46">
        <v>327252</v>
      </c>
      <c r="F43" s="46">
        <v>315939</v>
      </c>
      <c r="G43" s="46">
        <v>309289</v>
      </c>
      <c r="H43" s="119">
        <v>326825</v>
      </c>
      <c r="I43" s="46">
        <v>346480</v>
      </c>
      <c r="J43" s="46">
        <v>377186</v>
      </c>
      <c r="K43" s="46">
        <v>377186</v>
      </c>
      <c r="L43" s="46">
        <f t="shared" si="0"/>
        <v>0</v>
      </c>
      <c r="M43" s="412"/>
      <c r="O43" s="288">
        <f>MATCH(B43,'42-02-18 מוזיאונים'!$A$5:$A$46,0)</f>
        <v>33</v>
      </c>
      <c r="P43" s="288" t="e">
        <f>MATCH(B43,'42-02-18 מוזיאונים'!$A$52:$A$58,0)</f>
        <v>#N/A</v>
      </c>
    </row>
    <row r="44" spans="1:86" s="62" customFormat="1" ht="39.950000000000003" customHeight="1" x14ac:dyDescent="0.2">
      <c r="A44" s="51" t="s">
        <v>991</v>
      </c>
      <c r="B44" s="105">
        <v>580082733</v>
      </c>
      <c r="C44" s="130">
        <v>1000537119</v>
      </c>
      <c r="D44" s="48">
        <v>40000447</v>
      </c>
      <c r="E44" s="46">
        <v>174354</v>
      </c>
      <c r="F44" s="46">
        <v>220296</v>
      </c>
      <c r="G44" s="46">
        <v>212393</v>
      </c>
      <c r="H44" s="119">
        <v>251839</v>
      </c>
      <c r="I44" s="46">
        <v>255907</v>
      </c>
      <c r="J44" s="46">
        <v>239443</v>
      </c>
      <c r="K44" s="46">
        <v>239443</v>
      </c>
      <c r="L44" s="46">
        <f t="shared" si="0"/>
        <v>0</v>
      </c>
      <c r="M44" s="412"/>
      <c r="O44" s="288">
        <f>MATCH(B44,'42-02-18 מוזיאונים'!$A$5:$A$46,0)</f>
        <v>38</v>
      </c>
      <c r="P44" s="288" t="e">
        <f>MATCH(B44,'42-02-18 מוזיאונים'!$A$52:$A$58,0)</f>
        <v>#N/A</v>
      </c>
    </row>
    <row r="45" spans="1:86" s="62" customFormat="1" ht="50.25" customHeight="1" x14ac:dyDescent="0.2">
      <c r="A45" s="51" t="s">
        <v>992</v>
      </c>
      <c r="B45" s="105">
        <v>580117521</v>
      </c>
      <c r="C45" s="130">
        <v>1000535686</v>
      </c>
      <c r="D45" s="48">
        <v>40000479</v>
      </c>
      <c r="E45" s="46">
        <v>114628</v>
      </c>
      <c r="F45" s="46">
        <v>113516</v>
      </c>
      <c r="G45" s="46">
        <v>94087</v>
      </c>
      <c r="H45" s="119">
        <v>99134</v>
      </c>
      <c r="I45" s="46">
        <v>120000</v>
      </c>
      <c r="J45" s="46">
        <v>141565</v>
      </c>
      <c r="K45" s="46">
        <v>141565</v>
      </c>
      <c r="L45" s="46">
        <f t="shared" si="0"/>
        <v>0</v>
      </c>
      <c r="M45" s="412"/>
      <c r="O45" s="288">
        <f>MATCH(B45,'42-02-18 מוזיאונים'!$A$5:$A$46,0)</f>
        <v>23</v>
      </c>
      <c r="P45" s="288" t="e">
        <f>MATCH(B45,'42-02-18 מוזיאונים'!$A$52:$A$58,0)</f>
        <v>#N/A</v>
      </c>
    </row>
    <row r="46" spans="1:86" s="62" customFormat="1" ht="48" customHeight="1" x14ac:dyDescent="0.2">
      <c r="A46" s="51" t="s">
        <v>993</v>
      </c>
      <c r="B46" s="105">
        <v>580340834</v>
      </c>
      <c r="C46" s="130">
        <v>1000553815</v>
      </c>
      <c r="D46" s="48">
        <v>40000690</v>
      </c>
      <c r="E46" s="46">
        <v>110168</v>
      </c>
      <c r="F46" s="46">
        <v>121746</v>
      </c>
      <c r="G46" s="46">
        <v>105835</v>
      </c>
      <c r="H46" s="119">
        <v>111579</v>
      </c>
      <c r="I46" s="46">
        <v>120592</v>
      </c>
      <c r="J46" s="46">
        <v>124639</v>
      </c>
      <c r="K46" s="46">
        <v>124639</v>
      </c>
      <c r="L46" s="46">
        <f t="shared" si="0"/>
        <v>0</v>
      </c>
      <c r="M46" s="128"/>
      <c r="O46" s="288">
        <f>MATCH(B46,'42-02-18 מוזיאונים'!$A$5:$A$46,0)</f>
        <v>35</v>
      </c>
      <c r="P46" s="288" t="e">
        <f>MATCH(B46,'42-02-18 מוזיאונים'!$A$52:$A$58,0)</f>
        <v>#N/A</v>
      </c>
    </row>
    <row r="47" spans="1:86" s="62" customFormat="1" ht="48" customHeight="1" x14ac:dyDescent="0.2">
      <c r="A47" s="51" t="s">
        <v>994</v>
      </c>
      <c r="B47" s="105">
        <v>580067338</v>
      </c>
      <c r="C47" s="130">
        <v>1000536293</v>
      </c>
      <c r="D47" s="48">
        <v>40002836</v>
      </c>
      <c r="E47" s="46">
        <v>153151</v>
      </c>
      <c r="F47" s="46">
        <v>152484</v>
      </c>
      <c r="G47" s="46">
        <v>135634</v>
      </c>
      <c r="H47" s="119">
        <v>167239</v>
      </c>
      <c r="I47" s="46">
        <v>202763</v>
      </c>
      <c r="J47" s="46">
        <v>202141</v>
      </c>
      <c r="K47" s="46">
        <v>202141</v>
      </c>
      <c r="L47" s="46">
        <f t="shared" si="0"/>
        <v>0</v>
      </c>
      <c r="M47" s="128"/>
      <c r="O47" s="288">
        <f>MATCH(B47,'42-02-18 מוזיאונים'!$A$5:$A$46,0)</f>
        <v>13</v>
      </c>
      <c r="P47" s="288" t="e">
        <f>MATCH(B47,'42-02-18 מוזיאונים'!$A$52:$A$58,0)</f>
        <v>#N/A</v>
      </c>
    </row>
    <row r="48" spans="1:86" s="62" customFormat="1" ht="39.950000000000003" customHeight="1" x14ac:dyDescent="0.2">
      <c r="A48" s="51" t="s">
        <v>929</v>
      </c>
      <c r="B48" s="105">
        <v>580335818</v>
      </c>
      <c r="C48" s="130">
        <v>1000543956</v>
      </c>
      <c r="D48" s="48">
        <v>40209197</v>
      </c>
      <c r="E48" s="46">
        <v>548466</v>
      </c>
      <c r="F48" s="46">
        <v>510935</v>
      </c>
      <c r="G48" s="46">
        <v>455636</v>
      </c>
      <c r="H48" s="119">
        <v>492026</v>
      </c>
      <c r="I48" s="46">
        <v>535858</v>
      </c>
      <c r="J48" s="46">
        <v>560607</v>
      </c>
      <c r="K48" s="46">
        <v>560607</v>
      </c>
      <c r="L48" s="46">
        <f t="shared" si="0"/>
        <v>0</v>
      </c>
      <c r="M48" s="127"/>
      <c r="N48" s="121"/>
      <c r="O48" s="288">
        <f>MATCH(B48,'42-02-18 מוזיאונים'!$A$5:$A$46,0)</f>
        <v>34</v>
      </c>
      <c r="P48" s="288" t="e">
        <f>MATCH(B48,'42-02-18 מוזיאונים'!$A$52:$A$58,0)</f>
        <v>#N/A</v>
      </c>
      <c r="Q48" s="121"/>
      <c r="R48" s="121"/>
      <c r="S48" s="814" t="e">
        <f>J114-'42-02-18 מוזיאונים'!#REF!</f>
        <v>#REF!</v>
      </c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</row>
    <row r="49" spans="1:86" s="62" customFormat="1" ht="39.950000000000003" customHeight="1" x14ac:dyDescent="0.2">
      <c r="A49" s="51" t="s">
        <v>995</v>
      </c>
      <c r="B49" s="105">
        <v>580468692</v>
      </c>
      <c r="C49" s="130">
        <v>1000532408</v>
      </c>
      <c r="D49" s="48">
        <v>40235206</v>
      </c>
      <c r="E49" s="46">
        <v>0</v>
      </c>
      <c r="F49" s="46">
        <v>0</v>
      </c>
      <c r="G49" s="46">
        <v>26233</v>
      </c>
      <c r="H49" s="119">
        <v>42175</v>
      </c>
      <c r="I49" s="46">
        <v>59783</v>
      </c>
      <c r="J49" s="46">
        <v>70568</v>
      </c>
      <c r="K49" s="46">
        <v>70568</v>
      </c>
      <c r="L49" s="46">
        <f t="shared" si="0"/>
        <v>0</v>
      </c>
      <c r="M49" s="299"/>
      <c r="O49" s="288">
        <f>MATCH(B49,'42-02-18 מוזיאונים'!$A$5:$A$46,0)</f>
        <v>40</v>
      </c>
      <c r="P49" s="288" t="e">
        <f>MATCH(B49,'42-02-18 מוזיאונים'!$A$52:$A$58,0)</f>
        <v>#N/A</v>
      </c>
    </row>
    <row r="50" spans="1:86" s="62" customFormat="1" ht="39.950000000000003" customHeight="1" x14ac:dyDescent="0.2">
      <c r="A50" s="51" t="s">
        <v>996</v>
      </c>
      <c r="B50" s="105">
        <v>580446128</v>
      </c>
      <c r="C50" s="130">
        <v>1000545833</v>
      </c>
      <c r="D50" s="48">
        <v>40268014</v>
      </c>
      <c r="E50" s="46">
        <v>80764</v>
      </c>
      <c r="F50" s="46">
        <v>77973</v>
      </c>
      <c r="G50" s="46">
        <v>54965</v>
      </c>
      <c r="H50" s="119">
        <v>77244</v>
      </c>
      <c r="I50" s="119">
        <v>75000</v>
      </c>
      <c r="J50" s="46">
        <v>85245</v>
      </c>
      <c r="K50" s="119">
        <v>85245</v>
      </c>
      <c r="L50" s="46">
        <f t="shared" si="0"/>
        <v>0</v>
      </c>
      <c r="M50" s="127"/>
      <c r="O50" s="288">
        <f>MATCH(B50,'42-02-18 מוזיאונים'!$A$5:$A$46,0)</f>
        <v>31</v>
      </c>
      <c r="P50" s="288" t="e">
        <f>MATCH(B50,'42-02-18 מוזיאונים'!$A$52:$A$58,0)</f>
        <v>#N/A</v>
      </c>
    </row>
    <row r="51" spans="1:86" s="62" customFormat="1" ht="39" customHeight="1" x14ac:dyDescent="0.2">
      <c r="A51" s="51" t="s">
        <v>997</v>
      </c>
      <c r="B51" s="105">
        <v>500223078</v>
      </c>
      <c r="C51" s="130">
        <v>1000547431</v>
      </c>
      <c r="D51" s="48">
        <v>20000134</v>
      </c>
      <c r="E51" s="46">
        <v>117060</v>
      </c>
      <c r="F51" s="46">
        <v>121263</v>
      </c>
      <c r="G51" s="46">
        <v>116524</v>
      </c>
      <c r="H51" s="119">
        <v>123132</v>
      </c>
      <c r="I51" s="46">
        <v>122984</v>
      </c>
      <c r="J51" s="46">
        <v>122945</v>
      </c>
      <c r="K51" s="46">
        <v>122945</v>
      </c>
      <c r="L51" s="46">
        <f t="shared" si="0"/>
        <v>0</v>
      </c>
      <c r="M51" s="412"/>
      <c r="N51" s="121"/>
      <c r="O51" s="288" t="e">
        <f>MATCH(B51,'42-02-18 מוזיאונים'!$A$5:$A$46,0)</f>
        <v>#N/A</v>
      </c>
      <c r="P51" s="288">
        <f>MATCH(B51,'42-02-18 מוזיאונים'!$A$52:$A$58,0)</f>
        <v>1</v>
      </c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</row>
    <row r="52" spans="1:86" s="62" customFormat="1" ht="57.75" customHeight="1" x14ac:dyDescent="0.2">
      <c r="A52" s="51" t="s">
        <v>998</v>
      </c>
      <c r="B52" s="50">
        <v>511757114</v>
      </c>
      <c r="C52" s="130">
        <v>1000543655</v>
      </c>
      <c r="D52" s="48">
        <v>40000291</v>
      </c>
      <c r="E52" s="46">
        <v>96325</v>
      </c>
      <c r="F52" s="119">
        <v>141177</v>
      </c>
      <c r="G52" s="119">
        <v>164793</v>
      </c>
      <c r="H52" s="119">
        <v>184205</v>
      </c>
      <c r="I52" s="46">
        <v>229219</v>
      </c>
      <c r="J52" s="46">
        <v>285145</v>
      </c>
      <c r="K52" s="46">
        <v>285145</v>
      </c>
      <c r="L52" s="46">
        <f>J52-K52</f>
        <v>0</v>
      </c>
      <c r="M52" s="248"/>
      <c r="O52" s="288">
        <f>MATCH(B52,'42-02-18 מוזיאונים'!$A$5:$A$46,0)</f>
        <v>39</v>
      </c>
      <c r="P52" s="288" t="e">
        <f>MATCH(B52,'42-02-18 מוזיאונים'!$A$52:$A$58,0)</f>
        <v>#N/A</v>
      </c>
    </row>
    <row r="53" spans="1:86" s="62" customFormat="1" ht="39.950000000000003" customHeight="1" x14ac:dyDescent="0.2">
      <c r="A53" s="51" t="s">
        <v>999</v>
      </c>
      <c r="B53" s="105">
        <v>500200282</v>
      </c>
      <c r="C53" s="130">
        <v>1000544092</v>
      </c>
      <c r="D53" s="48">
        <v>20000002</v>
      </c>
      <c r="E53" s="46">
        <v>146166</v>
      </c>
      <c r="F53" s="46">
        <v>145764</v>
      </c>
      <c r="G53" s="46">
        <v>135220</v>
      </c>
      <c r="H53" s="119">
        <v>142888</v>
      </c>
      <c r="I53" s="46">
        <v>131777</v>
      </c>
      <c r="J53" s="46">
        <v>122258</v>
      </c>
      <c r="K53" s="46">
        <v>122258</v>
      </c>
      <c r="L53" s="46">
        <f>J53-K53</f>
        <v>0</v>
      </c>
      <c r="M53" s="412"/>
      <c r="N53" s="121"/>
      <c r="O53" s="288" t="e">
        <f>MATCH(B53,'42-02-18 מוזיאונים'!$A$5:$A$46,0)</f>
        <v>#N/A</v>
      </c>
      <c r="P53" s="288">
        <f>MATCH(B53,'42-02-18 מוזיאונים'!$A$52:$A$58,0)</f>
        <v>2</v>
      </c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</row>
    <row r="54" spans="1:86" s="62" customFormat="1" ht="46.5" customHeight="1" x14ac:dyDescent="0.2">
      <c r="A54" s="51" t="s">
        <v>1000</v>
      </c>
      <c r="B54" s="105">
        <v>510796527</v>
      </c>
      <c r="C54" s="130">
        <v>1000540889</v>
      </c>
      <c r="D54" s="48">
        <v>40000280</v>
      </c>
      <c r="E54" s="46">
        <v>133401</v>
      </c>
      <c r="F54" s="46">
        <v>153577</v>
      </c>
      <c r="G54" s="46">
        <v>138570</v>
      </c>
      <c r="H54" s="119">
        <v>140656</v>
      </c>
      <c r="I54" s="46">
        <v>148552</v>
      </c>
      <c r="J54" s="46">
        <v>157009</v>
      </c>
      <c r="K54" s="46">
        <v>157009</v>
      </c>
      <c r="L54" s="46">
        <f>J54-K54</f>
        <v>0</v>
      </c>
      <c r="M54" s="262"/>
      <c r="O54" s="288">
        <f>MATCH(B54,'42-02-18 מוזיאונים'!$A$5:$A$46,0)</f>
        <v>36</v>
      </c>
      <c r="P54" s="288" t="e">
        <f>MATCH(B54,'42-02-18 מוזיאונים'!$A$52:$A$58,0)</f>
        <v>#N/A</v>
      </c>
    </row>
    <row r="55" spans="1:86" s="62" customFormat="1" ht="48" customHeight="1" x14ac:dyDescent="0.2">
      <c r="A55" s="55" t="s">
        <v>951</v>
      </c>
      <c r="B55" s="50">
        <v>500290002</v>
      </c>
      <c r="C55" s="130">
        <v>1000537736</v>
      </c>
      <c r="D55" s="48">
        <v>20000254</v>
      </c>
      <c r="E55" s="46">
        <v>89026</v>
      </c>
      <c r="F55" s="46">
        <v>112406</v>
      </c>
      <c r="G55" s="46">
        <v>101210</v>
      </c>
      <c r="H55" s="119">
        <v>109918</v>
      </c>
      <c r="I55" s="46">
        <v>131171</v>
      </c>
      <c r="J55" s="46">
        <v>139506</v>
      </c>
      <c r="K55" s="46">
        <v>139506</v>
      </c>
      <c r="L55" s="46">
        <f>J55-K55</f>
        <v>0</v>
      </c>
      <c r="M55" s="412"/>
      <c r="N55" s="121"/>
      <c r="O55" s="288" t="e">
        <f>MATCH(B55,'42-02-18 מוזיאונים'!$A$5:$A$46,0)</f>
        <v>#N/A</v>
      </c>
      <c r="P55" s="288">
        <f>MATCH(B55,'42-02-18 מוזיאונים'!$A$52:$A$58,0)</f>
        <v>7</v>
      </c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</row>
    <row r="56" spans="1:86" s="62" customFormat="1" ht="39.950000000000003" customHeight="1" x14ac:dyDescent="0.2">
      <c r="A56" s="51" t="s">
        <v>1001</v>
      </c>
      <c r="B56" s="105">
        <v>580011021</v>
      </c>
      <c r="C56" s="418">
        <v>1000544645</v>
      </c>
      <c r="D56" s="48">
        <v>40209192</v>
      </c>
      <c r="E56" s="46">
        <v>214645</v>
      </c>
      <c r="F56" s="46">
        <v>219705</v>
      </c>
      <c r="G56" s="46">
        <v>212876</v>
      </c>
      <c r="H56" s="119">
        <v>190858</v>
      </c>
      <c r="I56" s="46">
        <v>172301</v>
      </c>
      <c r="J56" s="46">
        <v>178383</v>
      </c>
      <c r="K56" s="46">
        <v>178383</v>
      </c>
      <c r="L56" s="46">
        <f>J56-K56</f>
        <v>0</v>
      </c>
      <c r="M56" s="248"/>
      <c r="N56" s="121"/>
      <c r="O56" s="288" t="e">
        <f>MATCH(B56,'42-02-18 מוזיאונים'!$A$5:$A$46,0)</f>
        <v>#N/A</v>
      </c>
      <c r="P56" s="288" t="e">
        <f>MATCH(B56,'42-02-18 מוזיאונים'!$A$52:$A$58,0)</f>
        <v>#N/A</v>
      </c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</row>
    <row r="57" spans="1:86" s="62" customFormat="1" ht="39.950000000000003" customHeight="1" x14ac:dyDescent="0.2">
      <c r="A57" s="51" t="s">
        <v>1002</v>
      </c>
      <c r="B57" s="105">
        <v>520028275</v>
      </c>
      <c r="C57" s="130">
        <v>1000545330</v>
      </c>
      <c r="D57" s="48">
        <v>40000043</v>
      </c>
      <c r="E57" s="46">
        <v>14800000</v>
      </c>
      <c r="F57" s="46">
        <v>15541706</v>
      </c>
      <c r="G57" s="46">
        <v>15320000</v>
      </c>
      <c r="H57" s="119">
        <v>15351481</v>
      </c>
      <c r="I57" s="46">
        <v>16465487</v>
      </c>
      <c r="J57" s="46">
        <v>16866809</v>
      </c>
      <c r="K57" s="46">
        <v>16866809</v>
      </c>
      <c r="L57" s="46">
        <f t="shared" si="0"/>
        <v>0</v>
      </c>
      <c r="M57" s="129"/>
      <c r="O57" s="288">
        <f>MATCH(B57,'42-02-18 מוזיאונים'!$A$5:$A$46,0)</f>
        <v>1</v>
      </c>
      <c r="P57" s="288" t="e">
        <f>MATCH(B57,'42-02-18 מוזיאונים'!$A$52:$A$58,0)</f>
        <v>#N/A</v>
      </c>
    </row>
    <row r="58" spans="1:86" s="62" customFormat="1" ht="36" customHeight="1" x14ac:dyDescent="0.2">
      <c r="A58" s="51" t="s">
        <v>1003</v>
      </c>
      <c r="B58" s="105">
        <v>580039162</v>
      </c>
      <c r="C58" s="49">
        <v>1000540282</v>
      </c>
      <c r="D58" s="48">
        <v>40000099</v>
      </c>
      <c r="E58" s="46">
        <v>14727</v>
      </c>
      <c r="F58" s="101">
        <v>18750</v>
      </c>
      <c r="G58" s="46">
        <v>22500</v>
      </c>
      <c r="H58" s="46">
        <v>0</v>
      </c>
      <c r="I58" s="46">
        <v>14250</v>
      </c>
      <c r="J58" s="46">
        <v>10682</v>
      </c>
      <c r="K58" s="46">
        <v>10682</v>
      </c>
      <c r="L58" s="46">
        <f t="shared" si="0"/>
        <v>0</v>
      </c>
      <c r="M58" s="419"/>
      <c r="O58" s="288">
        <f>MATCH(B58,'42-02-18 מוזיאונים'!$A$5:$A$46,0)</f>
        <v>12</v>
      </c>
      <c r="P58" s="288" t="e">
        <f>MATCH(B58,'42-02-18 מוזיאונים'!$A$52:$A$58,0)</f>
        <v>#N/A</v>
      </c>
    </row>
    <row r="59" spans="1:86" s="62" customFormat="1" ht="32.25" customHeight="1" x14ac:dyDescent="0.2">
      <c r="A59" s="51" t="s">
        <v>1004</v>
      </c>
      <c r="B59" s="105">
        <v>580002780</v>
      </c>
      <c r="C59" s="49">
        <v>1000542589</v>
      </c>
      <c r="D59" s="48">
        <v>40000049</v>
      </c>
      <c r="E59" s="46"/>
      <c r="F59" s="46"/>
      <c r="G59" s="46"/>
      <c r="H59" s="46"/>
      <c r="I59" s="46">
        <v>0</v>
      </c>
      <c r="J59" s="46">
        <v>18000</v>
      </c>
      <c r="K59" s="46">
        <v>18000</v>
      </c>
      <c r="L59" s="46">
        <f t="shared" si="0"/>
        <v>0</v>
      </c>
      <c r="M59" s="88"/>
      <c r="O59" s="288">
        <f>MATCH(B59,'42-02-18 מוזיאונים'!$A$5:$A$46,0)</f>
        <v>41</v>
      </c>
      <c r="P59" s="288" t="e">
        <f>MATCH(B59,'42-02-18 מוזיאונים'!$A$52:$A$58,0)</f>
        <v>#N/A</v>
      </c>
    </row>
    <row r="60" spans="1:86" s="62" customFormat="1" ht="46.5" customHeight="1" x14ac:dyDescent="0.2">
      <c r="A60" s="51" t="s">
        <v>1005</v>
      </c>
      <c r="B60" s="105">
        <v>580117521</v>
      </c>
      <c r="C60" s="49">
        <v>1000535798</v>
      </c>
      <c r="D60" s="48">
        <v>40000479</v>
      </c>
      <c r="E60" s="46"/>
      <c r="F60" s="101"/>
      <c r="G60" s="46"/>
      <c r="H60" s="46"/>
      <c r="I60" s="46">
        <v>0</v>
      </c>
      <c r="J60" s="46">
        <v>101775</v>
      </c>
      <c r="K60" s="46">
        <v>101775</v>
      </c>
      <c r="L60" s="46">
        <f t="shared" si="0"/>
        <v>0</v>
      </c>
      <c r="M60" s="419"/>
      <c r="O60" s="288">
        <f>MATCH(B60,'42-02-18 מוזיאונים'!$A$5:$A$46,0)</f>
        <v>23</v>
      </c>
      <c r="P60" s="288" t="e">
        <f>MATCH(B60,'42-02-18 מוזיאונים'!$A$52:$A$58,0)</f>
        <v>#N/A</v>
      </c>
    </row>
    <row r="61" spans="1:86" s="62" customFormat="1" ht="36" customHeight="1" x14ac:dyDescent="0.2">
      <c r="A61" s="51" t="s">
        <v>1006</v>
      </c>
      <c r="B61" s="105">
        <v>580002780</v>
      </c>
      <c r="C61" s="49">
        <v>1000582242</v>
      </c>
      <c r="D61" s="48">
        <v>40000049</v>
      </c>
      <c r="E61" s="46">
        <v>0</v>
      </c>
      <c r="F61" s="46">
        <v>0</v>
      </c>
      <c r="G61" s="46">
        <v>0</v>
      </c>
      <c r="H61" s="46">
        <v>95388</v>
      </c>
      <c r="I61" s="46">
        <v>51450</v>
      </c>
      <c r="J61" s="46">
        <v>67500</v>
      </c>
      <c r="K61" s="46">
        <v>67500</v>
      </c>
      <c r="L61" s="46">
        <f t="shared" si="0"/>
        <v>0</v>
      </c>
      <c r="M61" s="88"/>
      <c r="O61" s="288">
        <f>MATCH(B61,'42-02-18 מוזיאונים'!$A$5:$A$46,0)</f>
        <v>41</v>
      </c>
      <c r="P61" s="288" t="e">
        <f>MATCH(B61,'42-02-18 מוזיאונים'!$A$52:$A$58,0)</f>
        <v>#N/A</v>
      </c>
    </row>
    <row r="62" spans="1:86" s="62" customFormat="1" ht="51" customHeight="1" x14ac:dyDescent="0.2">
      <c r="A62" s="51" t="s">
        <v>1007</v>
      </c>
      <c r="B62" s="105">
        <v>580067338</v>
      </c>
      <c r="C62" s="49">
        <v>1000542048</v>
      </c>
      <c r="D62" s="48">
        <v>40002836</v>
      </c>
      <c r="E62" s="46">
        <v>0</v>
      </c>
      <c r="F62" s="101">
        <v>0</v>
      </c>
      <c r="G62" s="46">
        <v>0</v>
      </c>
      <c r="H62" s="46">
        <v>0</v>
      </c>
      <c r="I62" s="46">
        <v>19350</v>
      </c>
      <c r="J62" s="46">
        <v>22500</v>
      </c>
      <c r="K62" s="46">
        <v>22500</v>
      </c>
      <c r="L62" s="46">
        <f t="shared" si="0"/>
        <v>0</v>
      </c>
      <c r="M62" s="127"/>
      <c r="O62" s="288">
        <f>MATCH(B62,'42-02-18 מוזיאונים'!$A$5:$A$46,0)</f>
        <v>13</v>
      </c>
      <c r="P62" s="288" t="e">
        <f>MATCH(B62,'42-02-18 מוזיאונים'!$A$52:$A$58,0)</f>
        <v>#N/A</v>
      </c>
    </row>
    <row r="63" spans="1:86" s="62" customFormat="1" ht="45" customHeight="1" x14ac:dyDescent="0.2">
      <c r="A63" s="51" t="s">
        <v>1008</v>
      </c>
      <c r="B63" s="105">
        <v>580055929</v>
      </c>
      <c r="C63" s="49">
        <v>1000533321</v>
      </c>
      <c r="D63" s="48">
        <v>40000408</v>
      </c>
      <c r="E63" s="46">
        <v>28267</v>
      </c>
      <c r="F63" s="101">
        <v>8400</v>
      </c>
      <c r="G63" s="46">
        <v>3375</v>
      </c>
      <c r="H63" s="46">
        <v>14789</v>
      </c>
      <c r="I63" s="46">
        <v>13500</v>
      </c>
      <c r="J63" s="46">
        <v>25500</v>
      </c>
      <c r="K63" s="46">
        <v>25500</v>
      </c>
      <c r="L63" s="46">
        <f t="shared" si="0"/>
        <v>0</v>
      </c>
      <c r="M63" s="420"/>
      <c r="O63" s="288">
        <f>MATCH(B63,'42-02-18 מוזיאונים'!$A$5:$A$46,0)</f>
        <v>9</v>
      </c>
      <c r="P63" s="288" t="e">
        <f>MATCH(B63,'42-02-18 מוזיאונים'!$A$52:$A$58,0)</f>
        <v>#N/A</v>
      </c>
    </row>
    <row r="64" spans="1:86" s="62" customFormat="1" ht="44.25" customHeight="1" x14ac:dyDescent="0.2">
      <c r="A64" s="51" t="s">
        <v>1009</v>
      </c>
      <c r="B64" s="105">
        <v>580036887</v>
      </c>
      <c r="C64" s="49">
        <v>1000537210</v>
      </c>
      <c r="D64" s="48">
        <v>40000092</v>
      </c>
      <c r="E64" s="46">
        <v>17000</v>
      </c>
      <c r="F64" s="101">
        <v>22500</v>
      </c>
      <c r="G64" s="46">
        <v>18000</v>
      </c>
      <c r="H64" s="46">
        <v>0</v>
      </c>
      <c r="I64" s="46">
        <v>30000</v>
      </c>
      <c r="J64" s="46">
        <v>29250</v>
      </c>
      <c r="K64" s="46">
        <v>29250</v>
      </c>
      <c r="L64" s="46">
        <f t="shared" si="0"/>
        <v>0</v>
      </c>
      <c r="M64" s="420"/>
      <c r="O64" s="288">
        <f>MATCH(B64,'42-02-18 מוזיאונים'!$A$5:$A$46,0)</f>
        <v>37</v>
      </c>
      <c r="P64" s="288" t="e">
        <f>MATCH(B64,'42-02-18 מוזיאונים'!$A$52:$A$58,0)</f>
        <v>#N/A</v>
      </c>
    </row>
    <row r="65" spans="1:16" s="62" customFormat="1" ht="38.25" customHeight="1" x14ac:dyDescent="0.2">
      <c r="A65" s="51" t="s">
        <v>1010</v>
      </c>
      <c r="B65" s="105">
        <v>580036887</v>
      </c>
      <c r="C65" s="49">
        <v>1000583249</v>
      </c>
      <c r="D65" s="48">
        <v>40000092</v>
      </c>
      <c r="E65" s="46">
        <v>0</v>
      </c>
      <c r="F65" s="101">
        <v>0</v>
      </c>
      <c r="G65" s="46">
        <v>3750</v>
      </c>
      <c r="H65" s="46">
        <v>18486</v>
      </c>
      <c r="I65" s="46">
        <v>22500</v>
      </c>
      <c r="J65" s="46">
        <v>56250</v>
      </c>
      <c r="K65" s="46">
        <v>56250</v>
      </c>
      <c r="L65" s="46">
        <f t="shared" si="0"/>
        <v>0</v>
      </c>
      <c r="M65" s="420"/>
      <c r="O65" s="288">
        <f>MATCH(B65,'42-02-18 מוזיאונים'!$A$5:$A$46,0)</f>
        <v>37</v>
      </c>
      <c r="P65" s="288" t="e">
        <f>MATCH(B65,'42-02-18 מוזיאונים'!$A$52:$A$58,0)</f>
        <v>#N/A</v>
      </c>
    </row>
    <row r="66" spans="1:16" s="62" customFormat="1" ht="39" customHeight="1" x14ac:dyDescent="0.2">
      <c r="A66" s="51" t="s">
        <v>1011</v>
      </c>
      <c r="B66" s="105">
        <v>510177587</v>
      </c>
      <c r="C66" s="49">
        <v>1000580845</v>
      </c>
      <c r="D66" s="48">
        <v>40000007</v>
      </c>
      <c r="E66" s="46">
        <v>0</v>
      </c>
      <c r="F66" s="101">
        <v>0</v>
      </c>
      <c r="G66" s="46">
        <v>0</v>
      </c>
      <c r="H66" s="46">
        <v>42000</v>
      </c>
      <c r="I66" s="46">
        <v>86250</v>
      </c>
      <c r="J66" s="46">
        <v>73125</v>
      </c>
      <c r="K66" s="46">
        <v>73125</v>
      </c>
      <c r="L66" s="46">
        <f t="shared" si="0"/>
        <v>0</v>
      </c>
      <c r="M66" s="420"/>
      <c r="O66" s="288">
        <f>MATCH(B66,'42-02-18 מוזיאונים'!$A$5:$A$46,0)</f>
        <v>8</v>
      </c>
      <c r="P66" s="288" t="e">
        <f>MATCH(B66,'42-02-18 מוזיאונים'!$A$52:$A$58,0)</f>
        <v>#N/A</v>
      </c>
    </row>
    <row r="67" spans="1:16" s="62" customFormat="1" ht="37.5" customHeight="1" x14ac:dyDescent="0.2">
      <c r="A67" s="51" t="s">
        <v>1012</v>
      </c>
      <c r="B67" s="105">
        <v>510177587</v>
      </c>
      <c r="C67" s="49">
        <v>1000541029</v>
      </c>
      <c r="D67" s="48">
        <v>40000007</v>
      </c>
      <c r="E67" s="46">
        <v>60000</v>
      </c>
      <c r="F67" s="101">
        <v>36000</v>
      </c>
      <c r="G67" s="46">
        <v>63000</v>
      </c>
      <c r="H67" s="46">
        <v>93960</v>
      </c>
      <c r="I67" s="46">
        <v>0</v>
      </c>
      <c r="J67" s="46">
        <v>26550</v>
      </c>
      <c r="K67" s="46">
        <v>26550</v>
      </c>
      <c r="L67" s="46">
        <f t="shared" si="0"/>
        <v>0</v>
      </c>
      <c r="M67" s="420"/>
      <c r="O67" s="288">
        <f>MATCH(B67,'42-02-18 מוזיאונים'!$A$5:$A$46,0)</f>
        <v>8</v>
      </c>
      <c r="P67" s="288" t="e">
        <f>MATCH(B67,'42-02-18 מוזיאונים'!$A$52:$A$58,0)</f>
        <v>#N/A</v>
      </c>
    </row>
    <row r="68" spans="1:16" s="62" customFormat="1" ht="33.75" customHeight="1" x14ac:dyDescent="0.2">
      <c r="A68" s="51" t="s">
        <v>1013</v>
      </c>
      <c r="B68" s="105">
        <v>520028275</v>
      </c>
      <c r="C68" s="49">
        <v>1000583680</v>
      </c>
      <c r="D68" s="48">
        <v>40000043</v>
      </c>
      <c r="E68" s="46">
        <v>0</v>
      </c>
      <c r="F68" s="46">
        <v>0</v>
      </c>
      <c r="G68" s="46">
        <v>0</v>
      </c>
      <c r="H68" s="46">
        <v>303542</v>
      </c>
      <c r="I68" s="46">
        <v>150000</v>
      </c>
      <c r="J68" s="46">
        <v>168750</v>
      </c>
      <c r="K68" s="46">
        <v>168750</v>
      </c>
      <c r="L68" s="46">
        <f t="shared" si="0"/>
        <v>0</v>
      </c>
      <c r="M68" s="129"/>
      <c r="O68" s="288">
        <f>MATCH(B68,'42-02-18 מוזיאונים'!$A$5:$A$46,0)</f>
        <v>1</v>
      </c>
      <c r="P68" s="288" t="e">
        <f>MATCH(B68,'42-02-18 מוזיאונים'!$A$52:$A$58,0)</f>
        <v>#N/A</v>
      </c>
    </row>
    <row r="69" spans="1:16" s="62" customFormat="1" ht="47.25" customHeight="1" x14ac:dyDescent="0.2">
      <c r="A69" s="51" t="s">
        <v>1014</v>
      </c>
      <c r="B69" s="105">
        <v>580335818</v>
      </c>
      <c r="C69" s="49">
        <v>1000583573</v>
      </c>
      <c r="D69" s="48">
        <v>40209197</v>
      </c>
      <c r="E69" s="46">
        <v>0</v>
      </c>
      <c r="F69" s="46">
        <v>0</v>
      </c>
      <c r="G69" s="46">
        <v>13275</v>
      </c>
      <c r="H69" s="46">
        <v>43627</v>
      </c>
      <c r="I69" s="46">
        <v>0</v>
      </c>
      <c r="J69" s="46">
        <v>32250</v>
      </c>
      <c r="K69" s="46">
        <v>32250</v>
      </c>
      <c r="L69" s="46">
        <f t="shared" si="0"/>
        <v>0</v>
      </c>
      <c r="M69" s="421"/>
      <c r="O69" s="288">
        <f>MATCH(B69,'42-02-18 מוזיאונים'!$A$5:$A$46,0)</f>
        <v>34</v>
      </c>
      <c r="P69" s="288" t="e">
        <f>MATCH(B69,'42-02-18 מוזיאונים'!$A$52:$A$58,0)</f>
        <v>#N/A</v>
      </c>
    </row>
    <row r="70" spans="1:16" s="62" customFormat="1" ht="46.5" customHeight="1" x14ac:dyDescent="0.2">
      <c r="A70" s="51" t="s">
        <v>1015</v>
      </c>
      <c r="B70" s="105">
        <v>580006310</v>
      </c>
      <c r="C70" s="49">
        <v>1000545019</v>
      </c>
      <c r="D70" s="48">
        <v>40000323</v>
      </c>
      <c r="E70" s="46">
        <v>15000</v>
      </c>
      <c r="F70" s="101">
        <v>18750</v>
      </c>
      <c r="G70" s="46">
        <v>7950</v>
      </c>
      <c r="H70" s="46">
        <v>0</v>
      </c>
      <c r="I70" s="46">
        <v>39000</v>
      </c>
      <c r="J70" s="46">
        <v>51000</v>
      </c>
      <c r="K70" s="46">
        <v>51000</v>
      </c>
      <c r="L70" s="46">
        <f t="shared" si="0"/>
        <v>0</v>
      </c>
      <c r="M70" s="420"/>
      <c r="O70" s="288">
        <f>MATCH(B70,'42-02-18 מוזיאונים'!$A$5:$A$46,0)</f>
        <v>21</v>
      </c>
      <c r="P70" s="288" t="e">
        <f>MATCH(B70,'42-02-18 מוזיאונים'!$A$52:$A$58,0)</f>
        <v>#N/A</v>
      </c>
    </row>
    <row r="71" spans="1:16" s="62" customFormat="1" ht="27.75" customHeight="1" x14ac:dyDescent="0.2">
      <c r="A71" s="51" t="s">
        <v>1016</v>
      </c>
      <c r="B71" s="105">
        <v>510730898</v>
      </c>
      <c r="C71" s="49">
        <v>1000541008</v>
      </c>
      <c r="D71" s="48">
        <v>40000026</v>
      </c>
      <c r="E71" s="46">
        <v>90090</v>
      </c>
      <c r="F71" s="101">
        <v>30000</v>
      </c>
      <c r="G71" s="46">
        <v>56250</v>
      </c>
      <c r="H71" s="46">
        <v>100000</v>
      </c>
      <c r="I71" s="46">
        <v>37500</v>
      </c>
      <c r="J71" s="46">
        <v>25777</v>
      </c>
      <c r="K71" s="46">
        <v>25777</v>
      </c>
      <c r="L71" s="46">
        <f t="shared" ref="L71:L105" si="1">J71-K71</f>
        <v>0</v>
      </c>
      <c r="M71" s="248"/>
      <c r="O71" s="288">
        <f>MATCH(B71,'42-02-18 מוזיאונים'!$A$5:$A$46,0)</f>
        <v>2</v>
      </c>
      <c r="P71" s="288" t="e">
        <f>MATCH(B71,'42-02-18 מוזיאונים'!$A$52:$A$58,0)</f>
        <v>#N/A</v>
      </c>
    </row>
    <row r="72" spans="1:16" s="62" customFormat="1" ht="47.25" customHeight="1" x14ac:dyDescent="0.2">
      <c r="A72" s="51" t="s">
        <v>1017</v>
      </c>
      <c r="B72" s="105">
        <v>510730898</v>
      </c>
      <c r="C72" s="49">
        <v>1000582733</v>
      </c>
      <c r="D72" s="48">
        <v>40000026</v>
      </c>
      <c r="E72" s="46">
        <v>0</v>
      </c>
      <c r="F72" s="101">
        <v>17745</v>
      </c>
      <c r="G72" s="46">
        <v>7500</v>
      </c>
      <c r="H72" s="46">
        <v>220778</v>
      </c>
      <c r="I72" s="46">
        <v>90000</v>
      </c>
      <c r="J72" s="46">
        <v>98250</v>
      </c>
      <c r="K72" s="46">
        <v>98250</v>
      </c>
      <c r="L72" s="46">
        <f t="shared" si="1"/>
        <v>0</v>
      </c>
      <c r="M72" s="248"/>
      <c r="O72" s="288">
        <f>MATCH(B72,'42-02-18 מוזיאונים'!$A$5:$A$46,0)</f>
        <v>2</v>
      </c>
      <c r="P72" s="288" t="e">
        <f>MATCH(B72,'42-02-18 מוזיאונים'!$A$52:$A$58,0)</f>
        <v>#N/A</v>
      </c>
    </row>
    <row r="73" spans="1:16" s="62" customFormat="1" ht="38.25" x14ac:dyDescent="0.2">
      <c r="A73" s="51" t="s">
        <v>1018</v>
      </c>
      <c r="B73" s="105">
        <v>580067338</v>
      </c>
      <c r="C73" s="49">
        <v>1000583550</v>
      </c>
      <c r="D73" s="48">
        <v>40002836</v>
      </c>
      <c r="E73" s="46">
        <v>21000</v>
      </c>
      <c r="F73" s="101">
        <v>7650</v>
      </c>
      <c r="G73" s="46">
        <v>3750</v>
      </c>
      <c r="H73" s="46">
        <v>24648</v>
      </c>
      <c r="I73" s="46">
        <v>22500</v>
      </c>
      <c r="J73" s="46">
        <v>30000</v>
      </c>
      <c r="K73" s="46">
        <v>30000</v>
      </c>
      <c r="L73" s="46">
        <f t="shared" si="1"/>
        <v>0</v>
      </c>
      <c r="M73" s="128"/>
      <c r="O73" s="288">
        <f>MATCH(B73,'42-02-18 מוזיאונים'!$A$5:$A$46,0)</f>
        <v>13</v>
      </c>
      <c r="P73" s="288" t="e">
        <f>MATCH(B73,'42-02-18 מוזיאונים'!$A$52:$A$58,0)</f>
        <v>#N/A</v>
      </c>
    </row>
    <row r="74" spans="1:16" s="62" customFormat="1" ht="30" customHeight="1" x14ac:dyDescent="0.2">
      <c r="A74" s="51" t="s">
        <v>1019</v>
      </c>
      <c r="B74" s="105">
        <v>580292639</v>
      </c>
      <c r="C74" s="49">
        <v>1000553281</v>
      </c>
      <c r="D74" s="48">
        <v>40000215</v>
      </c>
      <c r="E74" s="46">
        <v>0</v>
      </c>
      <c r="F74" s="101">
        <v>0</v>
      </c>
      <c r="G74" s="46">
        <v>0</v>
      </c>
      <c r="H74" s="46">
        <v>0</v>
      </c>
      <c r="I74" s="46">
        <v>100000</v>
      </c>
      <c r="J74" s="46">
        <v>37500</v>
      </c>
      <c r="K74" s="46">
        <v>37500</v>
      </c>
      <c r="L74" s="46">
        <f t="shared" si="1"/>
        <v>0</v>
      </c>
      <c r="M74" s="420"/>
      <c r="O74" s="288">
        <f>MATCH(B74,'42-02-18 מוזיאונים'!$A$5:$A$46,0)</f>
        <v>15</v>
      </c>
      <c r="P74" s="288" t="e">
        <f>MATCH(B74,'42-02-18 מוזיאונים'!$A$52:$A$58,0)</f>
        <v>#N/A</v>
      </c>
    </row>
    <row r="75" spans="1:16" s="62" customFormat="1" ht="42.75" customHeight="1" x14ac:dyDescent="0.2">
      <c r="A75" s="51" t="s">
        <v>1020</v>
      </c>
      <c r="B75" s="105">
        <v>580292639</v>
      </c>
      <c r="C75" s="49">
        <v>1000553650</v>
      </c>
      <c r="D75" s="48">
        <v>40000215</v>
      </c>
      <c r="E75" s="46">
        <v>22500</v>
      </c>
      <c r="F75" s="101">
        <v>31000</v>
      </c>
      <c r="G75" s="46">
        <v>0</v>
      </c>
      <c r="H75" s="46">
        <v>0</v>
      </c>
      <c r="I75" s="46">
        <v>18750</v>
      </c>
      <c r="J75" s="46">
        <v>15000</v>
      </c>
      <c r="K75" s="46">
        <v>15000</v>
      </c>
      <c r="L75" s="46">
        <f t="shared" si="1"/>
        <v>0</v>
      </c>
      <c r="M75" s="420"/>
      <c r="O75" s="288">
        <f>MATCH(B75,'42-02-18 מוזיאונים'!$A$5:$A$46,0)</f>
        <v>15</v>
      </c>
      <c r="P75" s="288" t="e">
        <f>MATCH(B75,'42-02-18 מוזיאונים'!$A$52:$A$58,0)</f>
        <v>#N/A</v>
      </c>
    </row>
    <row r="76" spans="1:16" s="62" customFormat="1" ht="38.25" customHeight="1" x14ac:dyDescent="0.2">
      <c r="A76" s="51" t="s">
        <v>1021</v>
      </c>
      <c r="B76" s="105">
        <v>580292639</v>
      </c>
      <c r="C76" s="49">
        <v>1000583538</v>
      </c>
      <c r="D76" s="48">
        <v>40000215</v>
      </c>
      <c r="E76" s="46">
        <v>0</v>
      </c>
      <c r="F76" s="101">
        <v>16800</v>
      </c>
      <c r="G76" s="46">
        <v>3750</v>
      </c>
      <c r="H76" s="46">
        <v>20704</v>
      </c>
      <c r="I76" s="46">
        <v>11250</v>
      </c>
      <c r="J76" s="46">
        <v>14100</v>
      </c>
      <c r="K76" s="46">
        <v>14100</v>
      </c>
      <c r="L76" s="46">
        <f t="shared" si="1"/>
        <v>0</v>
      </c>
      <c r="M76" s="420"/>
      <c r="O76" s="288">
        <f>MATCH(B76,'42-02-18 מוזיאונים'!$A$5:$A$46,0)</f>
        <v>15</v>
      </c>
      <c r="P76" s="288" t="e">
        <f>MATCH(B76,'42-02-18 מוזיאונים'!$A$52:$A$58,0)</f>
        <v>#N/A</v>
      </c>
    </row>
    <row r="77" spans="1:16" s="62" customFormat="1" ht="39" customHeight="1" x14ac:dyDescent="0.2">
      <c r="A77" s="51" t="s">
        <v>1022</v>
      </c>
      <c r="B77" s="105">
        <v>580006310</v>
      </c>
      <c r="C77" s="49">
        <v>1000583391</v>
      </c>
      <c r="D77" s="48">
        <v>40000323</v>
      </c>
      <c r="E77" s="46">
        <v>19230</v>
      </c>
      <c r="F77" s="101">
        <v>4500</v>
      </c>
      <c r="G77" s="46">
        <v>2250</v>
      </c>
      <c r="H77" s="46">
        <v>9613</v>
      </c>
      <c r="I77" s="46">
        <v>18750</v>
      </c>
      <c r="J77" s="46">
        <v>37500</v>
      </c>
      <c r="K77" s="46">
        <v>37500</v>
      </c>
      <c r="L77" s="46">
        <f t="shared" si="1"/>
        <v>0</v>
      </c>
      <c r="M77" s="420"/>
      <c r="O77" s="288">
        <f>MATCH(B77,'42-02-18 מוזיאונים'!$A$5:$A$46,0)</f>
        <v>21</v>
      </c>
      <c r="P77" s="288" t="e">
        <f>MATCH(B77,'42-02-18 מוזיאונים'!$A$52:$A$58,0)</f>
        <v>#N/A</v>
      </c>
    </row>
    <row r="78" spans="1:16" s="62" customFormat="1" ht="39.950000000000003" customHeight="1" x14ac:dyDescent="0.2">
      <c r="A78" s="51" t="s">
        <v>1023</v>
      </c>
      <c r="B78" s="105">
        <v>580117521</v>
      </c>
      <c r="C78" s="49">
        <v>1000578483</v>
      </c>
      <c r="D78" s="48">
        <v>40000479</v>
      </c>
      <c r="E78" s="46">
        <v>0</v>
      </c>
      <c r="F78" s="46">
        <v>0</v>
      </c>
      <c r="G78" s="46">
        <v>13950</v>
      </c>
      <c r="H78" s="46">
        <v>7500</v>
      </c>
      <c r="I78" s="46">
        <v>18750</v>
      </c>
      <c r="J78" s="46">
        <v>18375</v>
      </c>
      <c r="K78" s="46">
        <v>18375</v>
      </c>
      <c r="L78" s="46">
        <f t="shared" si="1"/>
        <v>0</v>
      </c>
      <c r="M78" s="417"/>
      <c r="O78" s="288">
        <f>MATCH(B78,'42-02-18 מוזיאונים'!$A$5:$A$46,0)</f>
        <v>23</v>
      </c>
      <c r="P78" s="288" t="e">
        <f>MATCH(B78,'42-02-18 מוזיאונים'!$A$52:$A$58,0)</f>
        <v>#N/A</v>
      </c>
    </row>
    <row r="79" spans="1:16" s="62" customFormat="1" ht="44.25" customHeight="1" x14ac:dyDescent="0.2">
      <c r="A79" s="51" t="s">
        <v>1024</v>
      </c>
      <c r="B79" s="105">
        <v>580046134</v>
      </c>
      <c r="C79" s="49">
        <v>1000547909</v>
      </c>
      <c r="D79" s="48">
        <v>40000107</v>
      </c>
      <c r="E79" s="46">
        <v>0</v>
      </c>
      <c r="F79" s="101">
        <v>0</v>
      </c>
      <c r="G79" s="46">
        <v>0</v>
      </c>
      <c r="H79" s="46">
        <v>0</v>
      </c>
      <c r="I79" s="46">
        <v>48750</v>
      </c>
      <c r="J79" s="46">
        <v>35798</v>
      </c>
      <c r="K79" s="46">
        <v>35798</v>
      </c>
      <c r="L79" s="46">
        <f t="shared" si="1"/>
        <v>0</v>
      </c>
      <c r="M79" s="420"/>
      <c r="O79" s="288">
        <f>MATCH(B79,'42-02-18 מוזיאונים'!$A$5:$A$46,0)</f>
        <v>3</v>
      </c>
      <c r="P79" s="288" t="e">
        <f>MATCH(B79,'42-02-18 מוזיאונים'!$A$52:$A$58,0)</f>
        <v>#N/A</v>
      </c>
    </row>
    <row r="80" spans="1:16" s="62" customFormat="1" ht="39.950000000000003" customHeight="1" x14ac:dyDescent="0.2">
      <c r="A80" s="51" t="s">
        <v>1025</v>
      </c>
      <c r="B80" s="105">
        <v>580046134</v>
      </c>
      <c r="C80" s="49">
        <v>1000583034</v>
      </c>
      <c r="D80" s="48">
        <v>40000107</v>
      </c>
      <c r="E80" s="46">
        <v>0</v>
      </c>
      <c r="F80" s="101">
        <v>0</v>
      </c>
      <c r="G80" s="46">
        <v>15450</v>
      </c>
      <c r="H80" s="46">
        <v>91248</v>
      </c>
      <c r="I80" s="46">
        <v>29325</v>
      </c>
      <c r="J80" s="46">
        <v>30975</v>
      </c>
      <c r="K80" s="46">
        <v>30975</v>
      </c>
      <c r="L80" s="46">
        <f t="shared" si="1"/>
        <v>0</v>
      </c>
      <c r="M80" s="75"/>
      <c r="O80" s="288">
        <f>MATCH(B80,'42-02-18 מוזיאונים'!$A$5:$A$46,0)</f>
        <v>3</v>
      </c>
      <c r="P80" s="288" t="e">
        <f>MATCH(B80,'42-02-18 מוזיאונים'!$A$52:$A$58,0)</f>
        <v>#N/A</v>
      </c>
    </row>
    <row r="81" spans="1:16" s="62" customFormat="1" ht="47.25" customHeight="1" x14ac:dyDescent="0.2">
      <c r="A81" s="51" t="s">
        <v>1026</v>
      </c>
      <c r="B81" s="105">
        <v>510177587</v>
      </c>
      <c r="C81" s="49">
        <v>1000541052</v>
      </c>
      <c r="D81" s="48">
        <v>40000007</v>
      </c>
      <c r="E81" s="46"/>
      <c r="F81" s="101"/>
      <c r="G81" s="46"/>
      <c r="H81" s="46"/>
      <c r="I81" s="46">
        <v>0</v>
      </c>
      <c r="J81" s="46">
        <v>40725</v>
      </c>
      <c r="K81" s="46">
        <v>40725</v>
      </c>
      <c r="L81" s="46">
        <f t="shared" si="1"/>
        <v>0</v>
      </c>
      <c r="M81" s="248"/>
      <c r="O81" s="288">
        <f>MATCH(B81,'42-02-18 מוזיאונים'!$A$5:$A$46,0)</f>
        <v>8</v>
      </c>
      <c r="P81" s="288" t="e">
        <f>MATCH(B81,'42-02-18 מוזיאונים'!$A$52:$A$58,0)</f>
        <v>#N/A</v>
      </c>
    </row>
    <row r="82" spans="1:16" s="62" customFormat="1" ht="54" customHeight="1" x14ac:dyDescent="0.2">
      <c r="A82" s="45" t="s">
        <v>1027</v>
      </c>
      <c r="B82" s="66">
        <v>512287350</v>
      </c>
      <c r="C82" s="416">
        <v>1000551987</v>
      </c>
      <c r="D82" s="48">
        <v>40000293</v>
      </c>
      <c r="E82" s="46"/>
      <c r="F82" s="101"/>
      <c r="G82" s="46"/>
      <c r="H82" s="46"/>
      <c r="I82" s="46">
        <v>0</v>
      </c>
      <c r="J82" s="46">
        <v>27750</v>
      </c>
      <c r="K82" s="46">
        <v>27750</v>
      </c>
      <c r="L82" s="46">
        <f t="shared" si="1"/>
        <v>0</v>
      </c>
      <c r="M82" s="422"/>
      <c r="O82" s="288">
        <f>MATCH(B82,'42-02-18 מוזיאונים'!$A$5:$A$46,0)</f>
        <v>42</v>
      </c>
      <c r="P82" s="288" t="e">
        <f>MATCH(B82,'42-02-18 מוזיאונים'!$A$52:$A$58,0)</f>
        <v>#N/A</v>
      </c>
    </row>
    <row r="83" spans="1:16" s="62" customFormat="1" ht="60" customHeight="1" x14ac:dyDescent="0.2">
      <c r="A83" s="45" t="s">
        <v>1028</v>
      </c>
      <c r="B83" s="66">
        <v>512287350</v>
      </c>
      <c r="C83" s="416">
        <v>1000583507</v>
      </c>
      <c r="D83" s="48">
        <v>40000293</v>
      </c>
      <c r="E83" s="46"/>
      <c r="F83" s="101"/>
      <c r="G83" s="46"/>
      <c r="H83" s="46"/>
      <c r="I83" s="46">
        <v>0</v>
      </c>
      <c r="J83" s="46">
        <v>30188</v>
      </c>
      <c r="K83" s="46">
        <v>30188</v>
      </c>
      <c r="L83" s="46">
        <f t="shared" si="1"/>
        <v>0</v>
      </c>
      <c r="M83" s="422"/>
      <c r="O83" s="288">
        <f>MATCH(B83,'42-02-18 מוזיאונים'!$A$5:$A$46,0)</f>
        <v>42</v>
      </c>
      <c r="P83" s="288" t="e">
        <f>MATCH(B83,'42-02-18 מוזיאונים'!$A$52:$A$58,0)</f>
        <v>#N/A</v>
      </c>
    </row>
    <row r="84" spans="1:16" s="62" customFormat="1" ht="60" customHeight="1" x14ac:dyDescent="0.2">
      <c r="A84" s="45" t="s">
        <v>1029</v>
      </c>
      <c r="B84" s="66">
        <v>512287350</v>
      </c>
      <c r="C84" s="416">
        <v>1000583389</v>
      </c>
      <c r="D84" s="48">
        <v>40000293</v>
      </c>
      <c r="E84" s="46"/>
      <c r="F84" s="101"/>
      <c r="G84" s="46"/>
      <c r="H84" s="46"/>
      <c r="I84" s="46">
        <v>0</v>
      </c>
      <c r="J84" s="46">
        <v>33713</v>
      </c>
      <c r="K84" s="46">
        <v>33713</v>
      </c>
      <c r="L84" s="46">
        <f t="shared" si="1"/>
        <v>0</v>
      </c>
      <c r="M84" s="422"/>
      <c r="O84" s="288">
        <f>MATCH(B84,'42-02-18 מוזיאונים'!$A$5:$A$46,0)</f>
        <v>42</v>
      </c>
      <c r="P84" s="288" t="e">
        <f>MATCH(B84,'42-02-18 מוזיאונים'!$A$52:$A$58,0)</f>
        <v>#N/A</v>
      </c>
    </row>
    <row r="85" spans="1:16" s="62" customFormat="1" ht="44.25" customHeight="1" x14ac:dyDescent="0.2">
      <c r="A85" s="51" t="s">
        <v>1030</v>
      </c>
      <c r="B85" s="105">
        <v>580255909</v>
      </c>
      <c r="C85" s="49">
        <v>1000544773</v>
      </c>
      <c r="D85" s="48">
        <v>40000200</v>
      </c>
      <c r="E85" s="46">
        <v>0</v>
      </c>
      <c r="F85" s="101">
        <v>0</v>
      </c>
      <c r="G85" s="46">
        <v>0</v>
      </c>
      <c r="H85" s="46">
        <v>0</v>
      </c>
      <c r="I85" s="46">
        <v>28500</v>
      </c>
      <c r="J85" s="46">
        <v>31500</v>
      </c>
      <c r="K85" s="46">
        <v>31500</v>
      </c>
      <c r="L85" s="46">
        <f t="shared" si="1"/>
        <v>0</v>
      </c>
      <c r="M85" s="420"/>
      <c r="O85" s="288">
        <f>MATCH(B85,'42-02-18 מוזיאונים'!$A$5:$A$46,0)</f>
        <v>26</v>
      </c>
      <c r="P85" s="288" t="e">
        <f>MATCH(B85,'42-02-18 מוזיאונים'!$A$52:$A$58,0)</f>
        <v>#N/A</v>
      </c>
    </row>
    <row r="86" spans="1:16" s="62" customFormat="1" ht="46.5" customHeight="1" x14ac:dyDescent="0.2">
      <c r="A86" s="51" t="s">
        <v>1031</v>
      </c>
      <c r="B86" s="105">
        <v>520035908</v>
      </c>
      <c r="C86" s="49">
        <v>1000545195</v>
      </c>
      <c r="D86" s="48">
        <v>40000299</v>
      </c>
      <c r="E86" s="46">
        <v>0</v>
      </c>
      <c r="F86" s="101">
        <v>0</v>
      </c>
      <c r="G86" s="46">
        <v>0</v>
      </c>
      <c r="H86" s="46">
        <v>0</v>
      </c>
      <c r="I86" s="46">
        <v>39000</v>
      </c>
      <c r="J86" s="46">
        <v>82305</v>
      </c>
      <c r="K86" s="46">
        <v>82305</v>
      </c>
      <c r="L86" s="46">
        <f t="shared" si="1"/>
        <v>0</v>
      </c>
      <c r="M86" s="419"/>
      <c r="O86" s="288">
        <f>MATCH(B86,'42-02-18 מוזיאונים'!$A$5:$A$46,0)</f>
        <v>5</v>
      </c>
      <c r="P86" s="288" t="e">
        <f>MATCH(B86,'42-02-18 מוזיאונים'!$A$52:$A$58,0)</f>
        <v>#N/A</v>
      </c>
    </row>
    <row r="87" spans="1:16" s="62" customFormat="1" ht="33.75" customHeight="1" x14ac:dyDescent="0.2">
      <c r="A87" s="51" t="s">
        <v>1032</v>
      </c>
      <c r="B87" s="105">
        <v>520035908</v>
      </c>
      <c r="C87" s="49">
        <v>1000583466</v>
      </c>
      <c r="D87" s="48">
        <v>40000299</v>
      </c>
      <c r="E87" s="46">
        <v>0</v>
      </c>
      <c r="F87" s="101">
        <v>11625</v>
      </c>
      <c r="G87" s="46">
        <v>0</v>
      </c>
      <c r="H87" s="46">
        <v>167115</v>
      </c>
      <c r="I87" s="46">
        <v>48375</v>
      </c>
      <c r="J87" s="46">
        <v>116250</v>
      </c>
      <c r="K87" s="46">
        <v>116250</v>
      </c>
      <c r="L87" s="46">
        <f t="shared" si="1"/>
        <v>0</v>
      </c>
      <c r="M87" s="420"/>
      <c r="O87" s="288">
        <f>MATCH(B87,'42-02-18 מוזיאונים'!$A$5:$A$46,0)</f>
        <v>5</v>
      </c>
      <c r="P87" s="288" t="e">
        <f>MATCH(B87,'42-02-18 מוזיאונים'!$A$52:$A$58,0)</f>
        <v>#N/A</v>
      </c>
    </row>
    <row r="88" spans="1:16" s="62" customFormat="1" ht="42" customHeight="1" x14ac:dyDescent="0.2">
      <c r="A88" s="51" t="s">
        <v>1033</v>
      </c>
      <c r="B88" s="105">
        <v>500221015</v>
      </c>
      <c r="C88" s="49">
        <v>1000583105</v>
      </c>
      <c r="D88" s="48">
        <v>20000127</v>
      </c>
      <c r="E88" s="46">
        <v>18400</v>
      </c>
      <c r="F88" s="101">
        <v>10500</v>
      </c>
      <c r="G88" s="46">
        <v>825</v>
      </c>
      <c r="H88" s="46">
        <v>20756</v>
      </c>
      <c r="I88" s="46">
        <v>26804</v>
      </c>
      <c r="J88" s="46">
        <v>18000</v>
      </c>
      <c r="K88" s="46">
        <v>18000</v>
      </c>
      <c r="L88" s="46">
        <f t="shared" si="1"/>
        <v>0</v>
      </c>
      <c r="M88" s="420"/>
      <c r="O88" s="288" t="e">
        <f>MATCH(B88,'42-02-18 מוזיאונים'!$A$5:$A$46,0)</f>
        <v>#N/A</v>
      </c>
      <c r="P88" s="288">
        <f>MATCH(B88,'42-02-18 מוזיאונים'!$A$52:$A$58,0)</f>
        <v>5</v>
      </c>
    </row>
    <row r="89" spans="1:16" s="62" customFormat="1" ht="42.75" customHeight="1" x14ac:dyDescent="0.2">
      <c r="A89" s="51" t="s">
        <v>1034</v>
      </c>
      <c r="B89" s="105">
        <v>580213023</v>
      </c>
      <c r="C89" s="49">
        <v>1000583643</v>
      </c>
      <c r="D89" s="48">
        <v>40000183</v>
      </c>
      <c r="E89" s="46">
        <v>0</v>
      </c>
      <c r="F89" s="101">
        <v>19050</v>
      </c>
      <c r="G89" s="46">
        <v>3750</v>
      </c>
      <c r="H89" s="46">
        <v>6201</v>
      </c>
      <c r="I89" s="46">
        <v>45000</v>
      </c>
      <c r="J89" s="46">
        <v>37500</v>
      </c>
      <c r="K89" s="46">
        <v>37500</v>
      </c>
      <c r="L89" s="46">
        <f>J89-K89</f>
        <v>0</v>
      </c>
      <c r="M89" s="420"/>
      <c r="O89" s="288">
        <f>MATCH(B89,'42-02-18 מוזיאונים'!$A$5:$A$46,0)</f>
        <v>32</v>
      </c>
      <c r="P89" s="288" t="e">
        <f>MATCH(B89,'42-02-18 מוזיאונים'!$A$52:$A$58,0)</f>
        <v>#N/A</v>
      </c>
    </row>
    <row r="90" spans="1:16" s="62" customFormat="1" ht="41.25" customHeight="1" x14ac:dyDescent="0.2">
      <c r="A90" s="51" t="s">
        <v>1035</v>
      </c>
      <c r="B90" s="105">
        <v>580016731</v>
      </c>
      <c r="C90" s="49">
        <v>1000583475</v>
      </c>
      <c r="D90" s="48">
        <v>40000345</v>
      </c>
      <c r="E90" s="46">
        <v>0</v>
      </c>
      <c r="F90" s="101">
        <v>0</v>
      </c>
      <c r="G90" s="46">
        <v>0</v>
      </c>
      <c r="H90" s="46">
        <v>21486</v>
      </c>
      <c r="I90" s="46">
        <v>31125</v>
      </c>
      <c r="J90" s="46">
        <v>9465</v>
      </c>
      <c r="K90" s="46">
        <v>9465</v>
      </c>
      <c r="L90" s="46">
        <f>J90-K90</f>
        <v>0</v>
      </c>
      <c r="M90" s="420"/>
      <c r="O90" s="288">
        <f>MATCH(B90,'42-02-18 מוזיאונים'!$A$5:$A$46,0)</f>
        <v>7</v>
      </c>
      <c r="P90" s="288" t="e">
        <f>MATCH(B90,'42-02-18 מוזיאונים'!$A$52:$A$58,0)</f>
        <v>#N/A</v>
      </c>
    </row>
    <row r="91" spans="1:16" s="62" customFormat="1" ht="45.75" customHeight="1" x14ac:dyDescent="0.2">
      <c r="A91" s="51" t="s">
        <v>1036</v>
      </c>
      <c r="B91" s="105">
        <v>500283007</v>
      </c>
      <c r="C91" s="49">
        <v>1000537743</v>
      </c>
      <c r="D91" s="48">
        <v>20000247</v>
      </c>
      <c r="E91" s="46">
        <v>29168</v>
      </c>
      <c r="F91" s="101">
        <v>26000</v>
      </c>
      <c r="G91" s="46">
        <v>22975</v>
      </c>
      <c r="H91" s="46">
        <v>0</v>
      </c>
      <c r="I91" s="46">
        <v>30000</v>
      </c>
      <c r="J91" s="46">
        <v>36750</v>
      </c>
      <c r="K91" s="46">
        <v>36750</v>
      </c>
      <c r="L91" s="46">
        <f>J91-K91</f>
        <v>0</v>
      </c>
      <c r="M91" s="420"/>
      <c r="O91" s="288" t="e">
        <f>MATCH(B91,'42-02-18 מוזיאונים'!$A$5:$A$46,0)</f>
        <v>#N/A</v>
      </c>
      <c r="P91" s="288">
        <f>MATCH(B91,'42-02-18 מוזיאונים'!$A$52:$A$58,0)</f>
        <v>6</v>
      </c>
    </row>
    <row r="92" spans="1:16" s="62" customFormat="1" ht="42" customHeight="1" x14ac:dyDescent="0.2">
      <c r="A92" s="51" t="s">
        <v>1037</v>
      </c>
      <c r="B92" s="105">
        <v>500283007</v>
      </c>
      <c r="C92" s="49">
        <v>1000581155</v>
      </c>
      <c r="D92" s="48">
        <v>20000247</v>
      </c>
      <c r="E92" s="46">
        <v>0</v>
      </c>
      <c r="F92" s="101">
        <v>0</v>
      </c>
      <c r="G92" s="46">
        <v>18375</v>
      </c>
      <c r="H92" s="46">
        <v>33275</v>
      </c>
      <c r="I92" s="46">
        <v>37500</v>
      </c>
      <c r="J92" s="46">
        <v>56250</v>
      </c>
      <c r="K92" s="46">
        <v>56250</v>
      </c>
      <c r="L92" s="46">
        <f>J92-K92</f>
        <v>0</v>
      </c>
      <c r="M92" s="420"/>
      <c r="O92" s="288" t="e">
        <f>MATCH(B92,'42-02-18 מוזיאונים'!$A$5:$A$46,0)</f>
        <v>#N/A</v>
      </c>
      <c r="P92" s="288">
        <f>MATCH(B92,'42-02-18 מוזיאונים'!$A$52:$A$58,0)</f>
        <v>6</v>
      </c>
    </row>
    <row r="93" spans="1:16" s="62" customFormat="1" ht="36" customHeight="1" x14ac:dyDescent="0.2">
      <c r="A93" s="51" t="s">
        <v>1038</v>
      </c>
      <c r="B93" s="105">
        <v>580022077</v>
      </c>
      <c r="C93" s="49">
        <v>1000538320</v>
      </c>
      <c r="D93" s="48">
        <v>40000075</v>
      </c>
      <c r="E93" s="46">
        <v>0</v>
      </c>
      <c r="F93" s="101">
        <v>0</v>
      </c>
      <c r="G93" s="46">
        <v>15000</v>
      </c>
      <c r="H93" s="46">
        <v>25125</v>
      </c>
      <c r="I93" s="46">
        <v>9750</v>
      </c>
      <c r="J93" s="46">
        <v>41710</v>
      </c>
      <c r="K93" s="46">
        <v>41710</v>
      </c>
      <c r="L93" s="46">
        <f t="shared" si="1"/>
        <v>0</v>
      </c>
      <c r="M93" s="420"/>
      <c r="O93" s="288">
        <f>MATCH(B93,'42-02-18 מוזיאונים'!$A$5:$A$46,0)</f>
        <v>17</v>
      </c>
      <c r="P93" s="288" t="e">
        <f>MATCH(B93,'42-02-18 מוזיאונים'!$A$52:$A$58,0)</f>
        <v>#N/A</v>
      </c>
    </row>
    <row r="94" spans="1:16" s="62" customFormat="1" ht="30.75" customHeight="1" x14ac:dyDescent="0.2">
      <c r="A94" s="51" t="s">
        <v>1039</v>
      </c>
      <c r="B94" s="105">
        <v>580022077</v>
      </c>
      <c r="C94" s="49">
        <v>1000582458</v>
      </c>
      <c r="D94" s="48">
        <v>40000075</v>
      </c>
      <c r="E94" s="46">
        <v>23333</v>
      </c>
      <c r="F94" s="101">
        <v>6750</v>
      </c>
      <c r="G94" s="46">
        <v>2250</v>
      </c>
      <c r="H94" s="46">
        <v>28099</v>
      </c>
      <c r="I94" s="46">
        <v>33825</v>
      </c>
      <c r="J94" s="46">
        <v>34125</v>
      </c>
      <c r="K94" s="46">
        <v>34125</v>
      </c>
      <c r="L94" s="46">
        <f t="shared" si="1"/>
        <v>0</v>
      </c>
      <c r="M94" s="420"/>
      <c r="O94" s="288">
        <f>MATCH(B94,'42-02-18 מוזיאונים'!$A$5:$A$46,0)</f>
        <v>17</v>
      </c>
      <c r="P94" s="288" t="e">
        <f>MATCH(B94,'42-02-18 מוזיאונים'!$A$52:$A$58,0)</f>
        <v>#N/A</v>
      </c>
    </row>
    <row r="95" spans="1:16" s="62" customFormat="1" ht="36" customHeight="1" x14ac:dyDescent="0.2">
      <c r="A95" s="51" t="s">
        <v>1040</v>
      </c>
      <c r="B95" s="105">
        <v>580020501</v>
      </c>
      <c r="C95" s="49">
        <v>1000583262</v>
      </c>
      <c r="D95" s="48">
        <v>40000071</v>
      </c>
      <c r="E95" s="46">
        <v>0</v>
      </c>
      <c r="F95" s="101">
        <v>0</v>
      </c>
      <c r="G95" s="46">
        <v>19275</v>
      </c>
      <c r="H95" s="46">
        <v>36381</v>
      </c>
      <c r="I95" s="46">
        <v>75825</v>
      </c>
      <c r="J95" s="46">
        <v>93900</v>
      </c>
      <c r="K95" s="46">
        <v>93900</v>
      </c>
      <c r="L95" s="46">
        <f t="shared" si="1"/>
        <v>0</v>
      </c>
      <c r="M95" s="420"/>
      <c r="O95" s="288" t="e">
        <f>MATCH(B95,'42-02-18 מוזיאונים'!$A$5:$A$46,0)</f>
        <v>#N/A</v>
      </c>
      <c r="P95" s="288" t="e">
        <f>MATCH(B95,'42-02-18 מוזיאונים'!$A$52:$A$58,0)</f>
        <v>#N/A</v>
      </c>
    </row>
    <row r="96" spans="1:16" s="62" customFormat="1" ht="41.25" customHeight="1" x14ac:dyDescent="0.2">
      <c r="A96" s="51" t="s">
        <v>1041</v>
      </c>
      <c r="B96" s="105">
        <v>580020501</v>
      </c>
      <c r="C96" s="49">
        <v>1000546099</v>
      </c>
      <c r="D96" s="48">
        <v>40000071</v>
      </c>
      <c r="E96" s="46">
        <v>16000</v>
      </c>
      <c r="F96" s="101">
        <v>30000</v>
      </c>
      <c r="G96" s="46">
        <v>30000</v>
      </c>
      <c r="H96" s="46">
        <v>46500</v>
      </c>
      <c r="I96" s="46">
        <v>37500</v>
      </c>
      <c r="J96" s="46">
        <v>45750</v>
      </c>
      <c r="K96" s="46">
        <v>45750</v>
      </c>
      <c r="L96" s="46">
        <f t="shared" si="1"/>
        <v>0</v>
      </c>
      <c r="M96" s="420"/>
      <c r="O96" s="288" t="e">
        <f>MATCH(B96,'42-02-18 מוזיאונים'!$A$5:$A$46,0)</f>
        <v>#N/A</v>
      </c>
      <c r="P96" s="288" t="e">
        <f>MATCH(B96,'42-02-18 מוזיאונים'!$A$52:$A$58,0)</f>
        <v>#N/A</v>
      </c>
    </row>
    <row r="97" spans="1:16" s="62" customFormat="1" ht="50.25" customHeight="1" x14ac:dyDescent="0.2">
      <c r="A97" s="51" t="s">
        <v>1042</v>
      </c>
      <c r="B97" s="105">
        <v>500279005</v>
      </c>
      <c r="C97" s="49">
        <v>1000583574</v>
      </c>
      <c r="D97" s="48">
        <v>20000243</v>
      </c>
      <c r="E97" s="46">
        <v>0</v>
      </c>
      <c r="F97" s="101">
        <v>21300</v>
      </c>
      <c r="G97" s="46">
        <v>3750</v>
      </c>
      <c r="H97" s="46">
        <v>10000</v>
      </c>
      <c r="I97" s="46">
        <v>43875</v>
      </c>
      <c r="J97" s="46">
        <v>45000</v>
      </c>
      <c r="K97" s="46">
        <v>45000</v>
      </c>
      <c r="L97" s="46">
        <f t="shared" si="1"/>
        <v>0</v>
      </c>
      <c r="M97" s="420"/>
      <c r="O97" s="288" t="e">
        <f>MATCH(B97,'42-02-18 מוזיאונים'!$A$5:$A$46,0)</f>
        <v>#N/A</v>
      </c>
      <c r="P97" s="288">
        <f>MATCH(B97,'42-02-18 מוזיאונים'!$A$52:$A$58,0)</f>
        <v>3</v>
      </c>
    </row>
    <row r="98" spans="1:16" s="62" customFormat="1" ht="44.25" customHeight="1" x14ac:dyDescent="0.2">
      <c r="A98" s="51" t="s">
        <v>1043</v>
      </c>
      <c r="B98" s="105">
        <v>500279005</v>
      </c>
      <c r="C98" s="49">
        <v>1000540755</v>
      </c>
      <c r="D98" s="48">
        <v>20000243</v>
      </c>
      <c r="E98" s="46">
        <v>33750</v>
      </c>
      <c r="F98" s="101">
        <v>36000</v>
      </c>
      <c r="G98" s="46">
        <v>58500</v>
      </c>
      <c r="H98" s="46">
        <v>37125</v>
      </c>
      <c r="I98" s="46">
        <v>18750</v>
      </c>
      <c r="J98" s="46">
        <v>39000</v>
      </c>
      <c r="K98" s="46">
        <v>39000</v>
      </c>
      <c r="L98" s="46">
        <f t="shared" si="1"/>
        <v>0</v>
      </c>
      <c r="M98" s="420"/>
      <c r="O98" s="288" t="e">
        <f>MATCH(B98,'42-02-18 מוזיאונים'!$A$5:$A$46,0)</f>
        <v>#N/A</v>
      </c>
      <c r="P98" s="288">
        <f>MATCH(B98,'42-02-18 מוזיאונים'!$A$52:$A$58,0)</f>
        <v>3</v>
      </c>
    </row>
    <row r="99" spans="1:16" s="62" customFormat="1" ht="36.75" customHeight="1" x14ac:dyDescent="0.2">
      <c r="A99" s="51" t="s">
        <v>1044</v>
      </c>
      <c r="B99" s="105">
        <v>500264007</v>
      </c>
      <c r="C99" s="49">
        <v>1000580978</v>
      </c>
      <c r="D99" s="48">
        <v>20000222</v>
      </c>
      <c r="E99" s="46">
        <v>0</v>
      </c>
      <c r="F99" s="46">
        <v>0</v>
      </c>
      <c r="G99" s="46">
        <v>3750</v>
      </c>
      <c r="H99" s="46">
        <v>0</v>
      </c>
      <c r="I99" s="46">
        <v>0</v>
      </c>
      <c r="J99" s="46">
        <v>28125</v>
      </c>
      <c r="K99" s="46">
        <v>28125</v>
      </c>
      <c r="L99" s="46">
        <f t="shared" si="1"/>
        <v>0</v>
      </c>
      <c r="M99" s="127"/>
      <c r="O99" s="288" t="e">
        <f>MATCH(B99,'42-02-18 מוזיאונים'!$A$5:$A$46,0)</f>
        <v>#N/A</v>
      </c>
      <c r="P99" s="288" t="e">
        <f>MATCH(B99,'42-02-18 מוזיאונים'!$A$52:$A$58,0)</f>
        <v>#N/A</v>
      </c>
    </row>
    <row r="100" spans="1:16" s="62" customFormat="1" ht="46.5" customHeight="1" x14ac:dyDescent="0.2">
      <c r="A100" s="51" t="s">
        <v>1045</v>
      </c>
      <c r="B100" s="105">
        <v>580015717</v>
      </c>
      <c r="C100" s="49">
        <v>1000583654</v>
      </c>
      <c r="D100" s="48">
        <v>40000341</v>
      </c>
      <c r="E100" s="46">
        <v>0</v>
      </c>
      <c r="F100" s="46">
        <v>0</v>
      </c>
      <c r="G100" s="46">
        <v>21750</v>
      </c>
      <c r="H100" s="46">
        <v>25881</v>
      </c>
      <c r="I100" s="46">
        <v>18000</v>
      </c>
      <c r="J100" s="46">
        <v>61875</v>
      </c>
      <c r="K100" s="46">
        <v>61875</v>
      </c>
      <c r="L100" s="46">
        <f t="shared" si="1"/>
        <v>0</v>
      </c>
      <c r="M100" s="77"/>
      <c r="O100" s="288">
        <f>MATCH(B100,'42-02-18 מוזיאונים'!$A$5:$A$46,0)</f>
        <v>28</v>
      </c>
      <c r="P100" s="288" t="e">
        <f>MATCH(B100,'42-02-18 מוזיאונים'!$A$52:$A$58,0)</f>
        <v>#N/A</v>
      </c>
    </row>
    <row r="101" spans="1:16" s="62" customFormat="1" ht="46.5" customHeight="1" x14ac:dyDescent="0.2">
      <c r="A101" s="51" t="s">
        <v>1046</v>
      </c>
      <c r="B101" s="105">
        <v>580077964</v>
      </c>
      <c r="C101" s="49">
        <v>1000551604</v>
      </c>
      <c r="D101" s="48">
        <v>40000128</v>
      </c>
      <c r="E101" s="46"/>
      <c r="F101" s="101"/>
      <c r="G101" s="46"/>
      <c r="H101" s="46"/>
      <c r="I101" s="46">
        <v>0</v>
      </c>
      <c r="J101" s="46">
        <v>120000</v>
      </c>
      <c r="K101" s="46">
        <v>120000</v>
      </c>
      <c r="L101" s="46">
        <f t="shared" si="1"/>
        <v>0</v>
      </c>
      <c r="M101" s="417"/>
      <c r="O101" s="288">
        <f>MATCH(B101,'42-02-18 מוזיאונים'!$A$5:$A$46,0)</f>
        <v>30</v>
      </c>
      <c r="P101" s="288" t="e">
        <f>MATCH(B101,'42-02-18 מוזיאונים'!$A$52:$A$58,0)</f>
        <v>#N/A</v>
      </c>
    </row>
    <row r="102" spans="1:16" s="44" customFormat="1" ht="35.25" customHeight="1" x14ac:dyDescent="0.2">
      <c r="A102" s="51" t="s">
        <v>1047</v>
      </c>
      <c r="B102" s="105">
        <v>580041085</v>
      </c>
      <c r="C102" s="54">
        <v>1000582445</v>
      </c>
      <c r="D102" s="48">
        <v>40000391</v>
      </c>
      <c r="E102" s="46"/>
      <c r="F102" s="101"/>
      <c r="G102" s="46"/>
      <c r="H102" s="119"/>
      <c r="I102" s="46">
        <v>0</v>
      </c>
      <c r="J102" s="46">
        <v>23250</v>
      </c>
      <c r="K102" s="46">
        <v>23250</v>
      </c>
      <c r="L102" s="46">
        <f t="shared" si="1"/>
        <v>0</v>
      </c>
      <c r="M102" s="412"/>
      <c r="O102" s="288">
        <f>MATCH(B102,'42-02-18 מוזיאונים'!$A$5:$A$46,0)</f>
        <v>27</v>
      </c>
      <c r="P102" s="288" t="e">
        <f>MATCH(B102,'42-02-18 מוזיאונים'!$A$52:$A$58,0)</f>
        <v>#N/A</v>
      </c>
    </row>
    <row r="103" spans="1:16" s="44" customFormat="1" ht="35.25" customHeight="1" x14ac:dyDescent="0.2">
      <c r="A103" s="51" t="s">
        <v>1048</v>
      </c>
      <c r="B103" s="105">
        <v>580041085</v>
      </c>
      <c r="C103" s="54">
        <v>1000583653</v>
      </c>
      <c r="D103" s="48">
        <v>40000391</v>
      </c>
      <c r="E103" s="46">
        <v>0</v>
      </c>
      <c r="F103" s="101">
        <v>0</v>
      </c>
      <c r="G103" s="46">
        <v>0</v>
      </c>
      <c r="H103" s="119">
        <v>0</v>
      </c>
      <c r="I103" s="46">
        <v>18000</v>
      </c>
      <c r="J103" s="46">
        <v>8625</v>
      </c>
      <c r="K103" s="46">
        <v>8625</v>
      </c>
      <c r="L103" s="46">
        <f t="shared" si="1"/>
        <v>0</v>
      </c>
      <c r="M103" s="412"/>
      <c r="O103" s="288">
        <f>MATCH(B103,'42-02-18 מוזיאונים'!$A$5:$A$46,0)</f>
        <v>27</v>
      </c>
      <c r="P103" s="288" t="e">
        <f>MATCH(B103,'42-02-18 מוזיאונים'!$A$52:$A$58,0)</f>
        <v>#N/A</v>
      </c>
    </row>
    <row r="104" spans="1:16" s="44" customFormat="1" ht="41.25" customHeight="1" x14ac:dyDescent="0.2">
      <c r="A104" s="51" t="s">
        <v>1049</v>
      </c>
      <c r="B104" s="105">
        <v>580340834</v>
      </c>
      <c r="C104" s="49">
        <v>1000583694</v>
      </c>
      <c r="D104" s="48">
        <v>40000690</v>
      </c>
      <c r="E104" s="46">
        <v>0</v>
      </c>
      <c r="F104" s="101">
        <v>0</v>
      </c>
      <c r="G104" s="46">
        <v>0</v>
      </c>
      <c r="H104" s="46">
        <v>17007</v>
      </c>
      <c r="I104" s="46">
        <v>21000</v>
      </c>
      <c r="J104" s="46">
        <v>35625</v>
      </c>
      <c r="K104" s="46">
        <v>35625</v>
      </c>
      <c r="L104" s="46">
        <f t="shared" si="1"/>
        <v>0</v>
      </c>
      <c r="M104" s="128"/>
      <c r="O104" s="288">
        <f>MATCH(B104,'42-02-18 מוזיאונים'!$A$5:$A$46,0)</f>
        <v>35</v>
      </c>
      <c r="P104" s="288" t="e">
        <f>MATCH(B104,'42-02-18 מוזיאונים'!$A$52:$A$58,0)</f>
        <v>#N/A</v>
      </c>
    </row>
    <row r="105" spans="1:16" s="62" customFormat="1" ht="48.75" customHeight="1" x14ac:dyDescent="0.2">
      <c r="A105" s="51" t="s">
        <v>1050</v>
      </c>
      <c r="B105" s="105">
        <v>580255909</v>
      </c>
      <c r="C105" s="49">
        <v>1000544774</v>
      </c>
      <c r="D105" s="48">
        <v>40000200</v>
      </c>
      <c r="E105" s="46">
        <v>0</v>
      </c>
      <c r="F105" s="46">
        <v>0</v>
      </c>
      <c r="G105" s="46">
        <v>15075</v>
      </c>
      <c r="H105" s="46"/>
      <c r="I105" s="46">
        <v>0</v>
      </c>
      <c r="J105" s="46">
        <v>120000</v>
      </c>
      <c r="K105" s="46">
        <v>120000</v>
      </c>
      <c r="L105" s="46">
        <f t="shared" si="1"/>
        <v>0</v>
      </c>
      <c r="M105" s="420"/>
      <c r="O105" s="288">
        <f>MATCH(B105,'42-02-18 מוזיאונים'!$A$5:$A$46,0)</f>
        <v>26</v>
      </c>
      <c r="P105" s="288" t="e">
        <f>MATCH(B105,'42-02-18 מוזיאונים'!$A$52:$A$58,0)</f>
        <v>#N/A</v>
      </c>
    </row>
    <row r="106" spans="1:16" s="62" customFormat="1" ht="46.5" customHeight="1" x14ac:dyDescent="0.2">
      <c r="A106" s="51" t="s">
        <v>1051</v>
      </c>
      <c r="B106" s="105">
        <v>580039162</v>
      </c>
      <c r="C106" s="49">
        <v>1000581090</v>
      </c>
      <c r="D106" s="48">
        <v>40000099</v>
      </c>
      <c r="E106" s="46">
        <v>0</v>
      </c>
      <c r="F106" s="101">
        <v>0</v>
      </c>
      <c r="G106" s="46">
        <v>0</v>
      </c>
      <c r="H106" s="46">
        <v>14049</v>
      </c>
      <c r="I106" s="46">
        <v>22500</v>
      </c>
      <c r="J106" s="46">
        <v>13335</v>
      </c>
      <c r="K106" s="46">
        <v>13335</v>
      </c>
      <c r="L106" s="46">
        <f>J106-K106</f>
        <v>0</v>
      </c>
      <c r="M106" s="417"/>
      <c r="O106" s="288">
        <f>MATCH(B106,'42-02-18 מוזיאונים'!$A$5:$A$46,0)</f>
        <v>12</v>
      </c>
      <c r="P106" s="288" t="e">
        <f>MATCH(B106,'42-02-18 מוזיאונים'!$A$52:$A$58,0)</f>
        <v>#N/A</v>
      </c>
    </row>
    <row r="107" spans="1:16" s="62" customFormat="1" ht="43.5" customHeight="1" x14ac:dyDescent="0.2">
      <c r="A107" s="51" t="s">
        <v>1052</v>
      </c>
      <c r="B107" s="105">
        <v>580468692</v>
      </c>
      <c r="C107" s="130">
        <v>1000532411</v>
      </c>
      <c r="D107" s="48">
        <v>40235206</v>
      </c>
      <c r="E107" s="46"/>
      <c r="F107" s="46"/>
      <c r="G107" s="46"/>
      <c r="H107" s="46"/>
      <c r="I107" s="46">
        <v>0</v>
      </c>
      <c r="J107" s="46">
        <v>120000</v>
      </c>
      <c r="K107" s="46">
        <v>120000</v>
      </c>
      <c r="L107" s="46">
        <f t="shared" ref="L107:L113" si="2">J107-K107</f>
        <v>0</v>
      </c>
      <c r="M107" s="127"/>
      <c r="O107" s="288">
        <f>MATCH(B107,'42-02-18 מוזיאונים'!$A$5:$A$46,0)</f>
        <v>40</v>
      </c>
      <c r="P107" s="288" t="e">
        <f>MATCH(B107,'42-02-18 מוזיאונים'!$A$52:$A$58,0)</f>
        <v>#N/A</v>
      </c>
    </row>
    <row r="108" spans="1:16" s="62" customFormat="1" ht="44.25" customHeight="1" x14ac:dyDescent="0.2">
      <c r="A108" s="51" t="s">
        <v>1053</v>
      </c>
      <c r="B108" s="105">
        <v>580302339</v>
      </c>
      <c r="C108" s="49">
        <v>1000583555</v>
      </c>
      <c r="D108" s="48">
        <v>40000220</v>
      </c>
      <c r="E108" s="46">
        <v>13919</v>
      </c>
      <c r="F108" s="101">
        <v>8400</v>
      </c>
      <c r="G108" s="46">
        <v>3749</v>
      </c>
      <c r="H108" s="46">
        <v>12909</v>
      </c>
      <c r="I108" s="46">
        <v>21750</v>
      </c>
      <c r="J108" s="46">
        <v>19500</v>
      </c>
      <c r="K108" s="46">
        <v>19500</v>
      </c>
      <c r="L108" s="46">
        <f>J108-K108</f>
        <v>0</v>
      </c>
      <c r="M108" s="127"/>
      <c r="O108" s="288">
        <f>MATCH(B108,'42-02-18 מוזיאונים'!$A$5:$A$46,0)</f>
        <v>24</v>
      </c>
      <c r="P108" s="288" t="e">
        <f>MATCH(B108,'42-02-18 מוזיאונים'!$A$52:$A$58,0)</f>
        <v>#N/A</v>
      </c>
    </row>
    <row r="109" spans="1:16" s="62" customFormat="1" ht="39" customHeight="1" x14ac:dyDescent="0.2">
      <c r="A109" s="51" t="s">
        <v>1054</v>
      </c>
      <c r="B109" s="105">
        <v>500223078</v>
      </c>
      <c r="C109" s="49">
        <v>1000583607</v>
      </c>
      <c r="D109" s="48">
        <v>20000134</v>
      </c>
      <c r="E109" s="46">
        <v>0</v>
      </c>
      <c r="F109" s="101">
        <v>21300</v>
      </c>
      <c r="G109" s="46">
        <v>13950</v>
      </c>
      <c r="H109" s="46">
        <v>37046</v>
      </c>
      <c r="I109" s="46">
        <v>15000</v>
      </c>
      <c r="J109" s="46">
        <v>29063</v>
      </c>
      <c r="K109" s="46">
        <v>29063</v>
      </c>
      <c r="L109" s="46">
        <f>J109-K109</f>
        <v>0</v>
      </c>
      <c r="M109" s="127"/>
      <c r="O109" s="288" t="e">
        <f>MATCH(B109,'42-02-18 מוזיאונים'!$A$5:$A$46,0)</f>
        <v>#N/A</v>
      </c>
      <c r="P109" s="288">
        <f>MATCH(B109,'42-02-18 מוזיאונים'!$A$52:$A$58,0)</f>
        <v>1</v>
      </c>
    </row>
    <row r="110" spans="1:16" s="62" customFormat="1" ht="39" customHeight="1" x14ac:dyDescent="0.2">
      <c r="A110" s="51" t="s">
        <v>1055</v>
      </c>
      <c r="B110" s="50">
        <v>511757114</v>
      </c>
      <c r="C110" s="49">
        <v>1000577613</v>
      </c>
      <c r="D110" s="48">
        <v>40000291</v>
      </c>
      <c r="E110" s="46"/>
      <c r="F110" s="46"/>
      <c r="G110" s="46"/>
      <c r="H110" s="46"/>
      <c r="I110" s="46">
        <v>0</v>
      </c>
      <c r="J110" s="46">
        <v>15000</v>
      </c>
      <c r="K110" s="46">
        <v>15000</v>
      </c>
      <c r="L110" s="46">
        <f>J110-K110</f>
        <v>0</v>
      </c>
      <c r="M110" s="248"/>
      <c r="O110" s="288">
        <f>MATCH(B110,'42-02-18 מוזיאונים'!$A$5:$A$46,0)</f>
        <v>39</v>
      </c>
      <c r="P110" s="288" t="e">
        <f>MATCH(B110,'42-02-18 מוזיאונים'!$A$52:$A$58,0)</f>
        <v>#N/A</v>
      </c>
    </row>
    <row r="111" spans="1:16" s="62" customFormat="1" ht="39" customHeight="1" x14ac:dyDescent="0.2">
      <c r="A111" s="55" t="s">
        <v>1056</v>
      </c>
      <c r="B111" s="50">
        <v>500290002</v>
      </c>
      <c r="C111" s="49">
        <v>1000538075</v>
      </c>
      <c r="D111" s="48">
        <v>20000254</v>
      </c>
      <c r="E111" s="46">
        <v>0</v>
      </c>
      <c r="F111" s="101">
        <v>0</v>
      </c>
      <c r="G111" s="46">
        <v>0</v>
      </c>
      <c r="H111" s="46">
        <v>18750</v>
      </c>
      <c r="I111" s="46">
        <v>30000</v>
      </c>
      <c r="J111" s="46">
        <v>22428</v>
      </c>
      <c r="K111" s="46">
        <v>22428</v>
      </c>
      <c r="L111" s="46">
        <f>J111-K111</f>
        <v>0</v>
      </c>
      <c r="M111" s="420"/>
      <c r="O111" s="288" t="e">
        <f>MATCH(B111,'42-02-18 מוזיאונים'!$A$5:$A$46,0)</f>
        <v>#N/A</v>
      </c>
      <c r="P111" s="288">
        <f>MATCH(B111,'42-02-18 מוזיאונים'!$A$52:$A$58,0)</f>
        <v>7</v>
      </c>
    </row>
    <row r="112" spans="1:16" s="62" customFormat="1" ht="39" customHeight="1" x14ac:dyDescent="0.2">
      <c r="A112" s="45" t="s">
        <v>1057</v>
      </c>
      <c r="B112" s="66">
        <v>580011021</v>
      </c>
      <c r="C112" s="416">
        <v>1000544599</v>
      </c>
      <c r="D112" s="48">
        <v>40209192</v>
      </c>
      <c r="E112" s="46"/>
      <c r="F112" s="101"/>
      <c r="G112" s="46"/>
      <c r="H112" s="46"/>
      <c r="I112" s="46">
        <v>0</v>
      </c>
      <c r="J112" s="46">
        <v>60000</v>
      </c>
      <c r="K112" s="46">
        <v>60000</v>
      </c>
      <c r="L112" s="46">
        <f t="shared" si="2"/>
        <v>0</v>
      </c>
      <c r="M112" s="248"/>
      <c r="O112" s="288" t="e">
        <f>MATCH(B112,'42-02-18 מוזיאונים'!$A$5:$A$46,0)</f>
        <v>#N/A</v>
      </c>
      <c r="P112" s="288" t="e">
        <f>MATCH(B112,'42-02-18 מוזיאונים'!$A$52:$A$58,0)</f>
        <v>#N/A</v>
      </c>
    </row>
    <row r="113" spans="1:16" s="62" customFormat="1" ht="43.5" customHeight="1" x14ac:dyDescent="0.2">
      <c r="A113" s="51" t="s">
        <v>1058</v>
      </c>
      <c r="B113" s="105">
        <v>580011021</v>
      </c>
      <c r="C113" s="49">
        <v>1000583393</v>
      </c>
      <c r="D113" s="48">
        <v>40209192</v>
      </c>
      <c r="E113" s="46">
        <v>0</v>
      </c>
      <c r="F113" s="46">
        <v>0</v>
      </c>
      <c r="G113" s="46">
        <v>10200</v>
      </c>
      <c r="H113" s="46">
        <v>0</v>
      </c>
      <c r="I113" s="46">
        <v>41250</v>
      </c>
      <c r="J113" s="46">
        <v>58125</v>
      </c>
      <c r="K113" s="46">
        <v>58125</v>
      </c>
      <c r="L113" s="46">
        <f t="shared" si="2"/>
        <v>0</v>
      </c>
      <c r="M113" s="248"/>
      <c r="O113" s="288" t="e">
        <f>MATCH(B113,'42-02-18 מוזיאונים'!$A$5:$A$46,0)</f>
        <v>#N/A</v>
      </c>
      <c r="P113" s="288" t="e">
        <f>MATCH(B113,'42-02-18 מוזיאונים'!$A$52:$A$58,0)</f>
        <v>#N/A</v>
      </c>
    </row>
    <row r="114" spans="1:16" x14ac:dyDescent="0.2">
      <c r="J114" s="395">
        <f>SUM(J3:J113)</f>
        <v>46015854</v>
      </c>
    </row>
  </sheetData>
  <conditionalFormatting sqref="O3:P113">
    <cfRule type="containsErrors" dxfId="9" priority="1">
      <formula>ISERROR(O3)</formula>
    </cfRule>
  </conditionalFormatting>
  <pageMargins left="0.11811023622047245" right="0.15748031496062992" top="0.47244094488188981" bottom="0.47244094488188981" header="0.15748031496062992" footer="0.19685039370078741"/>
  <pageSetup paperSize="9" scale="67" fitToHeight="0" orientation="landscape" r:id="rId1"/>
  <headerFooter alignWithMargins="0">
    <oddHeader>&amp;C&amp;"Guttman Yad-Brush,רגיל"&amp;14תקנת מוזיאונים 42-02-18</oddHeader>
    <oddFooter>&amp;L&amp;D&amp;C&amp;P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>
    <pageSetUpPr fitToPage="1"/>
  </sheetPr>
  <dimension ref="A1:CQ88"/>
  <sheetViews>
    <sheetView rightToLeft="1" zoomScale="80" zoomScaleNormal="80" zoomScaleSheetLayoutView="100" workbookViewId="0">
      <pane ySplit="1" topLeftCell="A98" activePane="bottomLeft" state="frozen"/>
      <selection pane="bottomLeft" activeCell="B68" sqref="B68"/>
    </sheetView>
  </sheetViews>
  <sheetFormatPr defaultColWidth="0.7109375" defaultRowHeight="12.75" x14ac:dyDescent="0.2"/>
  <cols>
    <col min="1" max="1" width="26.42578125" style="41" customWidth="1"/>
    <col min="2" max="2" width="10.85546875" style="41" bestFit="1" customWidth="1"/>
    <col min="3" max="3" width="15.140625" style="41" customWidth="1"/>
    <col min="4" max="4" width="10.42578125" style="41" customWidth="1"/>
    <col min="5" max="5" width="11.85546875" style="41" hidden="1" customWidth="1"/>
    <col min="6" max="6" width="13.140625" style="41" hidden="1" customWidth="1"/>
    <col min="7" max="9" width="13" style="117" hidden="1" customWidth="1"/>
    <col min="10" max="10" width="17.85546875" style="117" customWidth="1"/>
    <col min="11" max="12" width="13" style="117" customWidth="1"/>
    <col min="13" max="13" width="32.7109375" style="117" customWidth="1"/>
    <col min="14" max="14" width="10.28515625" style="115" customWidth="1"/>
    <col min="15" max="15" width="13" style="114" customWidth="1"/>
    <col min="16" max="59" width="16.85546875" style="42" customWidth="1"/>
    <col min="60" max="75" width="0.7109375" style="42"/>
    <col min="76" max="16384" width="0.7109375" style="41"/>
  </cols>
  <sheetData>
    <row r="1" spans="1:95" s="99" customFormat="1" ht="41.2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</row>
    <row r="2" spans="1:95" s="94" customFormat="1" ht="30" customHeight="1" x14ac:dyDescent="0.2">
      <c r="A2" s="815" t="s">
        <v>1093</v>
      </c>
      <c r="B2" s="816">
        <v>500250006</v>
      </c>
      <c r="C2" s="817">
        <v>1000545587</v>
      </c>
      <c r="D2" s="801">
        <v>20000201</v>
      </c>
      <c r="E2" s="818">
        <v>100000</v>
      </c>
      <c r="F2" s="802">
        <v>100000</v>
      </c>
      <c r="G2" s="802">
        <v>100000</v>
      </c>
      <c r="H2" s="802">
        <v>100000</v>
      </c>
      <c r="I2" s="802">
        <v>100000</v>
      </c>
      <c r="J2" s="802">
        <v>130000</v>
      </c>
      <c r="K2" s="802">
        <v>130000</v>
      </c>
      <c r="L2" s="802">
        <v>0</v>
      </c>
      <c r="M2" s="819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</row>
    <row r="3" spans="1:95" s="62" customFormat="1" ht="56.25" customHeight="1" x14ac:dyDescent="0.2">
      <c r="A3" s="51" t="s">
        <v>1148</v>
      </c>
      <c r="B3" s="105">
        <v>511757114</v>
      </c>
      <c r="C3" s="60">
        <v>1000552796</v>
      </c>
      <c r="D3" s="48">
        <v>40000291</v>
      </c>
      <c r="E3" s="46">
        <v>178263</v>
      </c>
      <c r="F3" s="46">
        <v>550000</v>
      </c>
      <c r="G3" s="46">
        <v>550000</v>
      </c>
      <c r="H3" s="46">
        <v>540000</v>
      </c>
      <c r="I3" s="46">
        <v>519568</v>
      </c>
      <c r="J3" s="46">
        <v>467611</v>
      </c>
      <c r="K3" s="46">
        <v>467611</v>
      </c>
      <c r="L3" s="46">
        <v>0</v>
      </c>
      <c r="M3" s="248"/>
      <c r="P3" s="288" t="e">
        <f>MATCH(B3,'42-02-20 מחול'!$A$50:$A$50,0)</f>
        <v>#N/A</v>
      </c>
      <c r="Q3" s="288">
        <f>MATCH(B3,'42-02-20 מחול'!$A$21:$A$44,0)</f>
        <v>1</v>
      </c>
    </row>
    <row r="4" spans="1:95" s="62" customFormat="1" ht="48.75" customHeight="1" x14ac:dyDescent="0.2">
      <c r="A4" s="51" t="s">
        <v>1084</v>
      </c>
      <c r="B4" s="105">
        <v>513423137</v>
      </c>
      <c r="C4" s="60">
        <v>1000538248</v>
      </c>
      <c r="D4" s="48">
        <v>40221446</v>
      </c>
      <c r="E4" s="46">
        <v>1441622</v>
      </c>
      <c r="F4" s="119">
        <v>1642951</v>
      </c>
      <c r="G4" s="46">
        <v>1491352</v>
      </c>
      <c r="H4" s="46">
        <v>1392707</v>
      </c>
      <c r="I4" s="46">
        <v>1337909</v>
      </c>
      <c r="J4" s="46">
        <v>1340110</v>
      </c>
      <c r="K4" s="46">
        <v>1340110</v>
      </c>
      <c r="L4" s="46">
        <v>0</v>
      </c>
      <c r="M4" s="79"/>
      <c r="P4" s="288" t="e">
        <f>MATCH(B4,'42-02-20 מחול'!$A$50:$A$50,0)</f>
        <v>#N/A</v>
      </c>
      <c r="Q4" s="288" t="e">
        <f>MATCH(B4,'42-02-20 מחול'!$A$21:$A$44,0)</f>
        <v>#N/A</v>
      </c>
    </row>
    <row r="5" spans="1:95" s="62" customFormat="1" ht="33" customHeight="1" x14ac:dyDescent="0.2">
      <c r="A5" s="72" t="s">
        <v>1088</v>
      </c>
      <c r="B5" s="50">
        <v>514453554</v>
      </c>
      <c r="C5" s="60">
        <v>1000546086</v>
      </c>
      <c r="D5" s="48">
        <v>40578853</v>
      </c>
      <c r="E5" s="46"/>
      <c r="F5" s="46"/>
      <c r="G5" s="46"/>
      <c r="H5" s="46">
        <v>0</v>
      </c>
      <c r="I5" s="46">
        <v>63503</v>
      </c>
      <c r="J5" s="46">
        <v>62298</v>
      </c>
      <c r="K5" s="46">
        <v>62298</v>
      </c>
      <c r="L5" s="46">
        <v>0</v>
      </c>
      <c r="M5" s="820"/>
      <c r="P5" s="288" t="e">
        <f>MATCH(B5,'42-02-20 מחול'!$A$50:$A$50,0)</f>
        <v>#N/A</v>
      </c>
      <c r="Q5" s="288">
        <f>MATCH(B5,'42-02-20 מחול'!$A$21:$A$44,0)</f>
        <v>13</v>
      </c>
    </row>
    <row r="6" spans="1:95" s="62" customFormat="1" ht="36" customHeight="1" x14ac:dyDescent="0.2">
      <c r="A6" s="51" t="s">
        <v>1063</v>
      </c>
      <c r="B6" s="50">
        <v>580042422</v>
      </c>
      <c r="C6" s="60">
        <v>1000546226</v>
      </c>
      <c r="D6" s="48">
        <v>40000394</v>
      </c>
      <c r="E6" s="101">
        <v>468085</v>
      </c>
      <c r="F6" s="119">
        <v>579058</v>
      </c>
      <c r="G6" s="46">
        <v>504275</v>
      </c>
      <c r="H6" s="46">
        <v>430901</v>
      </c>
      <c r="I6" s="46">
        <v>570553</v>
      </c>
      <c r="J6" s="46">
        <v>627615</v>
      </c>
      <c r="K6" s="46">
        <v>627615</v>
      </c>
      <c r="L6" s="46">
        <v>0</v>
      </c>
      <c r="M6" s="439"/>
      <c r="N6" s="438"/>
      <c r="P6" s="288" t="e">
        <f>MATCH(B6,'42-02-20 מחול'!$A$50:$A$50,0)</f>
        <v>#N/A</v>
      </c>
      <c r="Q6" s="288" t="e">
        <f>MATCH(B6,'42-02-20 מחול'!$A$21:$A$44,0)</f>
        <v>#N/A</v>
      </c>
    </row>
    <row r="7" spans="1:95" s="298" customFormat="1" ht="48.75" customHeight="1" x14ac:dyDescent="0.2">
      <c r="A7" s="136" t="s">
        <v>1092</v>
      </c>
      <c r="B7" s="126">
        <v>580049591</v>
      </c>
      <c r="C7" s="60">
        <v>1000541641</v>
      </c>
      <c r="D7" s="132">
        <v>40000109</v>
      </c>
      <c r="E7" s="101">
        <v>100000</v>
      </c>
      <c r="F7" s="46">
        <v>120000</v>
      </c>
      <c r="G7" s="46">
        <v>120000</v>
      </c>
      <c r="H7" s="46">
        <v>120000</v>
      </c>
      <c r="I7" s="46">
        <v>128288</v>
      </c>
      <c r="J7" s="46">
        <v>227947</v>
      </c>
      <c r="K7" s="46">
        <v>227947</v>
      </c>
      <c r="L7" s="46">
        <v>0</v>
      </c>
      <c r="M7" s="127"/>
      <c r="N7" s="44"/>
      <c r="O7" s="44"/>
      <c r="P7" s="288" t="e">
        <f>MATCH(B7,'42-02-20 מחול'!$A$50:$A$50,0)</f>
        <v>#N/A</v>
      </c>
      <c r="Q7" s="288" t="e">
        <f>MATCH(B7,'42-02-20 מחול'!$A$21:$A$44,0)</f>
        <v>#N/A</v>
      </c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</row>
    <row r="8" spans="1:95" s="62" customFormat="1" ht="33" customHeight="1" x14ac:dyDescent="0.2">
      <c r="A8" s="51" t="s">
        <v>1064</v>
      </c>
      <c r="B8" s="105">
        <v>580049955</v>
      </c>
      <c r="C8" s="60">
        <v>1000543070</v>
      </c>
      <c r="D8" s="48">
        <v>40000111</v>
      </c>
      <c r="E8" s="46">
        <v>3739019</v>
      </c>
      <c r="F8" s="119">
        <v>3690456</v>
      </c>
      <c r="G8" s="46">
        <v>3572831</v>
      </c>
      <c r="H8" s="46">
        <v>3862035</v>
      </c>
      <c r="I8" s="46">
        <v>4062854</v>
      </c>
      <c r="J8" s="46">
        <v>4685244</v>
      </c>
      <c r="K8" s="46">
        <v>4685244</v>
      </c>
      <c r="L8" s="46">
        <v>0</v>
      </c>
      <c r="M8" s="92"/>
      <c r="P8" s="288" t="e">
        <f>MATCH(B8,'42-02-20 מחול'!$A$50:$A$50,0)</f>
        <v>#N/A</v>
      </c>
      <c r="Q8" s="288" t="e">
        <f>MATCH(B8,'42-02-20 מחול'!$A$21:$A$44,0)</f>
        <v>#N/A</v>
      </c>
    </row>
    <row r="9" spans="1:95" s="62" customFormat="1" ht="42" customHeight="1" x14ac:dyDescent="0.2">
      <c r="A9" s="51" t="s">
        <v>1082</v>
      </c>
      <c r="B9" s="105">
        <v>580079887</v>
      </c>
      <c r="C9" s="60">
        <v>1000540607</v>
      </c>
      <c r="D9" s="48">
        <v>40002883</v>
      </c>
      <c r="E9" s="46">
        <v>800000</v>
      </c>
      <c r="F9" s="46">
        <v>1147696</v>
      </c>
      <c r="G9" s="46">
        <v>1408874</v>
      </c>
      <c r="H9" s="46">
        <v>1491353</v>
      </c>
      <c r="I9" s="46">
        <v>1558366</v>
      </c>
      <c r="J9" s="46">
        <v>1533375</v>
      </c>
      <c r="K9" s="46">
        <v>1533375</v>
      </c>
      <c r="L9" s="46">
        <v>0</v>
      </c>
      <c r="M9" s="437"/>
      <c r="N9" s="121"/>
      <c r="O9" s="121"/>
      <c r="P9" s="288" t="e">
        <f>MATCH(B9,'42-02-20 מחול'!$A$50:$A$50,0)</f>
        <v>#N/A</v>
      </c>
      <c r="Q9" s="288" t="e">
        <f>MATCH(B9,'42-02-20 מחול'!$A$21:$A$44,0)</f>
        <v>#N/A</v>
      </c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</row>
    <row r="10" spans="1:95" s="62" customFormat="1" ht="42" customHeight="1" x14ac:dyDescent="0.2">
      <c r="A10" s="51" t="s">
        <v>1154</v>
      </c>
      <c r="B10" s="105">
        <v>580082824</v>
      </c>
      <c r="C10" s="49">
        <v>1000533841</v>
      </c>
      <c r="D10" s="48">
        <v>40000448</v>
      </c>
      <c r="E10" s="46"/>
      <c r="F10" s="101"/>
      <c r="G10" s="284"/>
      <c r="H10" s="150"/>
      <c r="I10" s="150">
        <v>0</v>
      </c>
      <c r="J10" s="46">
        <v>35000</v>
      </c>
      <c r="K10" s="46">
        <v>35000</v>
      </c>
      <c r="L10" s="46">
        <v>0</v>
      </c>
      <c r="M10" s="248"/>
      <c r="N10" s="121"/>
      <c r="O10" s="121"/>
      <c r="P10" s="288" t="e">
        <f>MATCH(B10,'42-02-20 מחול'!$A$50:$A$50,0)</f>
        <v>#N/A</v>
      </c>
      <c r="Q10" s="288">
        <f>MATCH(B10,'42-02-20 מחול'!$A$21:$A$44,0)</f>
        <v>9</v>
      </c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</row>
    <row r="11" spans="1:95" s="62" customFormat="1" ht="62.25" customHeight="1" x14ac:dyDescent="0.2">
      <c r="A11" s="72" t="s">
        <v>1087</v>
      </c>
      <c r="B11" s="53">
        <v>580103026</v>
      </c>
      <c r="C11" s="60">
        <v>1000542974</v>
      </c>
      <c r="D11" s="48">
        <v>40000134</v>
      </c>
      <c r="E11" s="101">
        <v>250000</v>
      </c>
      <c r="F11" s="119">
        <v>250000</v>
      </c>
      <c r="G11" s="46">
        <v>280000</v>
      </c>
      <c r="H11" s="46">
        <v>280000</v>
      </c>
      <c r="I11" s="46">
        <v>299340</v>
      </c>
      <c r="J11" s="46">
        <v>299340</v>
      </c>
      <c r="K11" s="46">
        <v>299340</v>
      </c>
      <c r="L11" s="46">
        <v>0</v>
      </c>
      <c r="M11" s="248"/>
      <c r="P11" s="288" t="e">
        <f>MATCH(B11,'42-02-20 מחול'!$A$50:$A$50,0)</f>
        <v>#N/A</v>
      </c>
      <c r="Q11" s="288">
        <f>MATCH(B11,'42-02-20 מחול'!$A$21:$A$44,0)</f>
        <v>2</v>
      </c>
    </row>
    <row r="12" spans="1:95" s="62" customFormat="1" ht="33" customHeight="1" x14ac:dyDescent="0.2">
      <c r="A12" s="72" t="s">
        <v>1156</v>
      </c>
      <c r="B12" s="53">
        <v>580103026</v>
      </c>
      <c r="C12" s="49">
        <v>1000543195</v>
      </c>
      <c r="D12" s="48">
        <v>40000134</v>
      </c>
      <c r="E12" s="46">
        <v>30000</v>
      </c>
      <c r="F12" s="382">
        <v>40000</v>
      </c>
      <c r="G12" s="150">
        <v>60000</v>
      </c>
      <c r="H12" s="150">
        <v>60000</v>
      </c>
      <c r="I12" s="150">
        <v>64144</v>
      </c>
      <c r="J12" s="46">
        <v>64144</v>
      </c>
      <c r="K12" s="46">
        <v>64144</v>
      </c>
      <c r="L12" s="46">
        <v>0</v>
      </c>
      <c r="M12" s="412"/>
      <c r="P12" s="288" t="e">
        <f>MATCH(B12,'42-02-20 מחול'!$A$50:$A$50,0)</f>
        <v>#N/A</v>
      </c>
      <c r="Q12" s="288">
        <f>MATCH(B12,'42-02-20 מחול'!$A$21:$A$44,0)</f>
        <v>2</v>
      </c>
    </row>
    <row r="13" spans="1:95" s="62" customFormat="1" ht="39.950000000000003" customHeight="1" x14ac:dyDescent="0.2">
      <c r="A13" s="51" t="s">
        <v>1083</v>
      </c>
      <c r="B13" s="105">
        <v>580111185</v>
      </c>
      <c r="C13" s="60">
        <v>1000537174</v>
      </c>
      <c r="D13" s="48">
        <v>40000140</v>
      </c>
      <c r="E13" s="46">
        <v>6016005</v>
      </c>
      <c r="F13" s="119">
        <v>6126742</v>
      </c>
      <c r="G13" s="46">
        <v>6041149</v>
      </c>
      <c r="H13" s="46">
        <v>5862360</v>
      </c>
      <c r="I13" s="46">
        <v>6256073</v>
      </c>
      <c r="J13" s="46">
        <v>6186961</v>
      </c>
      <c r="K13" s="46">
        <v>6186961</v>
      </c>
      <c r="L13" s="46">
        <v>0</v>
      </c>
      <c r="M13" s="129"/>
      <c r="P13" s="288" t="e">
        <f>MATCH(B13,'42-02-20 מחול'!$A$50:$A$50,0)</f>
        <v>#N/A</v>
      </c>
      <c r="Q13" s="288" t="e">
        <f>MATCH(B13,'42-02-20 מחול'!$A$21:$A$44,0)</f>
        <v>#N/A</v>
      </c>
    </row>
    <row r="14" spans="1:95" s="62" customFormat="1" ht="36.75" customHeight="1" x14ac:dyDescent="0.2">
      <c r="A14" s="51" t="s">
        <v>1085</v>
      </c>
      <c r="B14" s="105">
        <v>580154938</v>
      </c>
      <c r="C14" s="60">
        <v>1000545461</v>
      </c>
      <c r="D14" s="48">
        <v>40000157</v>
      </c>
      <c r="E14" s="46">
        <v>800000</v>
      </c>
      <c r="F14" s="46">
        <v>1050000</v>
      </c>
      <c r="G14" s="46">
        <v>1020000</v>
      </c>
      <c r="H14" s="46">
        <v>797056</v>
      </c>
      <c r="I14" s="46">
        <v>955072</v>
      </c>
      <c r="J14" s="46">
        <v>1200000</v>
      </c>
      <c r="K14" s="46">
        <v>1200000</v>
      </c>
      <c r="L14" s="46">
        <v>0</v>
      </c>
      <c r="M14" s="248"/>
      <c r="P14" s="288" t="e">
        <f>MATCH(B14,'42-02-20 מחול'!$A$50:$A$50,0)</f>
        <v>#N/A</v>
      </c>
      <c r="Q14" s="288">
        <f>MATCH(B14,'42-02-20 מחול'!$A$21:$A$44,0)</f>
        <v>3</v>
      </c>
    </row>
    <row r="15" spans="1:95" s="62" customFormat="1" ht="33" customHeight="1" x14ac:dyDescent="0.2">
      <c r="A15" s="51" t="s">
        <v>1157</v>
      </c>
      <c r="B15" s="105">
        <v>580154938</v>
      </c>
      <c r="C15" s="49">
        <v>1000545463</v>
      </c>
      <c r="D15" s="48">
        <v>40000157</v>
      </c>
      <c r="E15" s="46">
        <v>60000</v>
      </c>
      <c r="F15" s="101">
        <v>0</v>
      </c>
      <c r="G15" s="284">
        <v>60000</v>
      </c>
      <c r="H15" s="150">
        <v>80000</v>
      </c>
      <c r="I15" s="150">
        <v>100000</v>
      </c>
      <c r="J15" s="46">
        <v>100000</v>
      </c>
      <c r="K15" s="46">
        <v>100000</v>
      </c>
      <c r="L15" s="46">
        <v>0</v>
      </c>
      <c r="M15" s="248"/>
      <c r="N15" s="121"/>
      <c r="O15" s="121"/>
      <c r="P15" s="288" t="e">
        <f>MATCH(B15,'42-02-20 מחול'!$A$50:$A$50,0)</f>
        <v>#N/A</v>
      </c>
      <c r="Q15" s="288">
        <f>MATCH(B15,'42-02-20 מחול'!$A$21:$A$44,0)</f>
        <v>3</v>
      </c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</row>
    <row r="16" spans="1:95" s="62" customFormat="1" ht="54" customHeight="1" x14ac:dyDescent="0.2">
      <c r="A16" s="51" t="s">
        <v>1086</v>
      </c>
      <c r="B16" s="50">
        <v>580198554</v>
      </c>
      <c r="C16" s="60">
        <v>1000542599</v>
      </c>
      <c r="D16" s="48">
        <v>40000174</v>
      </c>
      <c r="E16" s="101">
        <v>140000</v>
      </c>
      <c r="F16" s="46">
        <v>140000</v>
      </c>
      <c r="G16" s="46">
        <v>140000</v>
      </c>
      <c r="H16" s="46">
        <v>140000</v>
      </c>
      <c r="I16" s="46">
        <v>134703</v>
      </c>
      <c r="J16" s="46">
        <v>121233</v>
      </c>
      <c r="K16" s="46">
        <v>121233</v>
      </c>
      <c r="L16" s="46">
        <v>0</v>
      </c>
      <c r="M16" s="264"/>
      <c r="P16" s="288" t="e">
        <f>MATCH(B16,'42-02-20 מחול'!$A$50:$A$50,0)</f>
        <v>#N/A</v>
      </c>
      <c r="Q16" s="288">
        <f>MATCH(B16,'42-02-20 מחול'!$A$21:$A$44,0)</f>
        <v>10</v>
      </c>
    </row>
    <row r="17" spans="1:91" s="121" customFormat="1" ht="36.75" customHeight="1" x14ac:dyDescent="0.2">
      <c r="A17" s="51" t="s">
        <v>1090</v>
      </c>
      <c r="B17" s="50">
        <v>580200830</v>
      </c>
      <c r="C17" s="60">
        <v>1000534394</v>
      </c>
      <c r="D17" s="48">
        <v>40000550</v>
      </c>
      <c r="E17" s="101">
        <v>300000</v>
      </c>
      <c r="F17" s="46">
        <v>280000</v>
      </c>
      <c r="G17" s="46">
        <v>304090</v>
      </c>
      <c r="H17" s="46">
        <v>330000</v>
      </c>
      <c r="I17" s="46">
        <v>405712</v>
      </c>
      <c r="J17" s="46">
        <v>405712</v>
      </c>
      <c r="K17" s="46">
        <v>405712</v>
      </c>
      <c r="L17" s="46">
        <v>0</v>
      </c>
      <c r="M17" s="421"/>
      <c r="P17" s="288" t="e">
        <f>MATCH(B17,'42-02-20 מחול'!$A$50:$A$50,0)</f>
        <v>#N/A</v>
      </c>
      <c r="Q17" s="288">
        <f>MATCH(B17,'42-02-20 מחול'!$A$21:$A$44,0)</f>
        <v>4</v>
      </c>
    </row>
    <row r="18" spans="1:91" s="62" customFormat="1" ht="38.25" customHeight="1" x14ac:dyDescent="0.2">
      <c r="A18" s="72" t="s">
        <v>1094</v>
      </c>
      <c r="B18" s="53">
        <v>580215333</v>
      </c>
      <c r="C18" s="60">
        <v>1000546777</v>
      </c>
      <c r="D18" s="48">
        <v>40000564</v>
      </c>
      <c r="E18" s="101">
        <v>362754</v>
      </c>
      <c r="F18" s="46">
        <v>324449</v>
      </c>
      <c r="G18" s="46">
        <v>333408</v>
      </c>
      <c r="H18" s="46">
        <v>319023</v>
      </c>
      <c r="I18" s="46">
        <v>308043</v>
      </c>
      <c r="J18" s="46">
        <v>265100</v>
      </c>
      <c r="K18" s="46">
        <v>265100</v>
      </c>
      <c r="L18" s="46">
        <v>0</v>
      </c>
      <c r="M18" s="129"/>
      <c r="P18" s="288" t="e">
        <f>MATCH(B18,'42-02-20 מחול'!$A$50:$A$50,0)</f>
        <v>#N/A</v>
      </c>
      <c r="Q18" s="288">
        <f>MATCH(B18,'42-02-20 מחול'!$A$21:$A$44,0)</f>
        <v>5</v>
      </c>
    </row>
    <row r="19" spans="1:91" s="62" customFormat="1" ht="36.75" customHeight="1" x14ac:dyDescent="0.2">
      <c r="A19" s="72" t="s">
        <v>1095</v>
      </c>
      <c r="B19" s="50">
        <v>580215333</v>
      </c>
      <c r="C19" s="60">
        <v>1000547400</v>
      </c>
      <c r="D19" s="48">
        <v>40000564</v>
      </c>
      <c r="E19" s="46">
        <v>100000</v>
      </c>
      <c r="F19" s="46">
        <v>100000</v>
      </c>
      <c r="G19" s="46">
        <v>90000</v>
      </c>
      <c r="H19" s="46">
        <v>81000</v>
      </c>
      <c r="I19" s="46">
        <v>86595</v>
      </c>
      <c r="J19" s="46">
        <v>77935</v>
      </c>
      <c r="K19" s="46">
        <v>77935</v>
      </c>
      <c r="L19" s="46">
        <v>0</v>
      </c>
      <c r="M19" s="129"/>
      <c r="P19" s="288" t="e">
        <f>MATCH(B19,'42-02-20 מחול'!$A$50:$A$50,0)</f>
        <v>#N/A</v>
      </c>
      <c r="Q19" s="288">
        <f>MATCH(B19,'42-02-20 מחול'!$A$21:$A$44,0)</f>
        <v>5</v>
      </c>
    </row>
    <row r="20" spans="1:91" s="62" customFormat="1" ht="39.950000000000003" customHeight="1" x14ac:dyDescent="0.2">
      <c r="A20" s="72" t="s">
        <v>1096</v>
      </c>
      <c r="B20" s="50">
        <v>580215333</v>
      </c>
      <c r="C20" s="49">
        <v>1000545766</v>
      </c>
      <c r="D20" s="48">
        <v>40000564</v>
      </c>
      <c r="E20" s="46">
        <v>0</v>
      </c>
      <c r="F20" s="101">
        <v>0</v>
      </c>
      <c r="G20" s="150">
        <v>0</v>
      </c>
      <c r="H20" s="150">
        <v>6000</v>
      </c>
      <c r="I20" s="150">
        <v>9622</v>
      </c>
      <c r="J20" s="46">
        <v>21895</v>
      </c>
      <c r="K20" s="46">
        <v>21895</v>
      </c>
      <c r="L20" s="46">
        <v>0</v>
      </c>
      <c r="M20" s="129"/>
      <c r="P20" s="288" t="e">
        <f>MATCH(B20,'42-02-20 מחול'!$A$50:$A$50,0)</f>
        <v>#N/A</v>
      </c>
      <c r="Q20" s="288">
        <f>MATCH(B20,'42-02-20 מחול'!$A$21:$A$44,0)</f>
        <v>5</v>
      </c>
    </row>
    <row r="21" spans="1:91" s="62" customFormat="1" ht="33" customHeight="1" x14ac:dyDescent="0.2">
      <c r="A21" s="72" t="s">
        <v>1097</v>
      </c>
      <c r="B21" s="50">
        <v>580215333</v>
      </c>
      <c r="C21" s="60">
        <v>1000545758</v>
      </c>
      <c r="D21" s="48">
        <v>40000564</v>
      </c>
      <c r="E21" s="46">
        <v>80000</v>
      </c>
      <c r="F21" s="46">
        <v>77222</v>
      </c>
      <c r="G21" s="46">
        <v>100000</v>
      </c>
      <c r="H21" s="46">
        <v>100000</v>
      </c>
      <c r="I21" s="46">
        <f>117598-22598</f>
        <v>95000</v>
      </c>
      <c r="J21" s="46">
        <v>115367</v>
      </c>
      <c r="K21" s="46">
        <v>115367</v>
      </c>
      <c r="L21" s="46">
        <v>0</v>
      </c>
      <c r="M21" s="127"/>
      <c r="N21" s="121"/>
      <c r="O21" s="121"/>
      <c r="P21" s="288" t="e">
        <f>MATCH(B21,'42-02-20 מחול'!$A$50:$A$50,0)</f>
        <v>#N/A</v>
      </c>
      <c r="Q21" s="288">
        <f>MATCH(B21,'42-02-20 מחול'!$A$21:$A$44,0)</f>
        <v>5</v>
      </c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</row>
    <row r="22" spans="1:91" s="62" customFormat="1" ht="48" customHeight="1" x14ac:dyDescent="0.2">
      <c r="A22" s="72" t="s">
        <v>1098</v>
      </c>
      <c r="B22" s="50">
        <v>580215333</v>
      </c>
      <c r="C22" s="49">
        <v>1000545801</v>
      </c>
      <c r="D22" s="48">
        <v>40000564</v>
      </c>
      <c r="E22" s="46">
        <v>0</v>
      </c>
      <c r="F22" s="101">
        <v>0</v>
      </c>
      <c r="G22" s="150">
        <v>0</v>
      </c>
      <c r="H22" s="150">
        <v>10000</v>
      </c>
      <c r="I22" s="150">
        <v>12294</v>
      </c>
      <c r="J22" s="46">
        <v>31652</v>
      </c>
      <c r="K22" s="46">
        <v>31652</v>
      </c>
      <c r="L22" s="46">
        <v>0</v>
      </c>
      <c r="M22" s="129"/>
      <c r="P22" s="288" t="e">
        <f>MATCH(B22,'42-02-20 מחול'!$A$50:$A$50,0)</f>
        <v>#N/A</v>
      </c>
      <c r="Q22" s="288">
        <f>MATCH(B22,'42-02-20 מחול'!$A$21:$A$44,0)</f>
        <v>5</v>
      </c>
    </row>
    <row r="23" spans="1:91" s="62" customFormat="1" ht="30.75" customHeight="1" x14ac:dyDescent="0.2">
      <c r="A23" s="72" t="s">
        <v>1099</v>
      </c>
      <c r="B23" s="50">
        <v>580215333</v>
      </c>
      <c r="C23" s="49">
        <v>1000545811</v>
      </c>
      <c r="D23" s="48">
        <v>40000564</v>
      </c>
      <c r="E23" s="46">
        <v>10000</v>
      </c>
      <c r="F23" s="101">
        <v>20000</v>
      </c>
      <c r="G23" s="150">
        <v>20000</v>
      </c>
      <c r="H23" s="150">
        <v>20000</v>
      </c>
      <c r="I23" s="150">
        <v>19243</v>
      </c>
      <c r="J23" s="46">
        <v>17319</v>
      </c>
      <c r="K23" s="46">
        <v>17319</v>
      </c>
      <c r="L23" s="46">
        <v>0</v>
      </c>
      <c r="M23" s="254"/>
      <c r="N23" s="121"/>
      <c r="O23" s="121"/>
      <c r="P23" s="288" t="e">
        <f>MATCH(B23,'42-02-20 מחול'!$A$50:$A$50,0)</f>
        <v>#N/A</v>
      </c>
      <c r="Q23" s="288">
        <f>MATCH(B23,'42-02-20 מחול'!$A$21:$A$44,0)</f>
        <v>5</v>
      </c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</row>
    <row r="24" spans="1:91" s="62" customFormat="1" ht="34.5" customHeight="1" x14ac:dyDescent="0.2">
      <c r="A24" s="72" t="s">
        <v>1100</v>
      </c>
      <c r="B24" s="50">
        <v>580215333</v>
      </c>
      <c r="C24" s="49">
        <v>1000545816</v>
      </c>
      <c r="D24" s="48">
        <v>40000564</v>
      </c>
      <c r="E24" s="46">
        <v>0</v>
      </c>
      <c r="F24" s="101">
        <v>60000</v>
      </c>
      <c r="G24" s="150">
        <v>66000</v>
      </c>
      <c r="H24" s="150">
        <v>66000</v>
      </c>
      <c r="I24" s="150">
        <v>70559</v>
      </c>
      <c r="J24" s="46">
        <v>63503</v>
      </c>
      <c r="K24" s="46">
        <v>63503</v>
      </c>
      <c r="L24" s="46">
        <v>0</v>
      </c>
      <c r="M24" s="129"/>
      <c r="P24" s="288" t="e">
        <f>MATCH(B24,'42-02-20 מחול'!$A$50:$A$50,0)</f>
        <v>#N/A</v>
      </c>
      <c r="Q24" s="288">
        <f>MATCH(B24,'42-02-20 מחול'!$A$21:$A$44,0)</f>
        <v>5</v>
      </c>
    </row>
    <row r="25" spans="1:91" s="62" customFormat="1" ht="30" customHeight="1" x14ac:dyDescent="0.2">
      <c r="A25" s="72" t="s">
        <v>1101</v>
      </c>
      <c r="B25" s="53">
        <v>580215333</v>
      </c>
      <c r="C25" s="49">
        <v>1000545819</v>
      </c>
      <c r="D25" s="48">
        <v>40000564</v>
      </c>
      <c r="E25" s="46">
        <v>0</v>
      </c>
      <c r="F25" s="101">
        <v>0</v>
      </c>
      <c r="G25" s="150">
        <v>20000</v>
      </c>
      <c r="H25" s="150">
        <v>6000</v>
      </c>
      <c r="I25" s="150">
        <v>5773</v>
      </c>
      <c r="J25" s="46">
        <v>15979</v>
      </c>
      <c r="K25" s="46">
        <v>15979</v>
      </c>
      <c r="L25" s="46">
        <v>0</v>
      </c>
      <c r="M25" s="46"/>
      <c r="N25" s="121"/>
      <c r="O25" s="822">
        <f>SUM(J18:J77)</f>
        <v>6861769</v>
      </c>
      <c r="P25" s="288" t="e">
        <f>MATCH(B25,'42-02-20 מחול'!$A$50:$A$50,0)</f>
        <v>#N/A</v>
      </c>
      <c r="Q25" s="288">
        <f>MATCH(B25,'42-02-20 מחול'!$A$21:$A$44,0)</f>
        <v>5</v>
      </c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</row>
    <row r="26" spans="1:91" s="62" customFormat="1" ht="30" customHeight="1" x14ac:dyDescent="0.2">
      <c r="A26" s="72" t="s">
        <v>1102</v>
      </c>
      <c r="B26" s="53">
        <v>580215333</v>
      </c>
      <c r="C26" s="49">
        <v>1000545879</v>
      </c>
      <c r="D26" s="48">
        <v>40000564</v>
      </c>
      <c r="E26" s="46">
        <v>15000</v>
      </c>
      <c r="F26" s="101">
        <v>15000</v>
      </c>
      <c r="G26" s="150">
        <v>0</v>
      </c>
      <c r="H26" s="106">
        <v>0</v>
      </c>
      <c r="I26" s="106">
        <v>16036</v>
      </c>
      <c r="J26" s="46">
        <v>18708</v>
      </c>
      <c r="K26" s="46">
        <v>18708</v>
      </c>
      <c r="L26" s="46">
        <v>0</v>
      </c>
      <c r="M26" s="262"/>
      <c r="N26" s="121"/>
      <c r="O26" s="121"/>
      <c r="P26" s="288" t="e">
        <f>MATCH(B26,'42-02-20 מחול'!$A$50:$A$50,0)</f>
        <v>#N/A</v>
      </c>
      <c r="Q26" s="288">
        <f>MATCH(B26,'42-02-20 מחול'!$A$21:$A$44,0)</f>
        <v>5</v>
      </c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</row>
    <row r="27" spans="1:91" s="62" customFormat="1" ht="32.25" customHeight="1" x14ac:dyDescent="0.2">
      <c r="A27" s="72" t="s">
        <v>1103</v>
      </c>
      <c r="B27" s="53">
        <v>580215333</v>
      </c>
      <c r="C27" s="49">
        <v>1000545907</v>
      </c>
      <c r="D27" s="48">
        <v>40000564</v>
      </c>
      <c r="E27" s="46">
        <v>0</v>
      </c>
      <c r="F27" s="101">
        <v>0</v>
      </c>
      <c r="G27" s="150">
        <v>0</v>
      </c>
      <c r="H27" s="150">
        <v>0</v>
      </c>
      <c r="I27" s="150">
        <v>10691</v>
      </c>
      <c r="J27" s="46">
        <v>17745</v>
      </c>
      <c r="K27" s="46">
        <v>17745</v>
      </c>
      <c r="L27" s="46">
        <v>0</v>
      </c>
      <c r="M27" s="129"/>
      <c r="P27" s="288" t="e">
        <f>MATCH(B27,'42-02-20 מחול'!$A$50:$A$50,0)</f>
        <v>#N/A</v>
      </c>
      <c r="Q27" s="288">
        <f>MATCH(B27,'42-02-20 מחול'!$A$21:$A$44,0)</f>
        <v>5</v>
      </c>
    </row>
    <row r="28" spans="1:91" s="62" customFormat="1" ht="34.5" customHeight="1" x14ac:dyDescent="0.2">
      <c r="A28" s="55" t="s">
        <v>1104</v>
      </c>
      <c r="B28" s="50">
        <v>580215333</v>
      </c>
      <c r="C28" s="60">
        <v>1000546492</v>
      </c>
      <c r="D28" s="48">
        <v>40000564</v>
      </c>
      <c r="E28" s="101">
        <v>139132</v>
      </c>
      <c r="F28" s="46">
        <v>143000</v>
      </c>
      <c r="G28" s="46">
        <v>149500</v>
      </c>
      <c r="H28" s="46">
        <v>150000</v>
      </c>
      <c r="I28" s="46">
        <v>192433</v>
      </c>
      <c r="J28" s="46">
        <v>188782</v>
      </c>
      <c r="K28" s="46">
        <v>188782</v>
      </c>
      <c r="L28" s="46">
        <v>0</v>
      </c>
      <c r="M28" s="127"/>
      <c r="P28" s="288" t="e">
        <f>MATCH(B28,'42-02-20 מחול'!$A$50:$A$50,0)</f>
        <v>#N/A</v>
      </c>
      <c r="Q28" s="288">
        <f>MATCH(B28,'42-02-20 מחול'!$A$21:$A$44,0)</f>
        <v>5</v>
      </c>
    </row>
    <row r="29" spans="1:91" s="44" customFormat="1" ht="33" customHeight="1" x14ac:dyDescent="0.2">
      <c r="A29" s="72" t="s">
        <v>1105</v>
      </c>
      <c r="B29" s="53">
        <v>580215333</v>
      </c>
      <c r="C29" s="49">
        <v>1000546071</v>
      </c>
      <c r="D29" s="48">
        <v>40000564</v>
      </c>
      <c r="E29" s="46">
        <v>0</v>
      </c>
      <c r="F29" s="382">
        <v>0</v>
      </c>
      <c r="G29" s="150">
        <v>0</v>
      </c>
      <c r="H29" s="150">
        <v>20000</v>
      </c>
      <c r="I29" s="150">
        <v>21381</v>
      </c>
      <c r="J29" s="46">
        <v>32394</v>
      </c>
      <c r="K29" s="46">
        <v>32394</v>
      </c>
      <c r="L29" s="46">
        <v>0</v>
      </c>
      <c r="M29" s="129"/>
      <c r="P29" s="288" t="e">
        <f>MATCH(B29,'42-02-20 מחול'!$A$50:$A$50,0)</f>
        <v>#N/A</v>
      </c>
      <c r="Q29" s="288">
        <f>MATCH(B29,'42-02-20 מחול'!$A$21:$A$44,0)</f>
        <v>5</v>
      </c>
    </row>
    <row r="30" spans="1:91" s="62" customFormat="1" ht="34.5" customHeight="1" x14ac:dyDescent="0.2">
      <c r="A30" s="72" t="s">
        <v>1106</v>
      </c>
      <c r="B30" s="50">
        <v>580215333</v>
      </c>
      <c r="C30" s="49">
        <v>1000546069</v>
      </c>
      <c r="D30" s="48">
        <v>40000564</v>
      </c>
      <c r="E30" s="46">
        <v>0</v>
      </c>
      <c r="F30" s="101">
        <v>0</v>
      </c>
      <c r="G30" s="150">
        <v>0</v>
      </c>
      <c r="H30" s="150">
        <v>6000</v>
      </c>
      <c r="I30" s="150">
        <v>12829</v>
      </c>
      <c r="J30" s="46">
        <v>18362</v>
      </c>
      <c r="K30" s="46">
        <v>18362</v>
      </c>
      <c r="L30" s="46">
        <v>0</v>
      </c>
      <c r="M30" s="129"/>
      <c r="P30" s="288" t="e">
        <f>MATCH(B30,'42-02-20 מחול'!$A$50:$A$50,0)</f>
        <v>#N/A</v>
      </c>
      <c r="Q30" s="288">
        <f>MATCH(B30,'42-02-20 מחול'!$A$21:$A$44,0)</f>
        <v>5</v>
      </c>
    </row>
    <row r="31" spans="1:91" s="62" customFormat="1" ht="30" customHeight="1" x14ac:dyDescent="0.2">
      <c r="A31" s="72" t="s">
        <v>1107</v>
      </c>
      <c r="B31" s="53">
        <v>580215333</v>
      </c>
      <c r="C31" s="49">
        <v>1000546208</v>
      </c>
      <c r="D31" s="48">
        <v>40000564</v>
      </c>
      <c r="E31" s="46">
        <v>0</v>
      </c>
      <c r="F31" s="101">
        <v>0</v>
      </c>
      <c r="G31" s="150">
        <v>0</v>
      </c>
      <c r="H31" s="150">
        <v>20000</v>
      </c>
      <c r="I31" s="150">
        <v>21381</v>
      </c>
      <c r="J31" s="46">
        <v>20976</v>
      </c>
      <c r="K31" s="46">
        <v>20976</v>
      </c>
      <c r="L31" s="46">
        <v>0</v>
      </c>
      <c r="M31" s="129"/>
      <c r="N31" s="121"/>
      <c r="O31" s="121"/>
      <c r="P31" s="288" t="e">
        <f>MATCH(B31,'42-02-20 מחול'!$A$50:$A$50,0)</f>
        <v>#N/A</v>
      </c>
      <c r="Q31" s="288">
        <f>MATCH(B31,'42-02-20 מחול'!$A$21:$A$44,0)</f>
        <v>5</v>
      </c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</row>
    <row r="32" spans="1:91" s="62" customFormat="1" ht="37.5" customHeight="1" x14ac:dyDescent="0.2">
      <c r="A32" s="72" t="s">
        <v>1108</v>
      </c>
      <c r="B32" s="50">
        <v>580215333</v>
      </c>
      <c r="C32" s="49">
        <v>1000545970</v>
      </c>
      <c r="D32" s="48">
        <v>40000564</v>
      </c>
      <c r="E32" s="46">
        <v>20000</v>
      </c>
      <c r="F32" s="101">
        <v>20000</v>
      </c>
      <c r="G32" s="150">
        <v>20000</v>
      </c>
      <c r="H32" s="150">
        <v>20000</v>
      </c>
      <c r="I32" s="150">
        <v>19243</v>
      </c>
      <c r="J32" s="46">
        <v>17962</v>
      </c>
      <c r="K32" s="46">
        <v>17962</v>
      </c>
      <c r="L32" s="46">
        <v>0</v>
      </c>
      <c r="M32" s="129"/>
      <c r="P32" s="288" t="e">
        <f>MATCH(B32,'42-02-20 מחול'!$A$50:$A$50,0)</f>
        <v>#N/A</v>
      </c>
      <c r="Q32" s="288">
        <f>MATCH(B32,'42-02-20 מחול'!$A$21:$A$44,0)</f>
        <v>5</v>
      </c>
    </row>
    <row r="33" spans="1:17" s="44" customFormat="1" ht="33.75" customHeight="1" x14ac:dyDescent="0.2">
      <c r="A33" s="72" t="s">
        <v>1109</v>
      </c>
      <c r="B33" s="53">
        <v>580215333</v>
      </c>
      <c r="C33" s="60">
        <v>1000545880</v>
      </c>
      <c r="D33" s="48">
        <v>40000564</v>
      </c>
      <c r="E33" s="46">
        <v>75000</v>
      </c>
      <c r="F33" s="101">
        <v>95207</v>
      </c>
      <c r="G33" s="46">
        <v>110000</v>
      </c>
      <c r="H33" s="46">
        <v>110000</v>
      </c>
      <c r="I33" s="46">
        <v>117598</v>
      </c>
      <c r="J33" s="46">
        <v>115367</v>
      </c>
      <c r="K33" s="46">
        <v>115367</v>
      </c>
      <c r="L33" s="46">
        <v>0</v>
      </c>
      <c r="M33" s="127"/>
      <c r="P33" s="288" t="e">
        <f>MATCH(B33,'42-02-20 מחול'!$A$50:$A$50,0)</f>
        <v>#N/A</v>
      </c>
      <c r="Q33" s="288">
        <f>MATCH(B33,'42-02-20 מחול'!$A$21:$A$44,0)</f>
        <v>5</v>
      </c>
    </row>
    <row r="34" spans="1:17" s="62" customFormat="1" ht="33" customHeight="1" x14ac:dyDescent="0.2">
      <c r="A34" s="51" t="s">
        <v>1110</v>
      </c>
      <c r="B34" s="105">
        <v>580215333</v>
      </c>
      <c r="C34" s="60">
        <v>1000546707</v>
      </c>
      <c r="D34" s="48">
        <v>40000564</v>
      </c>
      <c r="E34" s="46"/>
      <c r="F34" s="119"/>
      <c r="G34" s="46"/>
      <c r="H34" s="46"/>
      <c r="I34" s="46">
        <v>0</v>
      </c>
      <c r="J34" s="46">
        <v>18561</v>
      </c>
      <c r="K34" s="46">
        <v>18561</v>
      </c>
      <c r="L34" s="46">
        <v>0</v>
      </c>
      <c r="M34" s="129"/>
      <c r="P34" s="288" t="e">
        <f>MATCH(B34,'42-02-20 מחול'!$A$50:$A$50,0)</f>
        <v>#N/A</v>
      </c>
      <c r="Q34" s="288">
        <f>MATCH(B34,'42-02-20 מחול'!$A$21:$A$44,0)</f>
        <v>5</v>
      </c>
    </row>
    <row r="35" spans="1:17" s="62" customFormat="1" ht="42" customHeight="1" x14ac:dyDescent="0.2">
      <c r="A35" s="51" t="s">
        <v>1111</v>
      </c>
      <c r="B35" s="105">
        <v>580215333</v>
      </c>
      <c r="C35" s="60">
        <v>1000546706</v>
      </c>
      <c r="D35" s="48">
        <v>40000564</v>
      </c>
      <c r="E35" s="46"/>
      <c r="F35" s="119"/>
      <c r="G35" s="46"/>
      <c r="H35" s="46"/>
      <c r="I35" s="46">
        <v>0</v>
      </c>
      <c r="J35" s="46">
        <v>30000</v>
      </c>
      <c r="K35" s="46">
        <v>30000</v>
      </c>
      <c r="L35" s="46">
        <v>0</v>
      </c>
      <c r="M35" s="129"/>
      <c r="P35" s="288" t="e">
        <f>MATCH(B35,'42-02-20 מחול'!$A$50:$A$50,0)</f>
        <v>#N/A</v>
      </c>
      <c r="Q35" s="288">
        <f>MATCH(B35,'42-02-20 מחול'!$A$21:$A$44,0)</f>
        <v>5</v>
      </c>
    </row>
    <row r="36" spans="1:17" s="62" customFormat="1" ht="42" customHeight="1" x14ac:dyDescent="0.2">
      <c r="A36" s="72" t="s">
        <v>1112</v>
      </c>
      <c r="B36" s="50">
        <v>580215333</v>
      </c>
      <c r="C36" s="49">
        <v>1000545932</v>
      </c>
      <c r="D36" s="48">
        <v>40000564</v>
      </c>
      <c r="E36" s="46">
        <v>30000</v>
      </c>
      <c r="F36" s="382">
        <v>50000</v>
      </c>
      <c r="G36" s="150">
        <v>54999</v>
      </c>
      <c r="H36" s="150">
        <v>55000</v>
      </c>
      <c r="I36" s="150">
        <v>117598</v>
      </c>
      <c r="J36" s="46">
        <v>115367</v>
      </c>
      <c r="K36" s="46">
        <v>115367</v>
      </c>
      <c r="L36" s="46">
        <v>0</v>
      </c>
      <c r="M36" s="129"/>
      <c r="P36" s="288" t="e">
        <f>MATCH(B36,'42-02-20 מחול'!$A$50:$A$50,0)</f>
        <v>#N/A</v>
      </c>
      <c r="Q36" s="288">
        <f>MATCH(B36,'42-02-20 מחול'!$A$21:$A$44,0)</f>
        <v>5</v>
      </c>
    </row>
    <row r="37" spans="1:17" s="62" customFormat="1" ht="34.5" customHeight="1" x14ac:dyDescent="0.2">
      <c r="A37" s="72" t="s">
        <v>1113</v>
      </c>
      <c r="B37" s="53">
        <v>580215333</v>
      </c>
      <c r="C37" s="49">
        <v>1000546033</v>
      </c>
      <c r="D37" s="48">
        <v>40000564</v>
      </c>
      <c r="E37" s="46">
        <v>0</v>
      </c>
      <c r="F37" s="101">
        <v>0</v>
      </c>
      <c r="G37" s="150">
        <v>0</v>
      </c>
      <c r="H37" s="150">
        <v>20000</v>
      </c>
      <c r="I37" s="150">
        <v>23520</v>
      </c>
      <c r="J37" s="46">
        <v>23073</v>
      </c>
      <c r="K37" s="46">
        <v>23073</v>
      </c>
      <c r="L37" s="46">
        <v>0</v>
      </c>
      <c r="M37" s="129"/>
      <c r="P37" s="288" t="e">
        <f>MATCH(B37,'42-02-20 מחול'!$A$50:$A$50,0)</f>
        <v>#N/A</v>
      </c>
      <c r="Q37" s="288">
        <f>MATCH(B37,'42-02-20 מחול'!$A$21:$A$44,0)</f>
        <v>5</v>
      </c>
    </row>
    <row r="38" spans="1:17" s="62" customFormat="1" ht="34.5" customHeight="1" x14ac:dyDescent="0.2">
      <c r="A38" s="72" t="s">
        <v>1114</v>
      </c>
      <c r="B38" s="50">
        <v>580215333</v>
      </c>
      <c r="C38" s="60">
        <v>1000546063</v>
      </c>
      <c r="D38" s="48">
        <v>40000564</v>
      </c>
      <c r="E38" s="46">
        <v>100000</v>
      </c>
      <c r="F38" s="46">
        <v>100000</v>
      </c>
      <c r="G38" s="46">
        <v>100000</v>
      </c>
      <c r="H38" s="46">
        <v>100000</v>
      </c>
      <c r="I38" s="46">
        <v>106907</v>
      </c>
      <c r="J38" s="46">
        <v>104879</v>
      </c>
      <c r="K38" s="46">
        <v>104879</v>
      </c>
      <c r="L38" s="46">
        <v>0</v>
      </c>
      <c r="M38" s="129"/>
      <c r="P38" s="288" t="e">
        <f>MATCH(B38,'42-02-20 מחול'!$A$50:$A$50,0)</f>
        <v>#N/A</v>
      </c>
      <c r="Q38" s="288">
        <f>MATCH(B38,'42-02-20 מחול'!$A$21:$A$44,0)</f>
        <v>5</v>
      </c>
    </row>
    <row r="39" spans="1:17" s="62" customFormat="1" ht="33" customHeight="1" x14ac:dyDescent="0.2">
      <c r="A39" s="72" t="s">
        <v>1115</v>
      </c>
      <c r="B39" s="50">
        <v>580215333</v>
      </c>
      <c r="C39" s="49">
        <v>1000547397</v>
      </c>
      <c r="D39" s="48">
        <v>40000564</v>
      </c>
      <c r="E39" s="46">
        <v>40000</v>
      </c>
      <c r="F39" s="382">
        <v>50000</v>
      </c>
      <c r="G39" s="150">
        <v>50000</v>
      </c>
      <c r="H39" s="150">
        <v>25000</v>
      </c>
      <c r="I39" s="150">
        <v>24054</v>
      </c>
      <c r="J39" s="46">
        <v>54721</v>
      </c>
      <c r="K39" s="46">
        <v>54721</v>
      </c>
      <c r="L39" s="46">
        <v>0</v>
      </c>
      <c r="M39" s="129"/>
      <c r="P39" s="288" t="e">
        <f>MATCH(B39,'42-02-20 מחול'!$A$50:$A$50,0)</f>
        <v>#N/A</v>
      </c>
      <c r="Q39" s="288">
        <f>MATCH(B39,'42-02-20 מחול'!$A$21:$A$44,0)</f>
        <v>5</v>
      </c>
    </row>
    <row r="40" spans="1:17" s="62" customFormat="1" ht="27.75" customHeight="1" x14ac:dyDescent="0.2">
      <c r="A40" s="72" t="s">
        <v>1116</v>
      </c>
      <c r="B40" s="50">
        <v>580215333</v>
      </c>
      <c r="C40" s="60">
        <v>1000548207</v>
      </c>
      <c r="D40" s="48">
        <v>40000564</v>
      </c>
      <c r="E40" s="46">
        <v>173915</v>
      </c>
      <c r="F40" s="46">
        <v>198000</v>
      </c>
      <c r="G40" s="46">
        <v>198000</v>
      </c>
      <c r="H40" s="46">
        <v>198000</v>
      </c>
      <c r="I40" s="46">
        <v>211676</v>
      </c>
      <c r="J40" s="46">
        <v>207663</v>
      </c>
      <c r="K40" s="46">
        <v>207663</v>
      </c>
      <c r="L40" s="46">
        <v>0</v>
      </c>
      <c r="M40" s="129"/>
      <c r="P40" s="288" t="e">
        <f>MATCH(B40,'42-02-20 מחול'!$A$50:$A$50,0)</f>
        <v>#N/A</v>
      </c>
      <c r="Q40" s="288">
        <f>MATCH(B40,'42-02-20 מחול'!$A$21:$A$44,0)</f>
        <v>5</v>
      </c>
    </row>
    <row r="41" spans="1:17" s="44" customFormat="1" ht="39.75" customHeight="1" x14ac:dyDescent="0.2">
      <c r="A41" s="72" t="s">
        <v>1117</v>
      </c>
      <c r="B41" s="50">
        <v>580215333</v>
      </c>
      <c r="C41" s="60">
        <v>1000546203</v>
      </c>
      <c r="D41" s="48">
        <v>40000564</v>
      </c>
      <c r="E41" s="101">
        <v>139132</v>
      </c>
      <c r="F41" s="46">
        <v>198000</v>
      </c>
      <c r="G41" s="46">
        <v>189000</v>
      </c>
      <c r="H41" s="46">
        <v>189000</v>
      </c>
      <c r="I41" s="46">
        <v>171746</v>
      </c>
      <c r="J41" s="46">
        <v>154571</v>
      </c>
      <c r="K41" s="46">
        <v>154571</v>
      </c>
      <c r="L41" s="46">
        <v>0</v>
      </c>
      <c r="M41" s="129"/>
      <c r="P41" s="288" t="e">
        <f>MATCH(B41,'42-02-20 מחול'!$A$50:$A$50,0)</f>
        <v>#N/A</v>
      </c>
      <c r="Q41" s="288">
        <f>MATCH(B41,'42-02-20 מחול'!$A$21:$A$44,0)</f>
        <v>5</v>
      </c>
    </row>
    <row r="42" spans="1:17" s="44" customFormat="1" ht="35.25" customHeight="1" x14ac:dyDescent="0.2">
      <c r="A42" s="72" t="s">
        <v>1118</v>
      </c>
      <c r="B42" s="50">
        <v>580215333</v>
      </c>
      <c r="C42" s="49">
        <v>1000546198</v>
      </c>
      <c r="D42" s="48">
        <v>40000564</v>
      </c>
      <c r="E42" s="46"/>
      <c r="F42" s="46"/>
      <c r="G42" s="150"/>
      <c r="H42" s="150">
        <v>0</v>
      </c>
      <c r="I42" s="150">
        <v>10691</v>
      </c>
      <c r="J42" s="46">
        <v>26395</v>
      </c>
      <c r="K42" s="46">
        <v>26395</v>
      </c>
      <c r="L42" s="46">
        <v>0</v>
      </c>
      <c r="M42" s="58"/>
      <c r="P42" s="288" t="e">
        <f>MATCH(B42,'42-02-20 מחול'!$A$50:$A$50,0)</f>
        <v>#N/A</v>
      </c>
      <c r="Q42" s="288">
        <f>MATCH(B42,'42-02-20 מחול'!$A$21:$A$44,0)</f>
        <v>5</v>
      </c>
    </row>
    <row r="43" spans="1:17" s="44" customFormat="1" ht="40.5" customHeight="1" x14ac:dyDescent="0.2">
      <c r="A43" s="72" t="s">
        <v>1119</v>
      </c>
      <c r="B43" s="50">
        <v>580215333</v>
      </c>
      <c r="C43" s="60">
        <v>1000546188</v>
      </c>
      <c r="D43" s="48">
        <v>40000564</v>
      </c>
      <c r="E43" s="46">
        <v>100000</v>
      </c>
      <c r="F43" s="46">
        <v>100000</v>
      </c>
      <c r="G43" s="46">
        <v>100000</v>
      </c>
      <c r="H43" s="46">
        <v>100000</v>
      </c>
      <c r="I43" s="46">
        <v>96216</v>
      </c>
      <c r="J43" s="46">
        <v>86595</v>
      </c>
      <c r="K43" s="46">
        <v>86595</v>
      </c>
      <c r="L43" s="46">
        <v>0</v>
      </c>
      <c r="M43" s="129"/>
      <c r="P43" s="288" t="e">
        <f>MATCH(B43,'42-02-20 מחול'!$A$50:$A$50,0)</f>
        <v>#N/A</v>
      </c>
      <c r="Q43" s="288">
        <f>MATCH(B43,'42-02-20 מחול'!$A$21:$A$44,0)</f>
        <v>5</v>
      </c>
    </row>
    <row r="44" spans="1:17" s="62" customFormat="1" ht="41.25" customHeight="1" x14ac:dyDescent="0.2">
      <c r="A44" s="72" t="s">
        <v>1120</v>
      </c>
      <c r="B44" s="53">
        <v>580215333</v>
      </c>
      <c r="C44" s="49">
        <v>1000546199</v>
      </c>
      <c r="D44" s="48">
        <v>40000564</v>
      </c>
      <c r="E44" s="46">
        <v>0</v>
      </c>
      <c r="F44" s="382">
        <v>0</v>
      </c>
      <c r="G44" s="150">
        <v>30000</v>
      </c>
      <c r="H44" s="150">
        <v>30000</v>
      </c>
      <c r="I44" s="150">
        <v>28865</v>
      </c>
      <c r="J44" s="46">
        <v>28317</v>
      </c>
      <c r="K44" s="46">
        <v>28317</v>
      </c>
      <c r="L44" s="46">
        <v>0</v>
      </c>
      <c r="M44" s="129"/>
      <c r="P44" s="288" t="e">
        <f>MATCH(B44,'42-02-20 מחול'!$A$50:$A$50,0)</f>
        <v>#N/A</v>
      </c>
      <c r="Q44" s="288">
        <f>MATCH(B44,'42-02-20 מחול'!$A$21:$A$44,0)</f>
        <v>5</v>
      </c>
    </row>
    <row r="45" spans="1:17" s="62" customFormat="1" ht="34.5" customHeight="1" x14ac:dyDescent="0.2">
      <c r="A45" s="72" t="s">
        <v>1121</v>
      </c>
      <c r="B45" s="50">
        <v>580215333</v>
      </c>
      <c r="C45" s="60">
        <v>1000546761</v>
      </c>
      <c r="D45" s="48">
        <v>40000564</v>
      </c>
      <c r="E45" s="46">
        <v>100000</v>
      </c>
      <c r="F45" s="46">
        <v>120000</v>
      </c>
      <c r="G45" s="46">
        <v>100000</v>
      </c>
      <c r="H45" s="46">
        <v>100000</v>
      </c>
      <c r="I45" s="46">
        <v>106907</v>
      </c>
      <c r="J45" s="46">
        <v>104879</v>
      </c>
      <c r="K45" s="46">
        <v>104879</v>
      </c>
      <c r="L45" s="46">
        <v>0</v>
      </c>
      <c r="M45" s="129"/>
      <c r="P45" s="288" t="e">
        <f>MATCH(B45,'42-02-20 מחול'!$A$50:$A$50,0)</f>
        <v>#N/A</v>
      </c>
      <c r="Q45" s="288">
        <f>MATCH(B45,'42-02-20 מחול'!$A$21:$A$44,0)</f>
        <v>5</v>
      </c>
    </row>
    <row r="46" spans="1:17" s="62" customFormat="1" ht="42.75" customHeight="1" x14ac:dyDescent="0.2">
      <c r="A46" s="72" t="s">
        <v>1122</v>
      </c>
      <c r="B46" s="53">
        <v>580215333</v>
      </c>
      <c r="C46" s="49">
        <v>1000546252</v>
      </c>
      <c r="D46" s="48">
        <v>40000564</v>
      </c>
      <c r="E46" s="46">
        <v>0</v>
      </c>
      <c r="F46" s="382">
        <v>0</v>
      </c>
      <c r="G46" s="150">
        <v>20000</v>
      </c>
      <c r="H46" s="150">
        <v>20000</v>
      </c>
      <c r="I46" s="150">
        <v>21381</v>
      </c>
      <c r="J46" s="46">
        <v>19243</v>
      </c>
      <c r="K46" s="46">
        <v>19243</v>
      </c>
      <c r="L46" s="46">
        <v>0</v>
      </c>
      <c r="M46" s="129"/>
      <c r="P46" s="288" t="e">
        <f>MATCH(B46,'42-02-20 מחול'!$A$50:$A$50,0)</f>
        <v>#N/A</v>
      </c>
      <c r="Q46" s="288">
        <f>MATCH(B46,'42-02-20 מחול'!$A$21:$A$44,0)</f>
        <v>5</v>
      </c>
    </row>
    <row r="47" spans="1:17" s="62" customFormat="1" ht="48" customHeight="1" x14ac:dyDescent="0.2">
      <c r="A47" s="72" t="s">
        <v>1123</v>
      </c>
      <c r="B47" s="53">
        <v>580215333</v>
      </c>
      <c r="C47" s="60">
        <v>1000546191</v>
      </c>
      <c r="D47" s="48">
        <v>40000564</v>
      </c>
      <c r="E47" s="101">
        <v>128432</v>
      </c>
      <c r="F47" s="46">
        <v>137500</v>
      </c>
      <c r="G47" s="46">
        <v>137500</v>
      </c>
      <c r="H47" s="46">
        <v>137500</v>
      </c>
      <c r="I47" s="46">
        <v>146997</v>
      </c>
      <c r="J47" s="46">
        <v>144209</v>
      </c>
      <c r="K47" s="46">
        <v>144209</v>
      </c>
      <c r="L47" s="46">
        <v>0</v>
      </c>
      <c r="M47" s="129"/>
      <c r="P47" s="288" t="e">
        <f>MATCH(B47,'42-02-20 מחול'!$A$50:$A$50,0)</f>
        <v>#N/A</v>
      </c>
      <c r="Q47" s="288">
        <f>MATCH(B47,'42-02-20 מחול'!$A$21:$A$44,0)</f>
        <v>5</v>
      </c>
    </row>
    <row r="48" spans="1:17" s="62" customFormat="1" ht="39.950000000000003" customHeight="1" x14ac:dyDescent="0.2">
      <c r="A48" s="72" t="s">
        <v>1124</v>
      </c>
      <c r="B48" s="53">
        <v>580215333</v>
      </c>
      <c r="C48" s="49">
        <v>1000546260</v>
      </c>
      <c r="D48" s="48">
        <v>40000564</v>
      </c>
      <c r="E48" s="46">
        <v>0</v>
      </c>
      <c r="F48" s="101">
        <v>0</v>
      </c>
      <c r="G48" s="150">
        <v>0</v>
      </c>
      <c r="H48" s="150">
        <v>15000</v>
      </c>
      <c r="I48" s="150">
        <v>17640</v>
      </c>
      <c r="J48" s="46">
        <v>23205</v>
      </c>
      <c r="K48" s="46">
        <v>23205</v>
      </c>
      <c r="L48" s="46">
        <v>0</v>
      </c>
      <c r="M48" s="129"/>
      <c r="P48" s="288" t="e">
        <f>MATCH(B48,'42-02-20 מחול'!$A$50:$A$50,0)</f>
        <v>#N/A</v>
      </c>
      <c r="Q48" s="288">
        <f>MATCH(B48,'42-02-20 מחול'!$A$21:$A$44,0)</f>
        <v>5</v>
      </c>
    </row>
    <row r="49" spans="1:91" s="62" customFormat="1" ht="36.75" customHeight="1" x14ac:dyDescent="0.2">
      <c r="A49" s="72" t="s">
        <v>1125</v>
      </c>
      <c r="B49" s="53">
        <v>580215333</v>
      </c>
      <c r="C49" s="60">
        <v>1000546218</v>
      </c>
      <c r="D49" s="48">
        <v>40000564</v>
      </c>
      <c r="E49" s="101">
        <v>141798</v>
      </c>
      <c r="F49" s="46">
        <v>198000</v>
      </c>
      <c r="G49" s="46">
        <v>198000</v>
      </c>
      <c r="H49" s="46">
        <v>198000</v>
      </c>
      <c r="I49" s="46">
        <v>211676</v>
      </c>
      <c r="J49" s="46">
        <v>207660</v>
      </c>
      <c r="K49" s="46">
        <v>207660</v>
      </c>
      <c r="L49" s="46">
        <v>0</v>
      </c>
      <c r="M49" s="129"/>
      <c r="P49" s="288" t="e">
        <f>MATCH(B49,'42-02-20 מחול'!$A$50:$A$50,0)</f>
        <v>#N/A</v>
      </c>
      <c r="Q49" s="288">
        <f>MATCH(B49,'42-02-20 מחול'!$A$21:$A$44,0)</f>
        <v>5</v>
      </c>
    </row>
    <row r="50" spans="1:91" s="62" customFormat="1" ht="50.25" customHeight="1" x14ac:dyDescent="0.2">
      <c r="A50" s="72" t="s">
        <v>1126</v>
      </c>
      <c r="B50" s="50">
        <v>580215333</v>
      </c>
      <c r="C50" s="60">
        <v>1000546261</v>
      </c>
      <c r="D50" s="48">
        <v>40000564</v>
      </c>
      <c r="E50" s="46">
        <v>0</v>
      </c>
      <c r="F50" s="101">
        <v>60000</v>
      </c>
      <c r="G50" s="150">
        <v>0</v>
      </c>
      <c r="H50" s="150">
        <v>6000</v>
      </c>
      <c r="I50" s="150">
        <v>5773</v>
      </c>
      <c r="J50" s="46">
        <v>16450</v>
      </c>
      <c r="K50" s="46">
        <v>16450</v>
      </c>
      <c r="L50" s="46">
        <v>0</v>
      </c>
      <c r="M50" s="129"/>
      <c r="P50" s="288" t="e">
        <f>MATCH(B50,'42-02-20 מחול'!$A$50:$A$50,0)</f>
        <v>#N/A</v>
      </c>
      <c r="Q50" s="288">
        <f>MATCH(B50,'42-02-20 מחול'!$A$21:$A$44,0)</f>
        <v>5</v>
      </c>
    </row>
    <row r="51" spans="1:91" s="62" customFormat="1" ht="30" customHeight="1" x14ac:dyDescent="0.2">
      <c r="A51" s="72" t="s">
        <v>1127</v>
      </c>
      <c r="B51" s="53">
        <v>580215333</v>
      </c>
      <c r="C51" s="60">
        <v>1000546065</v>
      </c>
      <c r="D51" s="48">
        <v>40000564</v>
      </c>
      <c r="E51" s="101">
        <v>139132</v>
      </c>
      <c r="F51" s="46">
        <v>137500</v>
      </c>
      <c r="G51" s="46">
        <v>125000</v>
      </c>
      <c r="H51" s="46">
        <v>110173</v>
      </c>
      <c r="I51" s="46">
        <v>106004</v>
      </c>
      <c r="J51" s="46">
        <v>103994</v>
      </c>
      <c r="K51" s="46">
        <v>103994</v>
      </c>
      <c r="L51" s="46">
        <v>0</v>
      </c>
      <c r="M51" s="127"/>
      <c r="N51" s="121"/>
      <c r="O51" s="121"/>
      <c r="P51" s="288" t="e">
        <f>MATCH(B51,'42-02-20 מחול'!$A$50:$A$50,0)</f>
        <v>#N/A</v>
      </c>
      <c r="Q51" s="288">
        <f>MATCH(B51,'42-02-20 מחול'!$A$21:$A$44,0)</f>
        <v>5</v>
      </c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</row>
    <row r="52" spans="1:91" s="62" customFormat="1" ht="39.950000000000003" customHeight="1" x14ac:dyDescent="0.2">
      <c r="A52" s="72" t="s">
        <v>1128</v>
      </c>
      <c r="B52" s="50">
        <v>580215333</v>
      </c>
      <c r="C52" s="60">
        <v>1000546253</v>
      </c>
      <c r="D52" s="48">
        <v>40000564</v>
      </c>
      <c r="E52" s="46">
        <v>60000</v>
      </c>
      <c r="F52" s="101">
        <v>82500</v>
      </c>
      <c r="G52" s="46">
        <v>82500</v>
      </c>
      <c r="H52" s="46">
        <v>83000</v>
      </c>
      <c r="I52" s="46">
        <v>97606</v>
      </c>
      <c r="J52" s="46">
        <v>95755</v>
      </c>
      <c r="K52" s="46">
        <v>95755</v>
      </c>
      <c r="L52" s="46">
        <v>0</v>
      </c>
      <c r="M52" s="129"/>
      <c r="P52" s="288" t="e">
        <f>MATCH(B52,'42-02-20 מחול'!$A$50:$A$50,0)</f>
        <v>#N/A</v>
      </c>
      <c r="Q52" s="288">
        <f>MATCH(B52,'42-02-20 מחול'!$A$21:$A$44,0)</f>
        <v>5</v>
      </c>
    </row>
    <row r="53" spans="1:91" s="62" customFormat="1" ht="50.25" customHeight="1" x14ac:dyDescent="0.2">
      <c r="A53" s="72" t="s">
        <v>1129</v>
      </c>
      <c r="B53" s="50">
        <v>580215333</v>
      </c>
      <c r="C53" s="49">
        <v>1000546229</v>
      </c>
      <c r="D53" s="48">
        <v>40000564</v>
      </c>
      <c r="E53" s="46">
        <v>18000</v>
      </c>
      <c r="F53" s="101">
        <v>20000</v>
      </c>
      <c r="G53" s="150">
        <v>20000</v>
      </c>
      <c r="H53" s="150">
        <v>20000</v>
      </c>
      <c r="I53" s="150">
        <v>21381</v>
      </c>
      <c r="J53" s="46">
        <v>20976</v>
      </c>
      <c r="K53" s="46">
        <v>20976</v>
      </c>
      <c r="L53" s="46">
        <v>0</v>
      </c>
      <c r="M53" s="129"/>
      <c r="P53" s="288" t="e">
        <f>MATCH(B53,'42-02-20 מחול'!$A$50:$A$50,0)</f>
        <v>#N/A</v>
      </c>
      <c r="Q53" s="288">
        <f>MATCH(B53,'42-02-20 מחול'!$A$21:$A$44,0)</f>
        <v>5</v>
      </c>
    </row>
    <row r="54" spans="1:91" s="62" customFormat="1" ht="34.5" customHeight="1" x14ac:dyDescent="0.2">
      <c r="A54" s="72" t="s">
        <v>1130</v>
      </c>
      <c r="B54" s="50">
        <v>580215333</v>
      </c>
      <c r="C54" s="49">
        <v>1000546902</v>
      </c>
      <c r="D54" s="48">
        <v>40000564</v>
      </c>
      <c r="E54" s="46">
        <v>30000</v>
      </c>
      <c r="F54" s="101">
        <v>50000</v>
      </c>
      <c r="G54" s="150">
        <v>50000</v>
      </c>
      <c r="H54" s="150">
        <v>50000</v>
      </c>
      <c r="I54" s="150">
        <v>53454</v>
      </c>
      <c r="J54" s="46">
        <v>52440</v>
      </c>
      <c r="K54" s="46">
        <v>52440</v>
      </c>
      <c r="L54" s="46">
        <v>0</v>
      </c>
      <c r="M54" s="129"/>
      <c r="P54" s="288" t="e">
        <f>MATCH(B54,'42-02-20 מחול'!$A$50:$A$50,0)</f>
        <v>#N/A</v>
      </c>
      <c r="Q54" s="288">
        <f>MATCH(B54,'42-02-20 מחול'!$A$21:$A$44,0)</f>
        <v>5</v>
      </c>
    </row>
    <row r="55" spans="1:91" s="62" customFormat="1" ht="37.5" customHeight="1" x14ac:dyDescent="0.2">
      <c r="A55" s="72" t="s">
        <v>1131</v>
      </c>
      <c r="B55" s="53">
        <v>580215333</v>
      </c>
      <c r="C55" s="49">
        <v>1000545909</v>
      </c>
      <c r="D55" s="48">
        <v>40000564</v>
      </c>
      <c r="E55" s="46">
        <v>0</v>
      </c>
      <c r="F55" s="101">
        <v>60000</v>
      </c>
      <c r="G55" s="150">
        <v>60000</v>
      </c>
      <c r="H55" s="150">
        <v>60000</v>
      </c>
      <c r="I55" s="150">
        <v>76973</v>
      </c>
      <c r="J55" s="46">
        <v>75513</v>
      </c>
      <c r="K55" s="46">
        <v>75513</v>
      </c>
      <c r="L55" s="46">
        <v>0</v>
      </c>
      <c r="M55" s="129"/>
      <c r="N55" s="121"/>
      <c r="O55" s="121"/>
      <c r="P55" s="288" t="e">
        <f>MATCH(B55,'42-02-20 מחול'!$A$50:$A$50,0)</f>
        <v>#N/A</v>
      </c>
      <c r="Q55" s="288">
        <f>MATCH(B55,'42-02-20 מחול'!$A$21:$A$44,0)</f>
        <v>5</v>
      </c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</row>
    <row r="56" spans="1:91" s="62" customFormat="1" ht="34.5" customHeight="1" x14ac:dyDescent="0.2">
      <c r="A56" s="72" t="s">
        <v>1132</v>
      </c>
      <c r="B56" s="53">
        <v>580215333</v>
      </c>
      <c r="C56" s="60">
        <v>1000546708</v>
      </c>
      <c r="D56" s="48">
        <v>40000564</v>
      </c>
      <c r="E56" s="46">
        <v>0</v>
      </c>
      <c r="F56" s="101">
        <v>0</v>
      </c>
      <c r="G56" s="150">
        <v>20000</v>
      </c>
      <c r="H56" s="150">
        <v>20000</v>
      </c>
      <c r="I56" s="150">
        <v>21381</v>
      </c>
      <c r="J56" s="46">
        <v>19749</v>
      </c>
      <c r="K56" s="46">
        <v>19749</v>
      </c>
      <c r="L56" s="46">
        <v>0</v>
      </c>
      <c r="M56" s="129"/>
      <c r="P56" s="288" t="e">
        <f>MATCH(B56,'42-02-20 מחול'!$A$50:$A$50,0)</f>
        <v>#N/A</v>
      </c>
      <c r="Q56" s="288">
        <f>MATCH(B56,'42-02-20 מחול'!$A$21:$A$44,0)</f>
        <v>5</v>
      </c>
    </row>
    <row r="57" spans="1:91" s="62" customFormat="1" ht="32.25" customHeight="1" x14ac:dyDescent="0.2">
      <c r="A57" s="72" t="s">
        <v>1133</v>
      </c>
      <c r="B57" s="50">
        <v>580215333</v>
      </c>
      <c r="C57" s="49">
        <v>1000546858</v>
      </c>
      <c r="D57" s="48">
        <v>40000564</v>
      </c>
      <c r="E57" s="46">
        <v>0</v>
      </c>
      <c r="F57" s="101">
        <v>0</v>
      </c>
      <c r="G57" s="150">
        <v>24000</v>
      </c>
      <c r="H57" s="150">
        <v>50000</v>
      </c>
      <c r="I57" s="150">
        <v>80180</v>
      </c>
      <c r="J57" s="150">
        <v>96216</v>
      </c>
      <c r="K57" s="150">
        <v>96216</v>
      </c>
      <c r="L57" s="46">
        <v>0</v>
      </c>
      <c r="M57" s="129"/>
      <c r="P57" s="288" t="e">
        <f>MATCH(B57,'42-02-20 מחול'!$A$50:$A$50,0)</f>
        <v>#N/A</v>
      </c>
      <c r="Q57" s="288">
        <f>MATCH(B57,'42-02-20 מחול'!$A$21:$A$44,0)</f>
        <v>5</v>
      </c>
    </row>
    <row r="58" spans="1:91" s="62" customFormat="1" ht="36" customHeight="1" x14ac:dyDescent="0.2">
      <c r="A58" s="72" t="s">
        <v>1134</v>
      </c>
      <c r="B58" s="50">
        <v>580215333</v>
      </c>
      <c r="C58" s="60">
        <v>1000547408</v>
      </c>
      <c r="D58" s="48">
        <v>40000565</v>
      </c>
      <c r="E58" s="46"/>
      <c r="F58" s="46"/>
      <c r="G58" s="46"/>
      <c r="H58" s="46"/>
      <c r="I58" s="46">
        <v>0</v>
      </c>
      <c r="J58" s="46">
        <v>24988</v>
      </c>
      <c r="K58" s="46">
        <v>24988</v>
      </c>
      <c r="L58" s="46">
        <v>0</v>
      </c>
      <c r="M58" s="129"/>
      <c r="P58" s="288" t="e">
        <f>MATCH(B58,'42-02-20 מחול'!$A$50:$A$50,0)</f>
        <v>#N/A</v>
      </c>
      <c r="Q58" s="288">
        <f>MATCH(B58,'42-02-20 מחול'!$A$21:$A$44,0)</f>
        <v>5</v>
      </c>
    </row>
    <row r="59" spans="1:91" s="44" customFormat="1" ht="39.75" customHeight="1" x14ac:dyDescent="0.2">
      <c r="A59" s="55" t="s">
        <v>1135</v>
      </c>
      <c r="B59" s="50">
        <v>580215333</v>
      </c>
      <c r="C59" s="60">
        <v>1000546564</v>
      </c>
      <c r="D59" s="48">
        <v>40000564</v>
      </c>
      <c r="E59" s="101">
        <v>139132</v>
      </c>
      <c r="F59" s="119">
        <v>198000</v>
      </c>
      <c r="G59" s="46">
        <v>207000</v>
      </c>
      <c r="H59" s="46">
        <v>205514</v>
      </c>
      <c r="I59" s="46">
        <v>219708</v>
      </c>
      <c r="J59" s="46">
        <v>215541</v>
      </c>
      <c r="K59" s="46">
        <v>215541</v>
      </c>
      <c r="L59" s="46">
        <v>0</v>
      </c>
      <c r="M59" s="129"/>
      <c r="P59" s="288" t="e">
        <f>MATCH(B59,'42-02-20 מחול'!$A$50:$A$50,0)</f>
        <v>#N/A</v>
      </c>
      <c r="Q59" s="288">
        <f>MATCH(B59,'42-02-20 מחול'!$A$21:$A$44,0)</f>
        <v>5</v>
      </c>
    </row>
    <row r="60" spans="1:91" s="62" customFormat="1" ht="49.5" customHeight="1" x14ac:dyDescent="0.2">
      <c r="A60" s="72" t="s">
        <v>1136</v>
      </c>
      <c r="B60" s="50">
        <v>580215333</v>
      </c>
      <c r="C60" s="60">
        <v>1000546196</v>
      </c>
      <c r="D60" s="48">
        <v>40000564</v>
      </c>
      <c r="E60" s="46">
        <v>139132</v>
      </c>
      <c r="F60" s="46">
        <v>165000</v>
      </c>
      <c r="G60" s="46">
        <v>150000</v>
      </c>
      <c r="H60" s="46">
        <v>135000</v>
      </c>
      <c r="I60" s="46">
        <v>129892</v>
      </c>
      <c r="J60" s="46">
        <v>116903</v>
      </c>
      <c r="K60" s="46">
        <v>116903</v>
      </c>
      <c r="L60" s="46">
        <v>0</v>
      </c>
      <c r="M60" s="129"/>
      <c r="P60" s="288" t="e">
        <f>MATCH(B60,'42-02-20 מחול'!$A$50:$A$50,0)</f>
        <v>#N/A</v>
      </c>
      <c r="Q60" s="288">
        <f>MATCH(B60,'42-02-20 מחול'!$A$21:$A$44,0)</f>
        <v>5</v>
      </c>
    </row>
    <row r="61" spans="1:91" s="62" customFormat="1" ht="54" customHeight="1" x14ac:dyDescent="0.2">
      <c r="A61" s="72" t="s">
        <v>1137</v>
      </c>
      <c r="B61" s="50">
        <v>580215333</v>
      </c>
      <c r="C61" s="49">
        <v>1000545896</v>
      </c>
      <c r="D61" s="48">
        <v>40000564</v>
      </c>
      <c r="E61" s="46">
        <v>0</v>
      </c>
      <c r="F61" s="101">
        <v>0</v>
      </c>
      <c r="G61" s="150">
        <v>7000</v>
      </c>
      <c r="H61" s="150">
        <v>14000</v>
      </c>
      <c r="I61" s="150">
        <v>29934</v>
      </c>
      <c r="J61" s="46">
        <v>29366</v>
      </c>
      <c r="K61" s="46">
        <v>29366</v>
      </c>
      <c r="L61" s="46">
        <v>0</v>
      </c>
      <c r="M61" s="129"/>
      <c r="P61" s="288" t="e">
        <f>MATCH(B61,'42-02-20 מחול'!$A$50:$A$50,0)</f>
        <v>#N/A</v>
      </c>
      <c r="Q61" s="288">
        <f>MATCH(B61,'42-02-20 מחול'!$A$21:$A$44,0)</f>
        <v>5</v>
      </c>
    </row>
    <row r="62" spans="1:91" s="62" customFormat="1" ht="34.5" customHeight="1" x14ac:dyDescent="0.2">
      <c r="A62" s="72" t="s">
        <v>1138</v>
      </c>
      <c r="B62" s="50">
        <v>580215333</v>
      </c>
      <c r="C62" s="60">
        <v>1000547533</v>
      </c>
      <c r="D62" s="48">
        <v>40000563</v>
      </c>
      <c r="E62" s="101"/>
      <c r="F62" s="46"/>
      <c r="G62" s="46"/>
      <c r="H62" s="46"/>
      <c r="I62" s="46">
        <v>0</v>
      </c>
      <c r="J62" s="46">
        <v>300000</v>
      </c>
      <c r="K62" s="46">
        <v>300000</v>
      </c>
      <c r="L62" s="46">
        <v>0</v>
      </c>
      <c r="M62" s="79"/>
      <c r="P62" s="288" t="e">
        <f>MATCH(B62,'42-02-20 מחול'!$A$50:$A$50,0)</f>
        <v>#N/A</v>
      </c>
      <c r="Q62" s="288">
        <f>MATCH(B62,'42-02-20 מחול'!$A$21:$A$44,0)</f>
        <v>5</v>
      </c>
    </row>
    <row r="63" spans="1:91" s="62" customFormat="1" ht="34.5" customHeight="1" x14ac:dyDescent="0.2">
      <c r="A63" s="72" t="s">
        <v>1139</v>
      </c>
      <c r="B63" s="50">
        <v>580215333</v>
      </c>
      <c r="C63" s="49">
        <v>1000546254</v>
      </c>
      <c r="D63" s="48">
        <v>40000564</v>
      </c>
      <c r="E63" s="46"/>
      <c r="F63" s="119"/>
      <c r="G63" s="150"/>
      <c r="H63" s="150">
        <v>0</v>
      </c>
      <c r="I63" s="150">
        <v>21381</v>
      </c>
      <c r="J63" s="46">
        <v>23463</v>
      </c>
      <c r="K63" s="46">
        <v>23463</v>
      </c>
      <c r="L63" s="46">
        <v>0</v>
      </c>
      <c r="M63" s="58"/>
      <c r="P63" s="288" t="e">
        <f>MATCH(B63,'42-02-20 מחול'!$A$50:$A$50,0)</f>
        <v>#N/A</v>
      </c>
      <c r="Q63" s="288">
        <f>MATCH(B63,'42-02-20 מחול'!$A$21:$A$44,0)</f>
        <v>5</v>
      </c>
    </row>
    <row r="64" spans="1:91" s="44" customFormat="1" ht="40.5" customHeight="1" x14ac:dyDescent="0.2">
      <c r="A64" s="51" t="s">
        <v>1140</v>
      </c>
      <c r="B64" s="105">
        <v>580215333</v>
      </c>
      <c r="C64" s="60">
        <v>1000546612</v>
      </c>
      <c r="D64" s="48">
        <v>40000564</v>
      </c>
      <c r="E64" s="46">
        <v>665018</v>
      </c>
      <c r="F64" s="46">
        <v>577071</v>
      </c>
      <c r="G64" s="46">
        <v>568457</v>
      </c>
      <c r="H64" s="46">
        <v>551618</v>
      </c>
      <c r="I64" s="46">
        <v>530172</v>
      </c>
      <c r="J64" s="46">
        <v>462346</v>
      </c>
      <c r="K64" s="46">
        <v>462346</v>
      </c>
      <c r="L64" s="46">
        <v>0</v>
      </c>
      <c r="M64" s="129"/>
      <c r="P64" s="288" t="e">
        <f>MATCH(B64,'42-02-20 מחול'!$A$50:$A$50,0)</f>
        <v>#N/A</v>
      </c>
      <c r="Q64" s="288">
        <f>MATCH(B64,'42-02-20 מחול'!$A$21:$A$44,0)</f>
        <v>5</v>
      </c>
    </row>
    <row r="65" spans="1:95" s="62" customFormat="1" ht="53.25" customHeight="1" x14ac:dyDescent="0.2">
      <c r="A65" s="72" t="s">
        <v>1141</v>
      </c>
      <c r="B65" s="50">
        <v>580215333</v>
      </c>
      <c r="C65" s="49">
        <v>1000546186</v>
      </c>
      <c r="D65" s="48">
        <v>40000564</v>
      </c>
      <c r="E65" s="46">
        <v>0</v>
      </c>
      <c r="F65" s="101">
        <v>60000</v>
      </c>
      <c r="G65" s="150">
        <v>60000</v>
      </c>
      <c r="H65" s="150">
        <v>60000</v>
      </c>
      <c r="I65" s="150">
        <v>70559</v>
      </c>
      <c r="J65" s="46">
        <v>69220</v>
      </c>
      <c r="K65" s="46">
        <v>69220</v>
      </c>
      <c r="L65" s="46">
        <v>0</v>
      </c>
      <c r="M65" s="129"/>
      <c r="P65" s="288" t="e">
        <f>MATCH(B65,'42-02-20 מחול'!$A$50:$A$50,0)</f>
        <v>#N/A</v>
      </c>
      <c r="Q65" s="288">
        <f>MATCH(B65,'42-02-20 מחול'!$A$21:$A$44,0)</f>
        <v>5</v>
      </c>
    </row>
    <row r="66" spans="1:95" s="62" customFormat="1" ht="36" customHeight="1" x14ac:dyDescent="0.2">
      <c r="A66" s="72" t="s">
        <v>1142</v>
      </c>
      <c r="B66" s="50">
        <v>580215333</v>
      </c>
      <c r="C66" s="49">
        <v>1000545810</v>
      </c>
      <c r="D66" s="48">
        <v>40000564</v>
      </c>
      <c r="E66" s="46"/>
      <c r="F66" s="46"/>
      <c r="G66" s="150"/>
      <c r="H66" s="150">
        <v>0</v>
      </c>
      <c r="I66" s="150">
        <v>21381</v>
      </c>
      <c r="J66" s="46">
        <v>25864</v>
      </c>
      <c r="K66" s="46">
        <v>25864</v>
      </c>
      <c r="L66" s="46">
        <v>0</v>
      </c>
      <c r="M66" s="58"/>
      <c r="P66" s="288" t="e">
        <f>MATCH(B66,'42-02-20 מחול'!$A$50:$A$50,0)</f>
        <v>#N/A</v>
      </c>
      <c r="Q66" s="288">
        <f>MATCH(B66,'42-02-20 מחול'!$A$21:$A$44,0)</f>
        <v>5</v>
      </c>
    </row>
    <row r="67" spans="1:95" s="44" customFormat="1" ht="40.5" customHeight="1" x14ac:dyDescent="0.2">
      <c r="A67" s="72" t="s">
        <v>1143</v>
      </c>
      <c r="B67" s="53">
        <v>580215333</v>
      </c>
      <c r="C67" s="60">
        <v>1000546573</v>
      </c>
      <c r="D67" s="48">
        <v>40000564</v>
      </c>
      <c r="E67" s="101">
        <v>339607</v>
      </c>
      <c r="F67" s="46">
        <v>420677</v>
      </c>
      <c r="G67" s="46">
        <v>451914</v>
      </c>
      <c r="H67" s="46">
        <v>492387</v>
      </c>
      <c r="I67" s="46">
        <v>663042</v>
      </c>
      <c r="J67" s="46">
        <v>863705</v>
      </c>
      <c r="K67" s="46">
        <v>863705</v>
      </c>
      <c r="L67" s="46">
        <v>0</v>
      </c>
      <c r="M67" s="129"/>
      <c r="P67" s="288" t="e">
        <f>MATCH(B67,'42-02-20 מחול'!$A$50:$A$50,0)</f>
        <v>#N/A</v>
      </c>
      <c r="Q67" s="288">
        <f>MATCH(B67,'42-02-20 מחול'!$A$21:$A$44,0)</f>
        <v>5</v>
      </c>
    </row>
    <row r="68" spans="1:95" s="62" customFormat="1" ht="42.75" customHeight="1" x14ac:dyDescent="0.2">
      <c r="A68" s="72" t="s">
        <v>1144</v>
      </c>
      <c r="B68" s="50">
        <v>580215333</v>
      </c>
      <c r="C68" s="49">
        <v>1000546893</v>
      </c>
      <c r="D68" s="48">
        <v>40000564</v>
      </c>
      <c r="E68" s="46">
        <v>0</v>
      </c>
      <c r="F68" s="46">
        <v>8763</v>
      </c>
      <c r="G68" s="150">
        <v>20000</v>
      </c>
      <c r="H68" s="150">
        <v>20000</v>
      </c>
      <c r="I68" s="150">
        <v>21381</v>
      </c>
      <c r="J68" s="46">
        <v>22220</v>
      </c>
      <c r="K68" s="46">
        <v>22220</v>
      </c>
      <c r="L68" s="46">
        <v>0</v>
      </c>
      <c r="M68" s="129"/>
      <c r="P68" s="288" t="e">
        <f>MATCH(B68,'42-02-20 מחול'!$A$50:$A$50,0)</f>
        <v>#N/A</v>
      </c>
      <c r="Q68" s="288">
        <f>MATCH(B68,'42-02-20 מחול'!$A$21:$A$44,0)</f>
        <v>5</v>
      </c>
    </row>
    <row r="69" spans="1:95" s="44" customFormat="1" ht="33" customHeight="1" x14ac:dyDescent="0.2">
      <c r="A69" s="72" t="s">
        <v>1145</v>
      </c>
      <c r="B69" s="50">
        <v>580215333</v>
      </c>
      <c r="C69" s="49">
        <v>1000546251</v>
      </c>
      <c r="D69" s="48">
        <v>40000564</v>
      </c>
      <c r="E69" s="46"/>
      <c r="F69" s="46"/>
      <c r="G69" s="150"/>
      <c r="H69" s="150">
        <v>0</v>
      </c>
      <c r="I69" s="150">
        <v>32072</v>
      </c>
      <c r="J69" s="46">
        <v>36188</v>
      </c>
      <c r="K69" s="46">
        <v>36188</v>
      </c>
      <c r="L69" s="46">
        <v>0</v>
      </c>
      <c r="M69" s="58"/>
      <c r="P69" s="288" t="e">
        <f>MATCH(B69,'42-02-20 מחול'!$A$50:$A$50,0)</f>
        <v>#N/A</v>
      </c>
      <c r="Q69" s="288">
        <f>MATCH(B69,'42-02-20 מחול'!$A$21:$A$44,0)</f>
        <v>5</v>
      </c>
    </row>
    <row r="70" spans="1:95" s="44" customFormat="1" ht="40.5" customHeight="1" x14ac:dyDescent="0.2">
      <c r="A70" s="72" t="s">
        <v>1146</v>
      </c>
      <c r="B70" s="50">
        <v>580215333</v>
      </c>
      <c r="C70" s="60">
        <v>1000546443</v>
      </c>
      <c r="D70" s="48">
        <v>40000564</v>
      </c>
      <c r="E70" s="46"/>
      <c r="F70" s="46"/>
      <c r="G70" s="46"/>
      <c r="H70" s="46">
        <v>0</v>
      </c>
      <c r="I70" s="46">
        <v>106907</v>
      </c>
      <c r="J70" s="46">
        <v>104879</v>
      </c>
      <c r="K70" s="46">
        <v>104879</v>
      </c>
      <c r="L70" s="46">
        <v>0</v>
      </c>
      <c r="M70" s="412"/>
      <c r="P70" s="288" t="e">
        <f>MATCH(B70,'42-02-20 מחול'!$A$50:$A$50,0)</f>
        <v>#N/A</v>
      </c>
      <c r="Q70" s="288">
        <f>MATCH(B70,'42-02-20 מחול'!$A$21:$A$44,0)</f>
        <v>5</v>
      </c>
    </row>
    <row r="71" spans="1:95" s="62" customFormat="1" ht="33" customHeight="1" x14ac:dyDescent="0.2">
      <c r="A71" s="72" t="s">
        <v>1147</v>
      </c>
      <c r="B71" s="53">
        <v>580215333</v>
      </c>
      <c r="C71" s="60">
        <v>1000546234</v>
      </c>
      <c r="D71" s="48">
        <v>40000564</v>
      </c>
      <c r="E71" s="101">
        <v>92755</v>
      </c>
      <c r="F71" s="46">
        <v>110000</v>
      </c>
      <c r="G71" s="46">
        <v>110000</v>
      </c>
      <c r="H71" s="46">
        <v>110000</v>
      </c>
      <c r="I71" s="46">
        <v>117598</v>
      </c>
      <c r="J71" s="46">
        <v>115367</v>
      </c>
      <c r="K71" s="46">
        <v>115367</v>
      </c>
      <c r="L71" s="46">
        <v>0</v>
      </c>
      <c r="M71" s="440"/>
      <c r="N71" s="121"/>
      <c r="O71" s="121"/>
      <c r="P71" s="288" t="e">
        <f>MATCH(B71,'42-02-20 מחול'!$A$50:$A$50,0)</f>
        <v>#N/A</v>
      </c>
      <c r="Q71" s="288">
        <f>MATCH(B71,'42-02-20 מחול'!$A$21:$A$44,0)</f>
        <v>5</v>
      </c>
      <c r="R71" s="121"/>
      <c r="S71" s="121"/>
      <c r="T71" s="121"/>
      <c r="U71" s="121"/>
      <c r="V71" s="121"/>
      <c r="W71" s="121"/>
      <c r="X71" s="121"/>
      <c r="Y71" s="121"/>
      <c r="Z71" s="121"/>
      <c r="AA71" s="121"/>
      <c r="AB71" s="121"/>
      <c r="AC71" s="121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O71" s="121"/>
      <c r="CP71" s="121"/>
      <c r="CQ71" s="121"/>
    </row>
    <row r="72" spans="1:95" s="44" customFormat="1" ht="33" customHeight="1" x14ac:dyDescent="0.2">
      <c r="A72" s="72" t="s">
        <v>1149</v>
      </c>
      <c r="B72" s="50">
        <v>580215333</v>
      </c>
      <c r="C72" s="60">
        <v>1000546101</v>
      </c>
      <c r="D72" s="48">
        <v>40000564</v>
      </c>
      <c r="E72" s="46">
        <v>100000</v>
      </c>
      <c r="F72" s="46">
        <v>100000</v>
      </c>
      <c r="G72" s="46">
        <v>100000</v>
      </c>
      <c r="H72" s="46">
        <v>90000</v>
      </c>
      <c r="I72" s="46">
        <v>96216</v>
      </c>
      <c r="J72" s="46">
        <v>94391</v>
      </c>
      <c r="K72" s="46">
        <v>94391</v>
      </c>
      <c r="L72" s="46">
        <v>0</v>
      </c>
      <c r="M72" s="129"/>
      <c r="P72" s="288" t="e">
        <f>MATCH(B72,'42-02-20 מחול'!$A$50:$A$50,0)</f>
        <v>#N/A</v>
      </c>
      <c r="Q72" s="288">
        <f>MATCH(B72,'42-02-20 מחול'!$A$21:$A$44,0)</f>
        <v>5</v>
      </c>
    </row>
    <row r="73" spans="1:95" s="62" customFormat="1" ht="50.25" customHeight="1" x14ac:dyDescent="0.2">
      <c r="A73" s="72" t="s">
        <v>1150</v>
      </c>
      <c r="B73" s="53">
        <v>580215333</v>
      </c>
      <c r="C73" s="60">
        <v>1000547468</v>
      </c>
      <c r="D73" s="48">
        <v>40000564</v>
      </c>
      <c r="E73" s="101">
        <v>0</v>
      </c>
      <c r="F73" s="119">
        <v>0</v>
      </c>
      <c r="G73" s="46">
        <v>0</v>
      </c>
      <c r="H73" s="46">
        <v>0</v>
      </c>
      <c r="I73" s="46">
        <v>891672</v>
      </c>
      <c r="J73" s="46">
        <v>1275893</v>
      </c>
      <c r="K73" s="46">
        <v>1275893</v>
      </c>
      <c r="L73" s="46">
        <v>0</v>
      </c>
      <c r="M73" s="79"/>
      <c r="N73" s="438"/>
      <c r="P73" s="288" t="e">
        <f>MATCH(B73,'42-02-20 מחול'!$A$50:$A$50,0)</f>
        <v>#N/A</v>
      </c>
      <c r="Q73" s="288">
        <f>MATCH(B73,'42-02-20 מחול'!$A$21:$A$44,0)</f>
        <v>5</v>
      </c>
    </row>
    <row r="74" spans="1:95" s="62" customFormat="1" ht="36" customHeight="1" x14ac:dyDescent="0.2">
      <c r="A74" s="72" t="s">
        <v>1153</v>
      </c>
      <c r="B74" s="50">
        <v>580215333</v>
      </c>
      <c r="C74" s="60">
        <v>1000628734</v>
      </c>
      <c r="D74" s="48">
        <v>40000564</v>
      </c>
      <c r="E74" s="46">
        <v>115943</v>
      </c>
      <c r="F74" s="46">
        <v>163000</v>
      </c>
      <c r="G74" s="46">
        <v>143000</v>
      </c>
      <c r="H74" s="46">
        <v>143000</v>
      </c>
      <c r="I74" s="46">
        <v>152877</v>
      </c>
      <c r="J74" s="46">
        <v>83291</v>
      </c>
      <c r="K74" s="46">
        <v>83291</v>
      </c>
      <c r="L74" s="46">
        <v>0</v>
      </c>
      <c r="M74" s="129"/>
      <c r="P74" s="288" t="e">
        <f>MATCH(B74,'42-02-20 מחול'!$A$50:$A$50,0)</f>
        <v>#N/A</v>
      </c>
      <c r="Q74" s="288">
        <f>MATCH(B74,'42-02-20 מחול'!$A$21:$A$44,0)</f>
        <v>5</v>
      </c>
    </row>
    <row r="75" spans="1:95" s="62" customFormat="1" ht="48.75" customHeight="1" x14ac:dyDescent="0.2">
      <c r="A75" s="72" t="s">
        <v>1158</v>
      </c>
      <c r="B75" s="50">
        <v>580215333</v>
      </c>
      <c r="C75" s="49">
        <v>1000546883</v>
      </c>
      <c r="D75" s="48">
        <v>40000564</v>
      </c>
      <c r="E75" s="46"/>
      <c r="F75" s="46"/>
      <c r="G75" s="150"/>
      <c r="H75" s="150"/>
      <c r="I75" s="150">
        <v>0</v>
      </c>
      <c r="J75" s="150">
        <v>10000</v>
      </c>
      <c r="K75" s="150">
        <v>10000</v>
      </c>
      <c r="L75" s="46">
        <v>0</v>
      </c>
      <c r="M75" s="129"/>
      <c r="P75" s="288" t="e">
        <f>MATCH(B75,'42-02-20 מחול'!$A$50:$A$50,0)</f>
        <v>#N/A</v>
      </c>
      <c r="Q75" s="288">
        <f>MATCH(B75,'42-02-20 מחול'!$A$21:$A$44,0)</f>
        <v>5</v>
      </c>
    </row>
    <row r="76" spans="1:95" s="62" customFormat="1" ht="36.75" customHeight="1" x14ac:dyDescent="0.2">
      <c r="A76" s="72" t="s">
        <v>1159</v>
      </c>
      <c r="B76" s="53">
        <v>580215333</v>
      </c>
      <c r="C76" s="49">
        <v>1000546016</v>
      </c>
      <c r="D76" s="48">
        <v>40000564</v>
      </c>
      <c r="E76" s="46">
        <v>60000</v>
      </c>
      <c r="F76" s="382">
        <v>60000</v>
      </c>
      <c r="G76" s="150">
        <v>60000</v>
      </c>
      <c r="H76" s="150">
        <v>60000</v>
      </c>
      <c r="I76" s="150">
        <v>54523</v>
      </c>
      <c r="J76" s="46">
        <v>54523</v>
      </c>
      <c r="K76" s="46">
        <v>54523</v>
      </c>
      <c r="L76" s="46">
        <v>0</v>
      </c>
      <c r="M76" s="129"/>
      <c r="P76" s="288" t="e">
        <f>MATCH(B76,'42-02-20 מחול'!$A$50:$A$50,0)</f>
        <v>#N/A</v>
      </c>
      <c r="Q76" s="288">
        <f>MATCH(B76,'42-02-20 מחול'!$A$21:$A$44,0)</f>
        <v>5</v>
      </c>
    </row>
    <row r="77" spans="1:95" s="62" customFormat="1" ht="33" customHeight="1" x14ac:dyDescent="0.2">
      <c r="A77" s="72" t="s">
        <v>1160</v>
      </c>
      <c r="B77" s="50">
        <v>580215333</v>
      </c>
      <c r="C77" s="49">
        <v>1000546454</v>
      </c>
      <c r="D77" s="48">
        <v>40000564</v>
      </c>
      <c r="E77" s="46">
        <v>40000</v>
      </c>
      <c r="F77" s="119">
        <v>60000</v>
      </c>
      <c r="G77" s="150">
        <v>60000</v>
      </c>
      <c r="H77" s="150">
        <v>60000</v>
      </c>
      <c r="I77" s="150">
        <v>64144</v>
      </c>
      <c r="J77" s="150">
        <v>64144</v>
      </c>
      <c r="K77" s="150">
        <v>64144</v>
      </c>
      <c r="L77" s="46">
        <v>0</v>
      </c>
      <c r="M77" s="129"/>
      <c r="P77" s="288" t="e">
        <f>MATCH(B77,'42-02-20 מחול'!$A$50:$A$50,0)</f>
        <v>#N/A</v>
      </c>
      <c r="Q77" s="288">
        <f>MATCH(B77,'42-02-20 מחול'!$A$21:$A$44,0)</f>
        <v>5</v>
      </c>
    </row>
    <row r="78" spans="1:95" s="62" customFormat="1" ht="33" customHeight="1" x14ac:dyDescent="0.2">
      <c r="A78" s="72" t="s">
        <v>1155</v>
      </c>
      <c r="B78" s="53">
        <v>580262855</v>
      </c>
      <c r="C78" s="49">
        <v>1000544860</v>
      </c>
      <c r="D78" s="48">
        <v>40000631</v>
      </c>
      <c r="E78" s="46">
        <v>40000</v>
      </c>
      <c r="F78" s="382">
        <v>40000</v>
      </c>
      <c r="G78" s="150">
        <v>40000</v>
      </c>
      <c r="H78" s="150">
        <v>31105</v>
      </c>
      <c r="I78" s="150">
        <v>42763</v>
      </c>
      <c r="J78" s="46">
        <v>40000</v>
      </c>
      <c r="K78" s="46">
        <v>40000</v>
      </c>
      <c r="L78" s="46">
        <v>0</v>
      </c>
      <c r="M78" s="79"/>
      <c r="P78" s="288" t="e">
        <f>MATCH(B78,'42-02-20 מחול'!$A$50:$A$50,0)</f>
        <v>#N/A</v>
      </c>
      <c r="Q78" s="288">
        <f>MATCH(B78,'42-02-20 מחול'!$A$21:$A$44,0)</f>
        <v>7</v>
      </c>
    </row>
    <row r="79" spans="1:95" s="62" customFormat="1" ht="39" customHeight="1" x14ac:dyDescent="0.2">
      <c r="A79" s="51" t="s">
        <v>1081</v>
      </c>
      <c r="B79" s="105">
        <v>580321016</v>
      </c>
      <c r="C79" s="60">
        <v>1000541840</v>
      </c>
      <c r="D79" s="48">
        <v>40000234</v>
      </c>
      <c r="E79" s="46">
        <v>1860386</v>
      </c>
      <c r="F79" s="46">
        <v>1878329</v>
      </c>
      <c r="G79" s="46">
        <v>1923669</v>
      </c>
      <c r="H79" s="46">
        <v>1916858</v>
      </c>
      <c r="I79" s="46">
        <v>2042620</v>
      </c>
      <c r="J79" s="46">
        <v>2322539</v>
      </c>
      <c r="K79" s="46">
        <v>2322539</v>
      </c>
      <c r="L79" s="46">
        <v>0</v>
      </c>
      <c r="M79" s="88"/>
      <c r="P79" s="288" t="e">
        <f>MATCH(B79,'42-02-20 מחול'!$A$50:$A$50,0)</f>
        <v>#N/A</v>
      </c>
      <c r="Q79" s="288">
        <f>MATCH(B79,'42-02-20 מחול'!$A$21:$A$44,0)</f>
        <v>17</v>
      </c>
    </row>
    <row r="80" spans="1:95" s="62" customFormat="1" ht="54" customHeight="1" x14ac:dyDescent="0.2">
      <c r="A80" s="72" t="s">
        <v>1089</v>
      </c>
      <c r="B80" s="53">
        <v>580321016</v>
      </c>
      <c r="C80" s="60">
        <v>1000542524</v>
      </c>
      <c r="D80" s="48">
        <v>40000234</v>
      </c>
      <c r="E80" s="101">
        <v>280000</v>
      </c>
      <c r="F80" s="46">
        <v>310000</v>
      </c>
      <c r="G80" s="46">
        <v>280000</v>
      </c>
      <c r="H80" s="46">
        <v>280000</v>
      </c>
      <c r="I80" s="46">
        <v>299340</v>
      </c>
      <c r="J80" s="46">
        <v>359208</v>
      </c>
      <c r="K80" s="46">
        <v>359208</v>
      </c>
      <c r="L80" s="46">
        <v>0</v>
      </c>
      <c r="M80" s="264"/>
      <c r="P80" s="288" t="e">
        <f>MATCH(B80,'42-02-20 מחול'!$A$50:$A$50,0)</f>
        <v>#N/A</v>
      </c>
      <c r="Q80" s="288">
        <f>MATCH(B80,'42-02-20 מחול'!$A$21:$A$44,0)</f>
        <v>17</v>
      </c>
    </row>
    <row r="81" spans="1:89" s="62" customFormat="1" ht="34.5" customHeight="1" x14ac:dyDescent="0.2">
      <c r="A81" s="51" t="s">
        <v>1151</v>
      </c>
      <c r="B81" s="50">
        <v>580352490</v>
      </c>
      <c r="C81" s="60">
        <v>1000553064</v>
      </c>
      <c r="D81" s="48">
        <v>40000242</v>
      </c>
      <c r="E81" s="101">
        <v>250000</v>
      </c>
      <c r="F81" s="46">
        <v>200000</v>
      </c>
      <c r="G81" s="46">
        <v>200000</v>
      </c>
      <c r="H81" s="46">
        <v>180000</v>
      </c>
      <c r="I81" s="46">
        <v>192433</v>
      </c>
      <c r="J81" s="46">
        <v>214883</v>
      </c>
      <c r="K81" s="46">
        <v>214883</v>
      </c>
      <c r="L81" s="46">
        <v>0</v>
      </c>
      <c r="M81" s="88"/>
      <c r="P81" s="288" t="e">
        <f>MATCH(B81,'42-02-20 מחול'!$A$50:$A$50,0)</f>
        <v>#N/A</v>
      </c>
      <c r="Q81" s="288">
        <f>MATCH(B81,'42-02-20 מחול'!$A$21:$A$44,0)</f>
        <v>8</v>
      </c>
    </row>
    <row r="82" spans="1:89" s="62" customFormat="1" ht="48.75" customHeight="1" x14ac:dyDescent="0.2">
      <c r="A82" s="55" t="s">
        <v>1161</v>
      </c>
      <c r="B82" s="50">
        <v>580371045</v>
      </c>
      <c r="C82" s="49">
        <v>1000546207</v>
      </c>
      <c r="D82" s="48">
        <v>40216083</v>
      </c>
      <c r="E82" s="46">
        <v>0</v>
      </c>
      <c r="F82" s="46">
        <v>0</v>
      </c>
      <c r="G82" s="46">
        <v>0</v>
      </c>
      <c r="H82" s="46">
        <v>10000</v>
      </c>
      <c r="I82" s="46">
        <v>0</v>
      </c>
      <c r="J82" s="46">
        <v>49000</v>
      </c>
      <c r="K82" s="46">
        <v>49000</v>
      </c>
      <c r="L82" s="46">
        <v>0</v>
      </c>
      <c r="M82" s="92"/>
      <c r="P82" s="288" t="e">
        <f>MATCH(B82,'42-02-20 מחול'!$A$50:$A$50,0)</f>
        <v>#N/A</v>
      </c>
      <c r="Q82" s="288">
        <f>MATCH(B82,'42-02-20 מחול'!$A$21:$A$44,0)</f>
        <v>24</v>
      </c>
    </row>
    <row r="83" spans="1:89" s="62" customFormat="1" ht="39" customHeight="1" x14ac:dyDescent="0.2">
      <c r="A83" s="72" t="s">
        <v>1080</v>
      </c>
      <c r="B83" s="50">
        <v>580401404</v>
      </c>
      <c r="C83" s="60">
        <v>1000540571</v>
      </c>
      <c r="D83" s="48">
        <v>40216106</v>
      </c>
      <c r="E83" s="101">
        <v>115943</v>
      </c>
      <c r="F83" s="46">
        <v>160000</v>
      </c>
      <c r="G83" s="46">
        <v>165000</v>
      </c>
      <c r="H83" s="46">
        <v>238551</v>
      </c>
      <c r="I83" s="46">
        <v>287592</v>
      </c>
      <c r="J83" s="46">
        <v>388689</v>
      </c>
      <c r="K83" s="46">
        <v>388689</v>
      </c>
      <c r="L83" s="46">
        <v>0</v>
      </c>
      <c r="M83" s="412"/>
      <c r="N83" s="121"/>
      <c r="O83" s="121"/>
      <c r="P83" s="288" t="e">
        <f>MATCH(B83,'42-02-20 מחול'!$A$50:$A$50,0)</f>
        <v>#N/A</v>
      </c>
      <c r="Q83" s="288" t="e">
        <f>MATCH(B83,'42-02-20 מחול'!$A$21:$A$44,0)</f>
        <v>#N/A</v>
      </c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</row>
    <row r="84" spans="1:89" s="62" customFormat="1" ht="36.75" customHeight="1" x14ac:dyDescent="0.2">
      <c r="A84" s="55" t="s">
        <v>1152</v>
      </c>
      <c r="B84" s="50">
        <v>580420263</v>
      </c>
      <c r="C84" s="60">
        <v>1000554230</v>
      </c>
      <c r="D84" s="48">
        <v>40221577</v>
      </c>
      <c r="E84" s="46">
        <v>100000</v>
      </c>
      <c r="F84" s="46">
        <v>100000</v>
      </c>
      <c r="G84" s="46">
        <v>100000</v>
      </c>
      <c r="H84" s="46">
        <v>150000</v>
      </c>
      <c r="I84" s="46">
        <v>160361</v>
      </c>
      <c r="J84" s="46">
        <v>144325</v>
      </c>
      <c r="K84" s="46">
        <v>144325</v>
      </c>
      <c r="L84" s="46">
        <v>0</v>
      </c>
      <c r="M84" s="127"/>
      <c r="P84" s="288" t="e">
        <f>MATCH(B84,'42-02-20 מחול'!$A$50:$A$50,0)</f>
        <v>#N/A</v>
      </c>
      <c r="Q84" s="288">
        <f>MATCH(B84,'42-02-20 מחול'!$A$21:$A$44,0)</f>
        <v>12</v>
      </c>
    </row>
    <row r="85" spans="1:89" s="62" customFormat="1" ht="39" customHeight="1" x14ac:dyDescent="0.2">
      <c r="A85" s="51" t="s">
        <v>1075</v>
      </c>
      <c r="B85" s="50">
        <v>580423283</v>
      </c>
      <c r="C85" s="49">
        <v>1000536848</v>
      </c>
      <c r="D85" s="48">
        <v>40221581</v>
      </c>
      <c r="E85" s="46">
        <v>40000</v>
      </c>
      <c r="F85" s="46">
        <v>40000</v>
      </c>
      <c r="G85" s="150">
        <v>40000</v>
      </c>
      <c r="H85" s="150">
        <v>40000</v>
      </c>
      <c r="I85" s="150">
        <v>42763</v>
      </c>
      <c r="J85" s="46">
        <v>40000</v>
      </c>
      <c r="K85" s="46">
        <v>40000</v>
      </c>
      <c r="L85" s="46">
        <v>0</v>
      </c>
      <c r="M85" s="271"/>
      <c r="N85" s="121"/>
      <c r="O85" s="121"/>
      <c r="P85" s="288" t="e">
        <f>MATCH(B85,'42-02-20 מחול'!$A$50:$A$50,0)</f>
        <v>#N/A</v>
      </c>
      <c r="Q85" s="288">
        <f>MATCH(B85,'42-02-20 מחול'!$A$21:$A$44,0)</f>
        <v>11</v>
      </c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</row>
    <row r="86" spans="1:89" s="62" customFormat="1" x14ac:dyDescent="0.2">
      <c r="A86" s="51" t="s">
        <v>1091</v>
      </c>
      <c r="B86" s="105">
        <v>580503613</v>
      </c>
      <c r="C86" s="60">
        <v>1000541990</v>
      </c>
      <c r="D86" s="48">
        <v>40395783</v>
      </c>
      <c r="E86" s="46">
        <v>4586005</v>
      </c>
      <c r="F86" s="46">
        <v>4181384</v>
      </c>
      <c r="G86" s="46">
        <v>4263344</v>
      </c>
      <c r="H86" s="46">
        <v>4873023</v>
      </c>
      <c r="I86" s="46">
        <v>5107777</v>
      </c>
      <c r="J86" s="46">
        <v>5548105</v>
      </c>
      <c r="K86" s="46">
        <v>5548105</v>
      </c>
      <c r="L86" s="46">
        <v>0</v>
      </c>
      <c r="M86" s="248"/>
      <c r="N86" s="121"/>
      <c r="O86" s="121"/>
      <c r="P86" s="288" t="e">
        <f>MATCH(B86,'42-02-20 מחול'!$A$50:$A$50,0)</f>
        <v>#N/A</v>
      </c>
      <c r="Q86" s="288" t="e">
        <f>MATCH(B86,'42-02-20 מחול'!$A$21:$A$44,0)</f>
        <v>#N/A</v>
      </c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</row>
    <row r="87" spans="1:89" s="44" customFormat="1" ht="48.75" customHeight="1" x14ac:dyDescent="0.2">
      <c r="A87" s="65" t="s">
        <v>1079</v>
      </c>
      <c r="B87" s="797"/>
      <c r="C87" s="797"/>
      <c r="D87" s="797"/>
      <c r="E87" s="797"/>
      <c r="F87" s="797"/>
      <c r="G87" s="797"/>
      <c r="H87" s="797"/>
      <c r="I87" s="797"/>
      <c r="J87" s="797"/>
      <c r="K87" s="797"/>
      <c r="L87" s="797"/>
      <c r="M87" s="821"/>
      <c r="P87" s="288" t="e">
        <f>MATCH(B87,'42-02-20 מחול'!$A$50:$A$50,0)</f>
        <v>#N/A</v>
      </c>
      <c r="Q87" s="288" t="e">
        <f>MATCH(B87,'42-02-20 מחול'!$A$21:$A$44,0)</f>
        <v>#N/A</v>
      </c>
    </row>
    <row r="88" spans="1:89" x14ac:dyDescent="0.2">
      <c r="J88" s="780">
        <f>SUM(J2:J87)</f>
        <v>33455108</v>
      </c>
    </row>
  </sheetData>
  <sortState ref="A2:M88">
    <sortCondition ref="B3"/>
  </sortState>
  <conditionalFormatting sqref="P3:Q87">
    <cfRule type="containsErrors" dxfId="8" priority="1">
      <formula>ISERROR(P3)</formula>
    </cfRule>
  </conditionalFormatting>
  <pageMargins left="0.11811023622047245" right="0.15748031496062992" top="0.47244094488188981" bottom="0.47244094488188981" header="0.15748031496062992" footer="0.19685039370078741"/>
  <pageSetup paperSize="9" scale="65" fitToHeight="0" orientation="landscape" r:id="rId1"/>
  <headerFooter alignWithMargins="0">
    <oddHeader>&amp;C&amp;"Guttman Yad-Brush,רגיל"&amp;14תקנת מחול - 42-02-20</oddHeader>
    <oddFooter>&amp;L&amp;D&amp;C&amp;P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2"/>
  <dimension ref="A1:CG57"/>
  <sheetViews>
    <sheetView rightToLeft="1" zoomScale="80" zoomScaleNormal="80" zoomScaleSheetLayoutView="100" workbookViewId="0">
      <pane ySplit="1" topLeftCell="A2" activePane="bottomLeft" state="frozen"/>
      <selection pane="bottomLeft" activeCell="B3" sqref="B3"/>
    </sheetView>
  </sheetViews>
  <sheetFormatPr defaultColWidth="0.7109375" defaultRowHeight="12.75" x14ac:dyDescent="0.2"/>
  <cols>
    <col min="1" max="1" width="26.5703125" style="41" customWidth="1"/>
    <col min="2" max="2" width="10.85546875" style="41" bestFit="1" customWidth="1"/>
    <col min="3" max="3" width="13.5703125" style="62" customWidth="1"/>
    <col min="4" max="4" width="10.42578125" style="41" customWidth="1"/>
    <col min="5" max="5" width="11.85546875" style="41" hidden="1" customWidth="1"/>
    <col min="6" max="6" width="12" style="41" hidden="1" customWidth="1"/>
    <col min="7" max="9" width="13" style="117" hidden="1" customWidth="1"/>
    <col min="10" max="12" width="13" style="117" customWidth="1"/>
    <col min="13" max="13" width="30.28515625" style="115" customWidth="1"/>
    <col min="14" max="14" width="13.7109375" style="115" customWidth="1"/>
    <col min="15" max="15" width="11.42578125" style="43" customWidth="1"/>
    <col min="16" max="16" width="13" style="114" customWidth="1"/>
    <col min="17" max="25" width="5" style="42" customWidth="1"/>
    <col min="26" max="76" width="0.7109375" style="42"/>
    <col min="77" max="16384" width="0.7109375" style="41"/>
  </cols>
  <sheetData>
    <row r="1" spans="1:75" s="99" customFormat="1" ht="41.25" customHeight="1" x14ac:dyDescent="0.2">
      <c r="A1" s="103" t="s">
        <v>273</v>
      </c>
      <c r="B1" s="103" t="s">
        <v>272</v>
      </c>
      <c r="C1" s="142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</row>
    <row r="2" spans="1:75" s="94" customFormat="1" ht="30" customHeight="1" x14ac:dyDescent="0.2">
      <c r="A2" s="145" t="s">
        <v>1212</v>
      </c>
      <c r="B2" s="144"/>
      <c r="C2" s="144"/>
      <c r="D2" s="144"/>
      <c r="E2" s="144"/>
      <c r="F2" s="243"/>
      <c r="G2" s="153"/>
      <c r="H2" s="243"/>
      <c r="I2" s="243"/>
      <c r="J2" s="243"/>
      <c r="K2" s="243"/>
      <c r="L2" s="243"/>
      <c r="M2" s="470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</row>
    <row r="3" spans="1:75" s="62" customFormat="1" ht="48" customHeight="1" x14ac:dyDescent="0.2">
      <c r="A3" s="55" t="s">
        <v>1213</v>
      </c>
      <c r="B3" s="50">
        <v>580433258</v>
      </c>
      <c r="C3" s="130" t="s">
        <v>1214</v>
      </c>
      <c r="D3" s="48">
        <v>40224539</v>
      </c>
      <c r="E3" s="46">
        <v>0</v>
      </c>
      <c r="F3" s="46">
        <v>0</v>
      </c>
      <c r="G3" s="46">
        <v>90000</v>
      </c>
      <c r="H3" s="46">
        <v>86947</v>
      </c>
      <c r="I3" s="46">
        <v>99442</v>
      </c>
      <c r="J3" s="46">
        <v>115533</v>
      </c>
      <c r="K3" s="46">
        <v>39776.800000000003</v>
      </c>
      <c r="L3" s="74">
        <f t="shared" ref="L3" si="0">J3-K3</f>
        <v>75756.2</v>
      </c>
      <c r="M3" s="78" t="s">
        <v>1215</v>
      </c>
      <c r="O3" s="288">
        <f>MATCH(B3,'42-02-24 אמ פלסטית'!$B$5:$B$77,0)</f>
        <v>27</v>
      </c>
      <c r="P3" s="288" t="e">
        <f>MATCH(B3,'42-02-24 אמ פלסטית'!$B$79:$B$98,0)</f>
        <v>#N/A</v>
      </c>
    </row>
    <row r="4" spans="1:75" s="62" customFormat="1" ht="44.25" customHeight="1" x14ac:dyDescent="0.2">
      <c r="A4" s="55" t="s">
        <v>1216</v>
      </c>
      <c r="B4" s="50">
        <v>580433258</v>
      </c>
      <c r="C4" s="49">
        <v>1000539799</v>
      </c>
      <c r="D4" s="48">
        <v>40224539</v>
      </c>
      <c r="E4" s="46">
        <v>0</v>
      </c>
      <c r="F4" s="46">
        <v>40000</v>
      </c>
      <c r="G4" s="46">
        <v>90000</v>
      </c>
      <c r="H4" s="119">
        <v>35917</v>
      </c>
      <c r="I4" s="119">
        <v>34811</v>
      </c>
      <c r="J4" s="46">
        <v>45500</v>
      </c>
      <c r="K4" s="53">
        <v>0</v>
      </c>
      <c r="L4" s="74">
        <f>J4-K4</f>
        <v>45500</v>
      </c>
      <c r="M4" s="78" t="s">
        <v>1215</v>
      </c>
      <c r="O4" s="288">
        <f>MATCH(B4,'42-02-24 אמ פלסטית'!$B$5:$B$77,0)</f>
        <v>27</v>
      </c>
      <c r="P4" s="288" t="e">
        <f>MATCH(B4,'42-02-24 אמ פלסטית'!$B$79:$B$98,0)</f>
        <v>#N/A</v>
      </c>
    </row>
    <row r="5" spans="1:75" s="62" customFormat="1" ht="41.25" customHeight="1" x14ac:dyDescent="0.2">
      <c r="A5" s="51" t="s">
        <v>1217</v>
      </c>
      <c r="B5" s="50">
        <v>580029429</v>
      </c>
      <c r="C5" s="130">
        <v>1000534788</v>
      </c>
      <c r="D5" s="48">
        <v>40000364</v>
      </c>
      <c r="E5" s="382">
        <v>40000</v>
      </c>
      <c r="F5" s="119">
        <v>40000</v>
      </c>
      <c r="G5" s="119">
        <v>60000</v>
      </c>
      <c r="H5" s="46">
        <v>60000</v>
      </c>
      <c r="I5" s="46">
        <v>60000</v>
      </c>
      <c r="J5" s="46">
        <v>96550</v>
      </c>
      <c r="K5" s="46">
        <v>96550</v>
      </c>
      <c r="L5" s="46">
        <f t="shared" ref="L5:L33" si="1">J5-K5</f>
        <v>0</v>
      </c>
      <c r="M5" s="471"/>
      <c r="O5" s="288">
        <f>MATCH(B5,'42-02-24 אמ פלסטית'!$B$5:$B$77,0)</f>
        <v>12</v>
      </c>
      <c r="P5" s="288" t="e">
        <f>MATCH(B5,'42-02-24 אמ פלסטית'!$B$79:$B$98,0)</f>
        <v>#N/A</v>
      </c>
    </row>
    <row r="6" spans="1:75" s="62" customFormat="1" ht="39.75" customHeight="1" x14ac:dyDescent="0.2">
      <c r="A6" s="55" t="s">
        <v>1218</v>
      </c>
      <c r="B6" s="50">
        <v>580322451</v>
      </c>
      <c r="C6" s="130">
        <v>1000542777</v>
      </c>
      <c r="D6" s="48">
        <v>40019188</v>
      </c>
      <c r="E6" s="46">
        <v>50000</v>
      </c>
      <c r="F6" s="46">
        <v>60000</v>
      </c>
      <c r="G6" s="46">
        <v>65459</v>
      </c>
      <c r="H6" s="46">
        <v>99352</v>
      </c>
      <c r="I6" s="46">
        <v>98459</v>
      </c>
      <c r="J6" s="46">
        <v>99717</v>
      </c>
      <c r="K6" s="46">
        <v>99717</v>
      </c>
      <c r="L6" s="46">
        <f t="shared" si="1"/>
        <v>0</v>
      </c>
      <c r="M6" s="393"/>
      <c r="O6" s="288">
        <f>MATCH(B6,'42-02-24 אמ פלסטית'!$B$5:$B$77,0)</f>
        <v>24</v>
      </c>
      <c r="P6" s="288" t="e">
        <f>MATCH(B6,'42-02-24 אמ פלסטית'!$B$79:$B$98,0)</f>
        <v>#N/A</v>
      </c>
    </row>
    <row r="7" spans="1:75" s="62" customFormat="1" ht="39.950000000000003" customHeight="1" x14ac:dyDescent="0.2">
      <c r="A7" s="55" t="s">
        <v>1219</v>
      </c>
      <c r="B7" s="182">
        <v>580078293</v>
      </c>
      <c r="C7" s="130">
        <v>1000542703</v>
      </c>
      <c r="D7" s="48">
        <v>40000438</v>
      </c>
      <c r="E7" s="46">
        <v>446525</v>
      </c>
      <c r="F7" s="46">
        <v>460081</v>
      </c>
      <c r="G7" s="46">
        <v>423947</v>
      </c>
      <c r="H7" s="46">
        <v>394478</v>
      </c>
      <c r="I7" s="46">
        <v>344804</v>
      </c>
      <c r="J7" s="46">
        <v>343344</v>
      </c>
      <c r="K7" s="46">
        <v>343344</v>
      </c>
      <c r="L7" s="46">
        <f t="shared" si="1"/>
        <v>0</v>
      </c>
      <c r="M7" s="472"/>
      <c r="O7" s="288">
        <f>MATCH(B7,'42-02-24 אמ פלסטית'!$B$5:$B$77,0)</f>
        <v>2</v>
      </c>
      <c r="P7" s="288" t="e">
        <f>MATCH(B7,'42-02-24 אמ פלסטית'!$B$79:$B$98,0)</f>
        <v>#N/A</v>
      </c>
    </row>
    <row r="8" spans="1:75" s="62" customFormat="1" ht="39.950000000000003" customHeight="1" x14ac:dyDescent="0.2">
      <c r="A8" s="55" t="s">
        <v>1220</v>
      </c>
      <c r="B8" s="182">
        <v>580144996</v>
      </c>
      <c r="C8" s="130">
        <v>1000539099</v>
      </c>
      <c r="D8" s="48">
        <v>40000501</v>
      </c>
      <c r="E8" s="101">
        <v>184064</v>
      </c>
      <c r="F8" s="46">
        <v>205432</v>
      </c>
      <c r="G8" s="46">
        <v>204219</v>
      </c>
      <c r="H8" s="46">
        <v>208123</v>
      </c>
      <c r="I8" s="46">
        <v>184239</v>
      </c>
      <c r="J8" s="46">
        <v>166834</v>
      </c>
      <c r="K8" s="46">
        <v>166834</v>
      </c>
      <c r="L8" s="46">
        <f t="shared" si="1"/>
        <v>0</v>
      </c>
      <c r="M8" s="80"/>
      <c r="O8" s="288">
        <f>MATCH(B8,'42-02-24 אמ פלסטית'!$B$5:$B$77,0)</f>
        <v>7</v>
      </c>
      <c r="P8" s="288" t="e">
        <f>MATCH(B8,'42-02-24 אמ פלסטית'!$B$79:$B$98,0)</f>
        <v>#N/A</v>
      </c>
    </row>
    <row r="9" spans="1:75" s="62" customFormat="1" ht="40.5" customHeight="1" x14ac:dyDescent="0.2">
      <c r="A9" s="55" t="s">
        <v>1164</v>
      </c>
      <c r="B9" s="50">
        <v>510695620</v>
      </c>
      <c r="C9" s="130">
        <v>1000535281</v>
      </c>
      <c r="D9" s="48">
        <v>40000022</v>
      </c>
      <c r="E9" s="101">
        <v>344465</v>
      </c>
      <c r="F9" s="46">
        <v>354923</v>
      </c>
      <c r="G9" s="46">
        <v>317521</v>
      </c>
      <c r="H9" s="119">
        <v>353027</v>
      </c>
      <c r="I9" s="46">
        <v>339988</v>
      </c>
      <c r="J9" s="46">
        <v>308118</v>
      </c>
      <c r="K9" s="46">
        <v>308118</v>
      </c>
      <c r="L9" s="46">
        <f t="shared" si="1"/>
        <v>0</v>
      </c>
      <c r="M9" s="473"/>
      <c r="O9" s="288">
        <f>MATCH(B9,'42-02-24 אמ פלסטית'!$B$5:$B$77,0)</f>
        <v>3</v>
      </c>
      <c r="P9" s="288" t="e">
        <f>MATCH(B9,'42-02-24 אמ פלסטית'!$B$79:$B$98,0)</f>
        <v>#N/A</v>
      </c>
    </row>
    <row r="10" spans="1:75" s="62" customFormat="1" ht="38.25" customHeight="1" x14ac:dyDescent="0.2">
      <c r="A10" s="55" t="s">
        <v>1221</v>
      </c>
      <c r="B10" s="182">
        <v>580144624</v>
      </c>
      <c r="C10" s="130">
        <v>1000550871</v>
      </c>
      <c r="D10" s="48">
        <v>40000150</v>
      </c>
      <c r="E10" s="382">
        <v>50000</v>
      </c>
      <c r="F10" s="119">
        <v>70000</v>
      </c>
      <c r="G10" s="119">
        <v>0</v>
      </c>
      <c r="H10" s="46">
        <v>0</v>
      </c>
      <c r="I10" s="46">
        <v>61694</v>
      </c>
      <c r="J10" s="46">
        <v>100000</v>
      </c>
      <c r="K10" s="46">
        <v>100000</v>
      </c>
      <c r="L10" s="46">
        <f t="shared" si="1"/>
        <v>0</v>
      </c>
      <c r="M10" s="474"/>
      <c r="O10" s="288">
        <f>MATCH(B10,'42-02-24 אמ פלסטית'!$B$5:$B$77,0)</f>
        <v>18</v>
      </c>
      <c r="P10" s="288" t="e">
        <f>MATCH(B10,'42-02-24 אמ פלסטית'!$B$79:$B$98,0)</f>
        <v>#N/A</v>
      </c>
    </row>
    <row r="11" spans="1:75" s="62" customFormat="1" ht="39.950000000000003" customHeight="1" x14ac:dyDescent="0.2">
      <c r="A11" s="55" t="s">
        <v>1222</v>
      </c>
      <c r="B11" s="188">
        <v>580003978</v>
      </c>
      <c r="C11" s="130">
        <v>1000544378</v>
      </c>
      <c r="D11" s="132">
        <v>40000316</v>
      </c>
      <c r="E11" s="382">
        <v>23547</v>
      </c>
      <c r="F11" s="119">
        <v>102683</v>
      </c>
      <c r="G11" s="119">
        <v>111846</v>
      </c>
      <c r="H11" s="46">
        <v>139200</v>
      </c>
      <c r="I11" s="46">
        <v>142800</v>
      </c>
      <c r="J11" s="46">
        <v>165641</v>
      </c>
      <c r="K11" s="46">
        <v>165641</v>
      </c>
      <c r="L11" s="46">
        <f t="shared" si="1"/>
        <v>0</v>
      </c>
      <c r="M11" s="475"/>
      <c r="O11" s="288">
        <f>MATCH(B11,'42-02-24 אמ פלסטית'!$B$5:$B$77,0)</f>
        <v>10</v>
      </c>
      <c r="P11" s="288" t="e">
        <f>MATCH(B11,'42-02-24 אמ פלסטית'!$B$79:$B$98,0)</f>
        <v>#N/A</v>
      </c>
    </row>
    <row r="12" spans="1:75" s="62" customFormat="1" ht="39.950000000000003" customHeight="1" x14ac:dyDescent="0.2">
      <c r="A12" s="51" t="s">
        <v>1223</v>
      </c>
      <c r="B12" s="50">
        <v>580150761</v>
      </c>
      <c r="C12" s="130">
        <v>1000536688</v>
      </c>
      <c r="D12" s="48">
        <v>40000155</v>
      </c>
      <c r="E12" s="382">
        <v>63801</v>
      </c>
      <c r="F12" s="119">
        <v>81974</v>
      </c>
      <c r="G12" s="46">
        <v>90668</v>
      </c>
      <c r="H12" s="46">
        <v>127857</v>
      </c>
      <c r="I12" s="46">
        <v>150000</v>
      </c>
      <c r="J12" s="46">
        <v>154597</v>
      </c>
      <c r="K12" s="46">
        <v>154597</v>
      </c>
      <c r="L12" s="46">
        <f t="shared" si="1"/>
        <v>0</v>
      </c>
      <c r="M12" s="51"/>
      <c r="O12" s="288">
        <f>MATCH(B12,'42-02-24 אמ פלסטית'!$B$5:$B$77,0)</f>
        <v>11</v>
      </c>
      <c r="P12" s="288" t="e">
        <f>MATCH(B12,'42-02-24 אמ פלסטית'!$B$79:$B$98,0)</f>
        <v>#N/A</v>
      </c>
    </row>
    <row r="13" spans="1:75" s="62" customFormat="1" ht="37.5" customHeight="1" x14ac:dyDescent="0.2">
      <c r="A13" s="51" t="s">
        <v>1224</v>
      </c>
      <c r="B13" s="105">
        <v>580210920</v>
      </c>
      <c r="C13" s="130">
        <v>1000546732</v>
      </c>
      <c r="D13" s="48">
        <v>40000182</v>
      </c>
      <c r="E13" s="101">
        <v>65857</v>
      </c>
      <c r="F13" s="119">
        <v>80687</v>
      </c>
      <c r="G13" s="46">
        <v>117605</v>
      </c>
      <c r="H13" s="46">
        <v>130708</v>
      </c>
      <c r="I13" s="46">
        <v>170000</v>
      </c>
      <c r="J13" s="46">
        <v>186107</v>
      </c>
      <c r="K13" s="46">
        <v>186107</v>
      </c>
      <c r="L13" s="46">
        <f t="shared" si="1"/>
        <v>0</v>
      </c>
      <c r="M13" s="476"/>
      <c r="O13" s="288">
        <f>MATCH(B13,'42-02-24 אמ פלסטית'!$B$5:$B$77,0)</f>
        <v>19</v>
      </c>
      <c r="P13" s="288" t="e">
        <f>MATCH(B13,'42-02-24 אמ פלסטית'!$B$79:$B$98,0)</f>
        <v>#N/A</v>
      </c>
    </row>
    <row r="14" spans="1:75" s="62" customFormat="1" ht="42.75" customHeight="1" x14ac:dyDescent="0.2">
      <c r="A14" s="51" t="s">
        <v>1225</v>
      </c>
      <c r="B14" s="50">
        <v>500269006</v>
      </c>
      <c r="C14" s="54">
        <v>1000537385</v>
      </c>
      <c r="D14" s="48">
        <v>20000227</v>
      </c>
      <c r="E14" s="46"/>
      <c r="F14" s="46"/>
      <c r="G14" s="46"/>
      <c r="H14" s="46">
        <v>0</v>
      </c>
      <c r="I14" s="46">
        <v>37715</v>
      </c>
      <c r="J14" s="46">
        <v>50000</v>
      </c>
      <c r="K14" s="305">
        <v>50000</v>
      </c>
      <c r="L14" s="46">
        <f t="shared" si="1"/>
        <v>0</v>
      </c>
      <c r="M14" s="471"/>
      <c r="O14" s="288" t="e">
        <f>MATCH(B14,'42-02-24 אמ פלסטית'!$B$5:$B$77,0)</f>
        <v>#N/A</v>
      </c>
      <c r="P14" s="288">
        <f>MATCH(B14,'42-02-24 אמ פלסטית'!$B$79:$B$98,0)</f>
        <v>9</v>
      </c>
    </row>
    <row r="15" spans="1:75" s="62" customFormat="1" ht="39.950000000000003" customHeight="1" x14ac:dyDescent="0.2">
      <c r="A15" s="51" t="s">
        <v>1226</v>
      </c>
      <c r="B15" s="105">
        <v>500262381</v>
      </c>
      <c r="C15" s="130">
        <v>1000532702</v>
      </c>
      <c r="D15" s="48">
        <v>20000212</v>
      </c>
      <c r="E15" s="46">
        <v>45000</v>
      </c>
      <c r="F15" s="46">
        <v>70000</v>
      </c>
      <c r="G15" s="46">
        <v>89705</v>
      </c>
      <c r="H15" s="46">
        <v>100000</v>
      </c>
      <c r="I15" s="46">
        <v>110000</v>
      </c>
      <c r="J15" s="46">
        <v>120000</v>
      </c>
      <c r="K15" s="46">
        <v>120000</v>
      </c>
      <c r="L15" s="46">
        <f t="shared" si="1"/>
        <v>0</v>
      </c>
      <c r="M15" s="471"/>
      <c r="O15" s="288" t="e">
        <f>MATCH(B15,'42-02-24 אמ פלסטית'!$B$5:$B$77,0)</f>
        <v>#N/A</v>
      </c>
      <c r="P15" s="288">
        <f>MATCH(B15,'42-02-24 אמ פלסטית'!$B$79:$B$98,0)</f>
        <v>3</v>
      </c>
    </row>
    <row r="16" spans="1:75" s="62" customFormat="1" ht="51.75" customHeight="1" x14ac:dyDescent="0.2">
      <c r="A16" s="51" t="s">
        <v>1227</v>
      </c>
      <c r="B16" s="105">
        <v>500283007</v>
      </c>
      <c r="C16" s="130">
        <v>1000532290</v>
      </c>
      <c r="D16" s="48">
        <v>20000247</v>
      </c>
      <c r="E16" s="101">
        <v>46689</v>
      </c>
      <c r="F16" s="46">
        <v>85276</v>
      </c>
      <c r="G16" s="46">
        <v>0</v>
      </c>
      <c r="H16" s="46">
        <v>72455</v>
      </c>
      <c r="I16" s="46">
        <v>117090</v>
      </c>
      <c r="J16" s="46">
        <v>121445</v>
      </c>
      <c r="K16" s="46">
        <v>121445</v>
      </c>
      <c r="L16" s="46">
        <f t="shared" si="1"/>
        <v>0</v>
      </c>
      <c r="M16" s="471"/>
      <c r="O16" s="288" t="e">
        <f>MATCH(B16,'42-02-24 אמ פלסטית'!$B$5:$B$77,0)</f>
        <v>#N/A</v>
      </c>
      <c r="P16" s="288">
        <f>MATCH(B16,'42-02-24 אמ פלסטית'!$B$79:$B$98,0)</f>
        <v>5</v>
      </c>
    </row>
    <row r="17" spans="1:16" s="62" customFormat="1" ht="37.5" customHeight="1" x14ac:dyDescent="0.2">
      <c r="A17" s="51" t="s">
        <v>1228</v>
      </c>
      <c r="B17" s="50">
        <v>580466282</v>
      </c>
      <c r="C17" s="130">
        <v>1000537684</v>
      </c>
      <c r="D17" s="48">
        <v>40371250</v>
      </c>
      <c r="E17" s="101">
        <v>0</v>
      </c>
      <c r="F17" s="119">
        <v>0</v>
      </c>
      <c r="G17" s="119">
        <v>47214</v>
      </c>
      <c r="H17" s="46">
        <v>75000</v>
      </c>
      <c r="I17" s="46">
        <v>70000</v>
      </c>
      <c r="J17" s="46">
        <v>106086</v>
      </c>
      <c r="K17" s="46">
        <v>106086</v>
      </c>
      <c r="L17" s="46">
        <f t="shared" si="1"/>
        <v>0</v>
      </c>
      <c r="M17" s="92"/>
      <c r="O17" s="288">
        <f>MATCH(B17,'42-02-24 אמ פלסטית'!$B$5:$B$77,0)</f>
        <v>31</v>
      </c>
      <c r="P17" s="288" t="e">
        <f>MATCH(B17,'42-02-24 אמ פלסטית'!$B$79:$B$98,0)</f>
        <v>#N/A</v>
      </c>
    </row>
    <row r="18" spans="1:16" s="62" customFormat="1" ht="40.5" customHeight="1" x14ac:dyDescent="0.2">
      <c r="A18" s="55" t="s">
        <v>1229</v>
      </c>
      <c r="B18" s="182">
        <v>500224043</v>
      </c>
      <c r="C18" s="130">
        <v>1000545501</v>
      </c>
      <c r="D18" s="48">
        <v>20000139</v>
      </c>
      <c r="E18" s="382">
        <v>140545</v>
      </c>
      <c r="F18" s="119">
        <v>151859</v>
      </c>
      <c r="G18" s="46">
        <v>152176</v>
      </c>
      <c r="H18" s="46">
        <v>67267</v>
      </c>
      <c r="I18" s="46">
        <v>72742</v>
      </c>
      <c r="J18" s="46">
        <v>80000</v>
      </c>
      <c r="K18" s="46">
        <v>80000</v>
      </c>
      <c r="L18" s="46">
        <f t="shared" si="1"/>
        <v>0</v>
      </c>
      <c r="M18" s="88"/>
      <c r="O18" s="288" t="e">
        <f>MATCH(B18,'42-02-24 אמ פלסטית'!$B$5:$B$77,0)</f>
        <v>#N/A</v>
      </c>
      <c r="P18" s="288">
        <f>MATCH(B18,'42-02-24 אמ פלסטית'!$B$79:$B$98,0)</f>
        <v>4</v>
      </c>
    </row>
    <row r="19" spans="1:16" s="62" customFormat="1" ht="59.25" customHeight="1" x14ac:dyDescent="0.2">
      <c r="A19" s="134" t="s">
        <v>1230</v>
      </c>
      <c r="B19" s="182">
        <v>500224043</v>
      </c>
      <c r="C19" s="130">
        <v>1000545540</v>
      </c>
      <c r="D19" s="48">
        <v>20000139</v>
      </c>
      <c r="E19" s="46">
        <v>0</v>
      </c>
      <c r="F19" s="46">
        <v>0</v>
      </c>
      <c r="G19" s="46">
        <v>0</v>
      </c>
      <c r="H19" s="46">
        <v>26994</v>
      </c>
      <c r="I19" s="46">
        <v>61166</v>
      </c>
      <c r="J19" s="46">
        <v>70000</v>
      </c>
      <c r="K19" s="46">
        <v>70000</v>
      </c>
      <c r="L19" s="46">
        <f t="shared" si="1"/>
        <v>0</v>
      </c>
      <c r="M19" s="436"/>
      <c r="O19" s="288" t="e">
        <f>MATCH(B19,'42-02-24 אמ פלסטית'!$B$5:$B$77,0)</f>
        <v>#N/A</v>
      </c>
      <c r="P19" s="288">
        <f>MATCH(B19,'42-02-24 אמ פלסטית'!$B$79:$B$98,0)</f>
        <v>4</v>
      </c>
    </row>
    <row r="20" spans="1:16" s="62" customFormat="1" ht="42" customHeight="1" x14ac:dyDescent="0.2">
      <c r="A20" s="55" t="s">
        <v>1231</v>
      </c>
      <c r="B20" s="182">
        <v>580008068</v>
      </c>
      <c r="C20" s="130">
        <v>1000539765</v>
      </c>
      <c r="D20" s="48">
        <v>40000327</v>
      </c>
      <c r="E20" s="101">
        <v>398327</v>
      </c>
      <c r="F20" s="119">
        <v>400000</v>
      </c>
      <c r="G20" s="119">
        <v>368585</v>
      </c>
      <c r="H20" s="46">
        <v>384776</v>
      </c>
      <c r="I20" s="46">
        <v>340724</v>
      </c>
      <c r="J20" s="46">
        <v>354354</v>
      </c>
      <c r="K20" s="46">
        <v>354354</v>
      </c>
      <c r="L20" s="46">
        <f t="shared" si="1"/>
        <v>0</v>
      </c>
      <c r="M20" s="477"/>
      <c r="O20" s="288">
        <f>MATCH(B20,'42-02-24 אמ פלסטית'!$B$5:$B$77,0)</f>
        <v>1</v>
      </c>
      <c r="P20" s="288" t="e">
        <f>MATCH(B20,'42-02-24 אמ פלסטית'!$B$79:$B$98,0)</f>
        <v>#N/A</v>
      </c>
    </row>
    <row r="21" spans="1:16" s="62" customFormat="1" ht="38.25" customHeight="1" x14ac:dyDescent="0.2">
      <c r="A21" s="55" t="s">
        <v>1232</v>
      </c>
      <c r="B21" s="53">
        <v>500250006</v>
      </c>
      <c r="C21" s="130">
        <v>1000545351</v>
      </c>
      <c r="D21" s="48">
        <v>20000201</v>
      </c>
      <c r="E21" s="101">
        <v>52894</v>
      </c>
      <c r="F21" s="46">
        <v>56811</v>
      </c>
      <c r="G21" s="46">
        <v>52000</v>
      </c>
      <c r="H21" s="46">
        <v>70000</v>
      </c>
      <c r="I21" s="46">
        <v>70000</v>
      </c>
      <c r="J21" s="46">
        <v>70000</v>
      </c>
      <c r="K21" s="46">
        <v>70000</v>
      </c>
      <c r="L21" s="46">
        <f t="shared" si="1"/>
        <v>0</v>
      </c>
      <c r="M21" s="92"/>
      <c r="O21" s="288" t="e">
        <f>MATCH(B21,'42-02-24 אמ פלסטית'!$B$5:$B$77,0)</f>
        <v>#N/A</v>
      </c>
      <c r="P21" s="288">
        <f>MATCH(B21,'42-02-24 אמ פלסטית'!$B$79:$B$98,0)</f>
        <v>1</v>
      </c>
    </row>
    <row r="22" spans="1:16" s="62" customFormat="1" ht="45" customHeight="1" x14ac:dyDescent="0.2">
      <c r="A22" s="55" t="s">
        <v>1233</v>
      </c>
      <c r="B22" s="182">
        <v>500284005</v>
      </c>
      <c r="C22" s="130">
        <v>1000541936</v>
      </c>
      <c r="D22" s="48">
        <v>20000248</v>
      </c>
      <c r="E22" s="382">
        <v>69488</v>
      </c>
      <c r="F22" s="46">
        <v>75000</v>
      </c>
      <c r="G22" s="119">
        <v>92636</v>
      </c>
      <c r="H22" s="46">
        <v>120000</v>
      </c>
      <c r="I22" s="46">
        <v>142612</v>
      </c>
      <c r="J22" s="46">
        <v>166040</v>
      </c>
      <c r="K22" s="46">
        <v>166040</v>
      </c>
      <c r="L22" s="46">
        <f t="shared" si="1"/>
        <v>0</v>
      </c>
      <c r="M22" s="478"/>
      <c r="O22" s="288" t="e">
        <f>MATCH(B22,'42-02-24 אמ פלסטית'!$B$5:$B$77,0)</f>
        <v>#N/A</v>
      </c>
      <c r="P22" s="288">
        <f>MATCH(B22,'42-02-24 אמ פלסטית'!$B$79:$B$98,0)</f>
        <v>8</v>
      </c>
    </row>
    <row r="23" spans="1:16" s="62" customFormat="1" ht="50.25" customHeight="1" x14ac:dyDescent="0.2">
      <c r="A23" s="55" t="s">
        <v>1234</v>
      </c>
      <c r="B23" s="182">
        <v>500224043</v>
      </c>
      <c r="C23" s="130">
        <v>1000545098</v>
      </c>
      <c r="D23" s="48">
        <v>20000139</v>
      </c>
      <c r="E23" s="101"/>
      <c r="F23" s="46"/>
      <c r="G23" s="46">
        <v>0</v>
      </c>
      <c r="H23" s="46">
        <v>59861</v>
      </c>
      <c r="I23" s="46">
        <v>79308</v>
      </c>
      <c r="J23" s="46">
        <v>90000</v>
      </c>
      <c r="K23" s="46">
        <v>90000</v>
      </c>
      <c r="L23" s="46">
        <f t="shared" si="1"/>
        <v>0</v>
      </c>
      <c r="M23" s="436"/>
      <c r="O23" s="288" t="e">
        <f>MATCH(B23,'42-02-24 אמ פלסטית'!$B$5:$B$77,0)</f>
        <v>#N/A</v>
      </c>
      <c r="P23" s="288">
        <f>MATCH(B23,'42-02-24 אמ פלסטית'!$B$79:$B$98,0)</f>
        <v>4</v>
      </c>
    </row>
    <row r="24" spans="1:16" s="62" customFormat="1" ht="39.950000000000003" customHeight="1" x14ac:dyDescent="0.2">
      <c r="A24" s="55" t="s">
        <v>1235</v>
      </c>
      <c r="B24" s="182">
        <v>500262001</v>
      </c>
      <c r="C24" s="130">
        <v>1000545710</v>
      </c>
      <c r="D24" s="48">
        <v>20000211</v>
      </c>
      <c r="E24" s="382">
        <v>81845</v>
      </c>
      <c r="F24" s="46">
        <v>170033</v>
      </c>
      <c r="G24" s="119">
        <v>233495</v>
      </c>
      <c r="H24" s="46">
        <v>289908</v>
      </c>
      <c r="I24" s="46">
        <v>290502</v>
      </c>
      <c r="J24" s="46">
        <v>305929</v>
      </c>
      <c r="K24" s="46">
        <v>305929</v>
      </c>
      <c r="L24" s="46">
        <f t="shared" si="1"/>
        <v>0</v>
      </c>
      <c r="M24" s="473"/>
      <c r="O24" s="288" t="e">
        <f>MATCH(B24,'42-02-24 אמ פלסטית'!$B$5:$B$77,0)</f>
        <v>#N/A</v>
      </c>
      <c r="P24" s="288">
        <f>MATCH(B24,'42-02-24 אמ פלסטית'!$B$79:$B$98,0)</f>
        <v>20</v>
      </c>
    </row>
    <row r="25" spans="1:16" s="62" customFormat="1" ht="45" customHeight="1" x14ac:dyDescent="0.2">
      <c r="A25" s="51" t="s">
        <v>1236</v>
      </c>
      <c r="B25" s="50">
        <v>510496052</v>
      </c>
      <c r="C25" s="130">
        <v>1000544634</v>
      </c>
      <c r="D25" s="48">
        <v>40159131</v>
      </c>
      <c r="E25" s="101"/>
      <c r="F25" s="119"/>
      <c r="G25" s="119"/>
      <c r="H25" s="46"/>
      <c r="I25" s="46">
        <v>0</v>
      </c>
      <c r="J25" s="46">
        <v>71222</v>
      </c>
      <c r="K25" s="46">
        <v>71222</v>
      </c>
      <c r="L25" s="46">
        <f t="shared" si="1"/>
        <v>0</v>
      </c>
      <c r="M25" s="476"/>
      <c r="O25" s="288" t="e">
        <f>MATCH(B25,'42-02-24 אמ פלסטית'!$B$5:$B$77,0)</f>
        <v>#N/A</v>
      </c>
      <c r="P25" s="288" t="e">
        <f>MATCH(B25,'42-02-24 אמ פלסטית'!$B$79:$B$98,0)</f>
        <v>#N/A</v>
      </c>
    </row>
    <row r="26" spans="1:16" s="62" customFormat="1" ht="36" customHeight="1" x14ac:dyDescent="0.2">
      <c r="A26" s="55" t="s">
        <v>1237</v>
      </c>
      <c r="B26" s="182">
        <v>511068223</v>
      </c>
      <c r="C26" s="130">
        <v>1000540614</v>
      </c>
      <c r="D26" s="48">
        <v>40000035</v>
      </c>
      <c r="E26" s="101">
        <v>70811</v>
      </c>
      <c r="F26" s="46">
        <v>95772</v>
      </c>
      <c r="G26" s="46">
        <v>136035</v>
      </c>
      <c r="H26" s="46">
        <v>169114</v>
      </c>
      <c r="I26" s="46">
        <v>169841</v>
      </c>
      <c r="J26" s="46">
        <v>156875</v>
      </c>
      <c r="K26" s="46">
        <v>156875</v>
      </c>
      <c r="L26" s="46">
        <f t="shared" si="1"/>
        <v>0</v>
      </c>
      <c r="M26" s="471"/>
      <c r="O26" s="288">
        <f>MATCH(B26,'42-02-24 אמ פלסטית'!$B$5:$B$77,0)</f>
        <v>9</v>
      </c>
      <c r="P26" s="288" t="e">
        <f>MATCH(B26,'42-02-24 אמ פלסטית'!$B$79:$B$98,0)</f>
        <v>#N/A</v>
      </c>
    </row>
    <row r="27" spans="1:16" s="62" customFormat="1" ht="48" customHeight="1" x14ac:dyDescent="0.2">
      <c r="A27" s="55" t="s">
        <v>1238</v>
      </c>
      <c r="B27" s="50">
        <v>580266104</v>
      </c>
      <c r="C27" s="130">
        <v>1000549877</v>
      </c>
      <c r="D27" s="48">
        <v>40000637</v>
      </c>
      <c r="E27" s="46">
        <v>152503</v>
      </c>
      <c r="F27" s="46">
        <v>110028</v>
      </c>
      <c r="G27" s="46">
        <v>111235</v>
      </c>
      <c r="H27" s="46">
        <v>135000</v>
      </c>
      <c r="I27" s="46">
        <v>143370</v>
      </c>
      <c r="J27" s="46">
        <v>131044</v>
      </c>
      <c r="K27" s="46">
        <v>131044</v>
      </c>
      <c r="L27" s="46">
        <f t="shared" si="1"/>
        <v>0</v>
      </c>
      <c r="M27" s="472"/>
      <c r="O27" s="288">
        <f>MATCH(B27,'42-02-24 אמ פלסטית'!$B$5:$B$77,0)</f>
        <v>6</v>
      </c>
      <c r="P27" s="288" t="e">
        <f>MATCH(B27,'42-02-24 אמ פלסטית'!$B$79:$B$98,0)</f>
        <v>#N/A</v>
      </c>
    </row>
    <row r="28" spans="1:16" s="62" customFormat="1" ht="39.950000000000003" customHeight="1" x14ac:dyDescent="0.2">
      <c r="A28" s="55" t="s">
        <v>1169</v>
      </c>
      <c r="B28" s="182">
        <v>580313112</v>
      </c>
      <c r="C28" s="130">
        <v>1000540012</v>
      </c>
      <c r="D28" s="48">
        <v>40000233</v>
      </c>
      <c r="E28" s="101">
        <v>155284</v>
      </c>
      <c r="F28" s="119">
        <v>180000</v>
      </c>
      <c r="G28" s="46">
        <v>196603</v>
      </c>
      <c r="H28" s="46">
        <v>227203</v>
      </c>
      <c r="I28" s="46">
        <v>220000</v>
      </c>
      <c r="J28" s="46">
        <v>222617</v>
      </c>
      <c r="K28" s="46">
        <v>222617</v>
      </c>
      <c r="L28" s="46">
        <f>J28-K28</f>
        <v>0</v>
      </c>
      <c r="M28" s="476"/>
      <c r="O28" s="288">
        <f>MATCH(B28,'42-02-24 אמ פלסטית'!$B$5:$B$77,0)</f>
        <v>8</v>
      </c>
      <c r="P28" s="288" t="e">
        <f>MATCH(B28,'42-02-24 אמ פלסטית'!$B$79:$B$98,0)</f>
        <v>#N/A</v>
      </c>
    </row>
    <row r="29" spans="1:16" s="62" customFormat="1" ht="43.5" customHeight="1" x14ac:dyDescent="0.2">
      <c r="A29" s="55" t="s">
        <v>1239</v>
      </c>
      <c r="B29" s="50">
        <v>580076842</v>
      </c>
      <c r="C29" s="130">
        <v>1000543917</v>
      </c>
      <c r="D29" s="48">
        <v>40000437</v>
      </c>
      <c r="E29" s="382">
        <v>120000</v>
      </c>
      <c r="F29" s="46">
        <v>90000</v>
      </c>
      <c r="G29" s="46">
        <v>81000</v>
      </c>
      <c r="H29" s="46">
        <v>83806</v>
      </c>
      <c r="I29" s="46">
        <v>153821</v>
      </c>
      <c r="J29" s="46">
        <v>185553</v>
      </c>
      <c r="K29" s="46">
        <v>185553</v>
      </c>
      <c r="L29" s="46">
        <f>J29-K29</f>
        <v>0</v>
      </c>
      <c r="M29" s="472"/>
      <c r="O29" s="288">
        <f>MATCH(B29,'42-02-24 אמ פלסטית'!$B$5:$B$77,0)</f>
        <v>4</v>
      </c>
      <c r="P29" s="288" t="e">
        <f>MATCH(B29,'42-02-24 אמ פלסטית'!$B$79:$B$98,0)</f>
        <v>#N/A</v>
      </c>
    </row>
    <row r="30" spans="1:16" s="62" customFormat="1" ht="38.25" customHeight="1" x14ac:dyDescent="0.2">
      <c r="A30" s="55" t="s">
        <v>1240</v>
      </c>
      <c r="B30" s="66">
        <v>512287350</v>
      </c>
      <c r="C30" s="130">
        <v>1000551625</v>
      </c>
      <c r="D30" s="48">
        <v>40000293</v>
      </c>
      <c r="E30" s="382">
        <v>138648</v>
      </c>
      <c r="F30" s="119">
        <v>184922</v>
      </c>
      <c r="G30" s="119">
        <v>172118</v>
      </c>
      <c r="H30" s="46">
        <v>218950</v>
      </c>
      <c r="I30" s="46">
        <v>229738</v>
      </c>
      <c r="J30" s="46">
        <v>229265</v>
      </c>
      <c r="K30" s="46">
        <v>229265</v>
      </c>
      <c r="L30" s="46">
        <f>J30-K30</f>
        <v>0</v>
      </c>
      <c r="M30" s="479"/>
      <c r="O30" s="288">
        <f>MATCH(B30,'42-02-24 אמ פלסטית'!$B$5:$B$77,0)</f>
        <v>28</v>
      </c>
      <c r="P30" s="288" t="e">
        <f>MATCH(B30,'42-02-24 אמ פלסטית'!$B$79:$B$98,0)</f>
        <v>#N/A</v>
      </c>
    </row>
    <row r="31" spans="1:16" s="62" customFormat="1" ht="38.25" customHeight="1" x14ac:dyDescent="0.2">
      <c r="A31" s="51" t="s">
        <v>1241</v>
      </c>
      <c r="B31" s="50">
        <v>580468221</v>
      </c>
      <c r="C31" s="49">
        <v>1000549447</v>
      </c>
      <c r="D31" s="48">
        <v>40376544</v>
      </c>
      <c r="E31" s="101">
        <v>0</v>
      </c>
      <c r="F31" s="119">
        <v>0</v>
      </c>
      <c r="G31" s="46">
        <v>0</v>
      </c>
      <c r="H31" s="46">
        <v>0</v>
      </c>
      <c r="I31" s="46">
        <v>47572</v>
      </c>
      <c r="J31" s="46">
        <v>60000</v>
      </c>
      <c r="K31" s="305">
        <v>60000</v>
      </c>
      <c r="L31" s="46">
        <f>J31-K31</f>
        <v>0</v>
      </c>
      <c r="M31" s="92"/>
      <c r="O31" s="288">
        <f>MATCH(B31,'42-02-24 אמ פלסטית'!$B$5:$B$77,0)</f>
        <v>34</v>
      </c>
      <c r="P31" s="288" t="e">
        <f>MATCH(B31,'42-02-24 אמ פלסטית'!$B$79:$B$98,0)</f>
        <v>#N/A</v>
      </c>
    </row>
    <row r="32" spans="1:16" s="62" customFormat="1" ht="48" customHeight="1" x14ac:dyDescent="0.2">
      <c r="A32" s="55" t="s">
        <v>1242</v>
      </c>
      <c r="B32" s="182">
        <v>580006575</v>
      </c>
      <c r="C32" s="130">
        <v>1000545243</v>
      </c>
      <c r="D32" s="48">
        <v>40404400</v>
      </c>
      <c r="E32" s="382">
        <v>0</v>
      </c>
      <c r="F32" s="119">
        <v>0</v>
      </c>
      <c r="G32" s="119">
        <v>0</v>
      </c>
      <c r="H32" s="46">
        <v>50000</v>
      </c>
      <c r="I32" s="46">
        <v>101024</v>
      </c>
      <c r="J32" s="46">
        <v>131669</v>
      </c>
      <c r="K32" s="46">
        <v>131669</v>
      </c>
      <c r="L32" s="46">
        <f>J32-K32</f>
        <v>0</v>
      </c>
      <c r="M32" s="471"/>
      <c r="O32" s="288">
        <f>MATCH(B32,'42-02-24 אמ פלסטית'!$B$5:$B$77,0)</f>
        <v>29</v>
      </c>
      <c r="P32" s="288" t="e">
        <f>MATCH(B32,'42-02-24 אמ פלסטית'!$B$79:$B$98,0)</f>
        <v>#N/A</v>
      </c>
    </row>
    <row r="33" spans="1:85" s="62" customFormat="1" ht="49.5" customHeight="1" x14ac:dyDescent="0.2">
      <c r="A33" s="51" t="s">
        <v>1243</v>
      </c>
      <c r="B33" s="50">
        <v>580159291</v>
      </c>
      <c r="C33" s="130">
        <v>1000544369</v>
      </c>
      <c r="D33" s="48">
        <v>40000518</v>
      </c>
      <c r="E33" s="101">
        <v>50449</v>
      </c>
      <c r="F33" s="119">
        <v>70000</v>
      </c>
      <c r="G33" s="119">
        <v>86708</v>
      </c>
      <c r="H33" s="46">
        <v>100500</v>
      </c>
      <c r="I33" s="46">
        <v>105000</v>
      </c>
      <c r="J33" s="46">
        <v>124280</v>
      </c>
      <c r="K33" s="46">
        <v>124280</v>
      </c>
      <c r="L33" s="46">
        <f t="shared" si="1"/>
        <v>0</v>
      </c>
      <c r="M33" s="476"/>
      <c r="O33" s="288">
        <f>MATCH(B33,'42-02-24 אמ פלסטית'!$B$5:$B$77,0)</f>
        <v>13</v>
      </c>
      <c r="P33" s="288" t="e">
        <f>MATCH(B33,'42-02-24 אמ פלסטית'!$B$79:$B$98,0)</f>
        <v>#N/A</v>
      </c>
    </row>
    <row r="34" spans="1:85" s="62" customFormat="1" ht="45.75" customHeight="1" x14ac:dyDescent="0.2">
      <c r="A34" s="51" t="s">
        <v>1244</v>
      </c>
      <c r="B34" s="50">
        <v>580486934</v>
      </c>
      <c r="C34" s="130">
        <v>1000535154</v>
      </c>
      <c r="D34" s="48">
        <v>40383381</v>
      </c>
      <c r="E34" s="101">
        <v>0</v>
      </c>
      <c r="F34" s="119">
        <v>0</v>
      </c>
      <c r="G34" s="46">
        <v>40000</v>
      </c>
      <c r="H34" s="46">
        <v>69339</v>
      </c>
      <c r="I34" s="46">
        <v>93619</v>
      </c>
      <c r="J34" s="46">
        <v>103852</v>
      </c>
      <c r="K34" s="46">
        <v>103852</v>
      </c>
      <c r="L34" s="46">
        <f>J34-K34</f>
        <v>0</v>
      </c>
      <c r="M34" s="51"/>
      <c r="O34" s="288">
        <f>MATCH(B34,'42-02-24 אמ פלסטית'!$B$5:$B$77,0)</f>
        <v>32</v>
      </c>
      <c r="P34" s="288" t="e">
        <f>MATCH(B34,'42-02-24 אמ פלסטית'!$B$79:$B$98,0)</f>
        <v>#N/A</v>
      </c>
    </row>
    <row r="35" spans="1:85" s="62" customFormat="1" ht="39" customHeight="1" x14ac:dyDescent="0.2">
      <c r="A35" s="55" t="s">
        <v>1245</v>
      </c>
      <c r="B35" s="50">
        <v>580461267</v>
      </c>
      <c r="C35" s="54">
        <v>1000537272</v>
      </c>
      <c r="D35" s="48">
        <v>40333142</v>
      </c>
      <c r="E35" s="382">
        <v>13566</v>
      </c>
      <c r="F35" s="119">
        <v>30000</v>
      </c>
      <c r="G35" s="119">
        <v>50032</v>
      </c>
      <c r="H35" s="46">
        <v>75000</v>
      </c>
      <c r="I35" s="46">
        <v>45000</v>
      </c>
      <c r="J35" s="46">
        <v>72565</v>
      </c>
      <c r="K35" s="299">
        <v>72565</v>
      </c>
      <c r="L35" s="46">
        <f>J35-K35</f>
        <v>0</v>
      </c>
      <c r="M35" s="471"/>
      <c r="O35" s="288">
        <f>MATCH(B35,'42-02-24 אמ פלסטית'!$B$5:$B$77,0)</f>
        <v>26</v>
      </c>
      <c r="P35" s="288" t="e">
        <f>MATCH(B35,'42-02-24 אמ פלסטית'!$B$79:$B$98,0)</f>
        <v>#N/A</v>
      </c>
    </row>
    <row r="36" spans="1:85" s="62" customFormat="1" ht="34.5" customHeight="1" x14ac:dyDescent="0.2">
      <c r="A36" s="51" t="s">
        <v>1246</v>
      </c>
      <c r="B36" s="50">
        <v>580416485</v>
      </c>
      <c r="C36" s="49">
        <v>1000553201</v>
      </c>
      <c r="D36" s="48">
        <v>40216112</v>
      </c>
      <c r="E36" s="119">
        <v>0</v>
      </c>
      <c r="F36" s="119">
        <v>0</v>
      </c>
      <c r="G36" s="119">
        <v>33124</v>
      </c>
      <c r="H36" s="46">
        <v>40000</v>
      </c>
      <c r="I36" s="46">
        <v>40000</v>
      </c>
      <c r="J36" s="46">
        <v>40000</v>
      </c>
      <c r="K36" s="299">
        <v>40000</v>
      </c>
      <c r="L36" s="46">
        <f>J36-K36</f>
        <v>0</v>
      </c>
      <c r="M36" s="393"/>
      <c r="O36" s="288">
        <f>MATCH(B36,'42-02-24 אמ פלסטית'!$B$5:$B$77,0)</f>
        <v>22</v>
      </c>
      <c r="P36" s="288" t="e">
        <f>MATCH(B36,'42-02-24 אמ פלסטית'!$B$79:$B$98,0)</f>
        <v>#N/A</v>
      </c>
    </row>
    <row r="37" spans="1:85" s="62" customFormat="1" ht="45.75" customHeight="1" x14ac:dyDescent="0.2">
      <c r="A37" s="55" t="s">
        <v>1247</v>
      </c>
      <c r="B37" s="50">
        <v>580035848</v>
      </c>
      <c r="C37" s="130">
        <v>1000541654</v>
      </c>
      <c r="D37" s="48">
        <v>40000379</v>
      </c>
      <c r="E37" s="101">
        <v>130637</v>
      </c>
      <c r="F37" s="46">
        <v>141132</v>
      </c>
      <c r="G37" s="46">
        <v>133429</v>
      </c>
      <c r="H37" s="46">
        <v>150591</v>
      </c>
      <c r="I37" s="46">
        <v>141410</v>
      </c>
      <c r="J37" s="46">
        <v>150763</v>
      </c>
      <c r="K37" s="46">
        <v>150763</v>
      </c>
      <c r="L37" s="46">
        <f>J37-K37</f>
        <v>0</v>
      </c>
      <c r="M37" s="393"/>
      <c r="O37" s="288">
        <f>MATCH(B37,'42-02-24 אמ פלסטית'!$B$5:$B$77,0)</f>
        <v>5</v>
      </c>
      <c r="P37" s="288" t="e">
        <f>MATCH(B37,'42-02-24 אמ פלסטית'!$B$79:$B$98,0)</f>
        <v>#N/A</v>
      </c>
    </row>
    <row r="38" spans="1:85" s="379" customFormat="1" ht="39.950000000000003" customHeight="1" x14ac:dyDescent="0.2">
      <c r="A38" s="55" t="s">
        <v>1248</v>
      </c>
      <c r="B38" s="50">
        <v>580290096</v>
      </c>
      <c r="C38" s="54">
        <v>1000538949</v>
      </c>
      <c r="D38" s="48">
        <v>40000656</v>
      </c>
      <c r="E38" s="101">
        <v>79383</v>
      </c>
      <c r="F38" s="46">
        <v>117516</v>
      </c>
      <c r="G38" s="46">
        <v>141590</v>
      </c>
      <c r="H38" s="46">
        <v>173594</v>
      </c>
      <c r="I38" s="46">
        <v>181322</v>
      </c>
      <c r="J38" s="46">
        <v>190000</v>
      </c>
      <c r="K38" s="299">
        <v>190000</v>
      </c>
      <c r="L38" s="46">
        <f>J38-K38</f>
        <v>0</v>
      </c>
      <c r="M38" s="127"/>
      <c r="O38" s="288">
        <f>MATCH(B38,'42-02-24 אמ פלסטית'!$B$5:$B$77,0)</f>
        <v>21</v>
      </c>
      <c r="P38" s="288" t="e">
        <f>MATCH(B38,'42-02-24 אמ פלסטית'!$B$79:$B$98,0)</f>
        <v>#N/A</v>
      </c>
    </row>
    <row r="39" spans="1:85" s="62" customFormat="1" ht="52.5" customHeight="1" x14ac:dyDescent="0.2">
      <c r="A39" s="51" t="s">
        <v>1187</v>
      </c>
      <c r="B39" s="50">
        <v>580433456</v>
      </c>
      <c r="C39" s="49">
        <v>1000543418</v>
      </c>
      <c r="D39" s="48">
        <v>40223834</v>
      </c>
      <c r="E39" s="46">
        <v>10000</v>
      </c>
      <c r="F39" s="46">
        <v>18000</v>
      </c>
      <c r="G39" s="46">
        <v>25000</v>
      </c>
      <c r="H39" s="46">
        <v>29931</v>
      </c>
      <c r="I39" s="46">
        <v>17406</v>
      </c>
      <c r="J39" s="46">
        <v>32500</v>
      </c>
      <c r="K39" s="53">
        <v>32500</v>
      </c>
      <c r="L39" s="46">
        <f t="shared" ref="L39:L56" si="2">J39-K39</f>
        <v>0</v>
      </c>
      <c r="M39" s="479"/>
      <c r="O39" s="288">
        <f>MATCH(B39,'42-02-24 אמ פלסטית'!$B$5:$B$77,0)</f>
        <v>25</v>
      </c>
      <c r="P39" s="288" t="e">
        <f>MATCH(B39,'42-02-24 אמ פלסטית'!$B$79:$B$98,0)</f>
        <v>#N/A</v>
      </c>
    </row>
    <row r="40" spans="1:85" s="62" customFormat="1" ht="38.25" customHeight="1" x14ac:dyDescent="0.2">
      <c r="A40" s="55" t="s">
        <v>1249</v>
      </c>
      <c r="B40" s="182">
        <v>500279005</v>
      </c>
      <c r="C40" s="54">
        <v>1000543426</v>
      </c>
      <c r="D40" s="48">
        <v>20000243</v>
      </c>
      <c r="E40" s="382"/>
      <c r="F40" s="119"/>
      <c r="G40" s="119"/>
      <c r="H40" s="46"/>
      <c r="I40" s="46">
        <v>0</v>
      </c>
      <c r="J40" s="46">
        <v>15000</v>
      </c>
      <c r="K40" s="53">
        <v>15000</v>
      </c>
      <c r="L40" s="46">
        <f t="shared" si="2"/>
        <v>0</v>
      </c>
      <c r="M40" s="471"/>
      <c r="O40" s="288" t="e">
        <f>MATCH(B40,'42-02-24 אמ פלסטית'!$B$5:$B$77,0)</f>
        <v>#N/A</v>
      </c>
      <c r="P40" s="288" t="e">
        <f>MATCH(B40,'42-02-24 אמ פלסטית'!$B$79:$B$98,0)</f>
        <v>#N/A</v>
      </c>
    </row>
    <row r="41" spans="1:85" s="62" customFormat="1" ht="46.5" customHeight="1" x14ac:dyDescent="0.2">
      <c r="A41" s="51" t="s">
        <v>1250</v>
      </c>
      <c r="B41" s="105">
        <v>580082824</v>
      </c>
      <c r="C41" s="49">
        <v>1000533814</v>
      </c>
      <c r="D41" s="48">
        <v>40000448</v>
      </c>
      <c r="E41" s="46">
        <v>0</v>
      </c>
      <c r="F41" s="119">
        <v>26000</v>
      </c>
      <c r="G41" s="119">
        <v>24000</v>
      </c>
      <c r="H41" s="46">
        <v>41903</v>
      </c>
      <c r="I41" s="46">
        <v>0</v>
      </c>
      <c r="J41" s="46">
        <v>40188</v>
      </c>
      <c r="K41" s="53">
        <v>40188</v>
      </c>
      <c r="L41" s="59">
        <f t="shared" si="2"/>
        <v>0</v>
      </c>
      <c r="M41" s="76"/>
      <c r="N41" s="121"/>
      <c r="O41" s="288">
        <f>MATCH(B41,'42-02-24 אמ פלסטית'!$B$5:$B$77,0)</f>
        <v>30</v>
      </c>
      <c r="P41" s="288" t="e">
        <f>MATCH(B41,'42-02-24 אמ פלסטית'!$B$79:$B$98,0)</f>
        <v>#N/A</v>
      </c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</row>
    <row r="42" spans="1:85" s="62" customFormat="1" ht="39.75" customHeight="1" x14ac:dyDescent="0.2">
      <c r="A42" s="55" t="s">
        <v>1251</v>
      </c>
      <c r="B42" s="182">
        <v>580103026</v>
      </c>
      <c r="C42" s="49">
        <v>1000554510</v>
      </c>
      <c r="D42" s="48">
        <v>40000134</v>
      </c>
      <c r="E42" s="382">
        <v>0</v>
      </c>
      <c r="F42" s="119">
        <v>0</v>
      </c>
      <c r="G42" s="119">
        <v>0</v>
      </c>
      <c r="H42" s="119">
        <v>0</v>
      </c>
      <c r="I42" s="119">
        <v>26109</v>
      </c>
      <c r="J42" s="46">
        <v>25146</v>
      </c>
      <c r="K42" s="53">
        <v>25146</v>
      </c>
      <c r="L42" s="46">
        <f t="shared" si="2"/>
        <v>0</v>
      </c>
      <c r="M42" s="298"/>
      <c r="O42" s="288">
        <f>MATCH(B42,'42-02-24 אמ פלסטית'!$B$5:$B$77,0)</f>
        <v>14</v>
      </c>
      <c r="P42" s="288" t="e">
        <f>MATCH(B42,'42-02-24 אמ פלסטית'!$B$79:$B$98,0)</f>
        <v>#N/A</v>
      </c>
    </row>
    <row r="43" spans="1:85" s="62" customFormat="1" ht="38.25" customHeight="1" x14ac:dyDescent="0.2">
      <c r="A43" s="55" t="s">
        <v>1252</v>
      </c>
      <c r="B43" s="182">
        <v>500213517</v>
      </c>
      <c r="C43" s="54">
        <v>1000536993</v>
      </c>
      <c r="D43" s="48">
        <v>20000401</v>
      </c>
      <c r="E43" s="382"/>
      <c r="F43" s="119"/>
      <c r="G43" s="119"/>
      <c r="H43" s="46"/>
      <c r="I43" s="46">
        <v>0</v>
      </c>
      <c r="J43" s="46">
        <v>21500</v>
      </c>
      <c r="K43" s="53">
        <v>21500</v>
      </c>
      <c r="L43" s="46">
        <f t="shared" si="2"/>
        <v>0</v>
      </c>
      <c r="M43" s="471"/>
      <c r="O43" s="288" t="e">
        <f>MATCH(B43,'42-02-24 אמ פלסטית'!$B$5:$B$77,0)</f>
        <v>#N/A</v>
      </c>
      <c r="P43" s="288">
        <f>MATCH(B43,'42-02-24 אמ פלסטית'!$B$79:$B$98,0)</f>
        <v>18</v>
      </c>
    </row>
    <row r="44" spans="1:85" s="62" customFormat="1" ht="38.25" customHeight="1" x14ac:dyDescent="0.2">
      <c r="A44" s="55" t="s">
        <v>1253</v>
      </c>
      <c r="B44" s="182">
        <v>510695620</v>
      </c>
      <c r="C44" s="54">
        <v>1000535310</v>
      </c>
      <c r="D44" s="48">
        <v>40000022</v>
      </c>
      <c r="E44" s="382"/>
      <c r="F44" s="119"/>
      <c r="G44" s="119"/>
      <c r="H44" s="46"/>
      <c r="I44" s="46">
        <v>0</v>
      </c>
      <c r="J44" s="46">
        <v>78000</v>
      </c>
      <c r="K44" s="53">
        <v>78000</v>
      </c>
      <c r="L44" s="46">
        <f t="shared" si="2"/>
        <v>0</v>
      </c>
      <c r="M44" s="471"/>
      <c r="O44" s="288">
        <f>MATCH(B44,'42-02-24 אמ פלסטית'!$B$5:$B$77,0)</f>
        <v>3</v>
      </c>
      <c r="P44" s="288" t="e">
        <f>MATCH(B44,'42-02-24 אמ פלסטית'!$B$79:$B$98,0)</f>
        <v>#N/A</v>
      </c>
    </row>
    <row r="45" spans="1:85" s="44" customFormat="1" ht="36" customHeight="1" x14ac:dyDescent="0.2">
      <c r="A45" s="88" t="s">
        <v>1185</v>
      </c>
      <c r="B45" s="182">
        <v>580234995</v>
      </c>
      <c r="C45" s="49">
        <v>1000538453</v>
      </c>
      <c r="D45" s="48">
        <v>40000192</v>
      </c>
      <c r="E45" s="46">
        <v>0</v>
      </c>
      <c r="F45" s="46">
        <v>10000</v>
      </c>
      <c r="G45" s="46">
        <v>25000</v>
      </c>
      <c r="H45" s="46">
        <v>29931</v>
      </c>
      <c r="I45" s="46">
        <v>30460</v>
      </c>
      <c r="J45" s="46">
        <v>27499</v>
      </c>
      <c r="K45" s="53">
        <v>27499</v>
      </c>
      <c r="L45" s="46">
        <f t="shared" si="2"/>
        <v>0</v>
      </c>
      <c r="M45" s="71"/>
      <c r="O45" s="288">
        <f>MATCH(B45,'42-02-24 אמ פלסטית'!$B$5:$B$77,0)</f>
        <v>23</v>
      </c>
      <c r="P45" s="288" t="e">
        <f>MATCH(B45,'42-02-24 אמ פלסטית'!$B$79:$B$98,0)</f>
        <v>#N/A</v>
      </c>
    </row>
    <row r="46" spans="1:85" s="62" customFormat="1" ht="38.25" customHeight="1" x14ac:dyDescent="0.2">
      <c r="A46" s="55" t="s">
        <v>1254</v>
      </c>
      <c r="B46" s="182">
        <v>510542822</v>
      </c>
      <c r="C46" s="54">
        <v>1000539025</v>
      </c>
      <c r="D46" s="48">
        <v>40000015</v>
      </c>
      <c r="E46" s="382"/>
      <c r="F46" s="119"/>
      <c r="G46" s="119"/>
      <c r="H46" s="46"/>
      <c r="I46" s="46">
        <v>0</v>
      </c>
      <c r="J46" s="46">
        <v>22750</v>
      </c>
      <c r="K46" s="53">
        <v>22750</v>
      </c>
      <c r="L46" s="46">
        <f t="shared" si="2"/>
        <v>0</v>
      </c>
      <c r="M46" s="471"/>
      <c r="O46" s="288">
        <f>MATCH(B46,'42-02-24 אמ פלסטית'!$B$5:$B$77,0)</f>
        <v>20</v>
      </c>
      <c r="P46" s="288" t="e">
        <f>MATCH(B46,'42-02-24 אמ פלסטית'!$B$79:$B$98,0)</f>
        <v>#N/A</v>
      </c>
    </row>
    <row r="47" spans="1:85" s="62" customFormat="1" ht="39" customHeight="1" x14ac:dyDescent="0.2">
      <c r="A47" s="51" t="s">
        <v>1255</v>
      </c>
      <c r="B47" s="105">
        <v>580520229</v>
      </c>
      <c r="C47" s="49">
        <v>1000547866</v>
      </c>
      <c r="D47" s="48">
        <v>40820618</v>
      </c>
      <c r="E47" s="46">
        <v>0</v>
      </c>
      <c r="F47" s="46">
        <v>0</v>
      </c>
      <c r="G47" s="46">
        <v>0</v>
      </c>
      <c r="H47" s="119">
        <v>0</v>
      </c>
      <c r="I47" s="119">
        <v>34811</v>
      </c>
      <c r="J47" s="46">
        <v>45500</v>
      </c>
      <c r="K47" s="53">
        <v>45500</v>
      </c>
      <c r="L47" s="46">
        <f t="shared" si="2"/>
        <v>0</v>
      </c>
      <c r="M47" s="479"/>
      <c r="O47" s="288" t="e">
        <f>MATCH(B47,'42-02-24 אמ פלסטית'!$B$5:$B$77,0)</f>
        <v>#N/A</v>
      </c>
      <c r="P47" s="288" t="e">
        <f>MATCH(B47,'42-02-24 אמ פלסטית'!$B$79:$B$98,0)</f>
        <v>#N/A</v>
      </c>
    </row>
    <row r="48" spans="1:85" s="62" customFormat="1" ht="48" customHeight="1" x14ac:dyDescent="0.2">
      <c r="A48" s="55" t="s">
        <v>1256</v>
      </c>
      <c r="B48" s="182">
        <v>500262001</v>
      </c>
      <c r="C48" s="54">
        <v>1000545656</v>
      </c>
      <c r="D48" s="48">
        <v>20000211</v>
      </c>
      <c r="E48" s="382">
        <v>0</v>
      </c>
      <c r="F48" s="119">
        <v>50000</v>
      </c>
      <c r="G48" s="119">
        <v>50000</v>
      </c>
      <c r="H48" s="46">
        <v>71834</v>
      </c>
      <c r="I48" s="46">
        <v>102000</v>
      </c>
      <c r="J48" s="46">
        <v>97500</v>
      </c>
      <c r="K48" s="53">
        <v>97500</v>
      </c>
      <c r="L48" s="46">
        <f t="shared" si="2"/>
        <v>0</v>
      </c>
      <c r="M48" s="471"/>
      <c r="O48" s="288" t="e">
        <f>MATCH(B48,'42-02-24 אמ פלסטית'!$B$5:$B$77,0)</f>
        <v>#N/A</v>
      </c>
      <c r="P48" s="288">
        <f>MATCH(B48,'42-02-24 אמ פלסטית'!$B$79:$B$98,0)</f>
        <v>20</v>
      </c>
    </row>
    <row r="49" spans="1:16" s="62" customFormat="1" ht="39" customHeight="1" x14ac:dyDescent="0.2">
      <c r="A49" s="51" t="s">
        <v>1257</v>
      </c>
      <c r="B49" s="105">
        <v>580362747</v>
      </c>
      <c r="C49" s="49">
        <v>1000549995</v>
      </c>
      <c r="D49" s="48">
        <v>40522482</v>
      </c>
      <c r="E49" s="46">
        <v>0</v>
      </c>
      <c r="F49" s="46">
        <v>0</v>
      </c>
      <c r="G49" s="46">
        <v>0</v>
      </c>
      <c r="H49" s="119">
        <v>29931</v>
      </c>
      <c r="I49" s="119">
        <v>21757</v>
      </c>
      <c r="J49" s="46">
        <v>32500</v>
      </c>
      <c r="K49" s="53">
        <v>32500</v>
      </c>
      <c r="L49" s="46">
        <f t="shared" si="2"/>
        <v>0</v>
      </c>
      <c r="M49" s="479"/>
      <c r="O49" s="288">
        <f>MATCH(B49,'42-02-24 אמ פלסטית'!$B$5:$B$77,0)</f>
        <v>33</v>
      </c>
      <c r="P49" s="288" t="e">
        <f>MATCH(B49,'42-02-24 אמ פלסטית'!$B$79:$B$98,0)</f>
        <v>#N/A</v>
      </c>
    </row>
    <row r="50" spans="1:16" s="44" customFormat="1" ht="38.25" customHeight="1" x14ac:dyDescent="0.2">
      <c r="A50" s="51" t="s">
        <v>1258</v>
      </c>
      <c r="B50" s="182">
        <v>500250006</v>
      </c>
      <c r="C50" s="49">
        <v>1000545746</v>
      </c>
      <c r="D50" s="48">
        <v>20000201</v>
      </c>
      <c r="E50" s="46">
        <v>0</v>
      </c>
      <c r="F50" s="46">
        <v>20000</v>
      </c>
      <c r="G50" s="46">
        <v>0</v>
      </c>
      <c r="H50" s="46">
        <v>0</v>
      </c>
      <c r="I50" s="46">
        <v>26109</v>
      </c>
      <c r="J50" s="46">
        <v>32500</v>
      </c>
      <c r="K50" s="53">
        <v>32500</v>
      </c>
      <c r="L50" s="46">
        <f t="shared" si="2"/>
        <v>0</v>
      </c>
      <c r="M50" s="479"/>
      <c r="O50" s="288" t="e">
        <f>MATCH(B50,'42-02-24 אמ פלסטית'!$B$5:$B$77,0)</f>
        <v>#N/A</v>
      </c>
      <c r="P50" s="288">
        <f>MATCH(B50,'42-02-24 אמ פלסטית'!$B$79:$B$98,0)</f>
        <v>1</v>
      </c>
    </row>
    <row r="51" spans="1:16" s="62" customFormat="1" ht="48" customHeight="1" x14ac:dyDescent="0.2">
      <c r="A51" s="55" t="s">
        <v>1259</v>
      </c>
      <c r="B51" s="182">
        <v>500262381</v>
      </c>
      <c r="C51" s="54">
        <v>1000545343</v>
      </c>
      <c r="D51" s="48">
        <v>20000212</v>
      </c>
      <c r="E51" s="382"/>
      <c r="F51" s="119"/>
      <c r="G51" s="119"/>
      <c r="H51" s="46"/>
      <c r="I51" s="46">
        <v>0</v>
      </c>
      <c r="J51" s="46">
        <v>43700</v>
      </c>
      <c r="K51" s="53">
        <v>43700</v>
      </c>
      <c r="L51" s="46">
        <f t="shared" si="2"/>
        <v>0</v>
      </c>
      <c r="M51" s="471"/>
      <c r="O51" s="288" t="e">
        <f>MATCH(B51,'42-02-24 אמ פלסטית'!$B$5:$B$77,0)</f>
        <v>#N/A</v>
      </c>
      <c r="P51" s="288">
        <f>MATCH(B51,'42-02-24 אמ פלסטית'!$B$79:$B$98,0)</f>
        <v>3</v>
      </c>
    </row>
    <row r="52" spans="1:16" s="62" customFormat="1" ht="30" customHeight="1" x14ac:dyDescent="0.2">
      <c r="A52" s="51" t="s">
        <v>1260</v>
      </c>
      <c r="B52" s="50">
        <v>580352490</v>
      </c>
      <c r="C52" s="49">
        <v>1000553038</v>
      </c>
      <c r="D52" s="48">
        <v>40000242</v>
      </c>
      <c r="E52" s="101">
        <v>0</v>
      </c>
      <c r="F52" s="46">
        <v>26000</v>
      </c>
      <c r="G52" s="46">
        <v>30000</v>
      </c>
      <c r="H52" s="46">
        <v>35917</v>
      </c>
      <c r="I52" s="46">
        <v>30460</v>
      </c>
      <c r="J52" s="46">
        <v>35717</v>
      </c>
      <c r="K52" s="53">
        <v>35717</v>
      </c>
      <c r="L52" s="46">
        <f t="shared" si="2"/>
        <v>0</v>
      </c>
      <c r="M52" s="71"/>
      <c r="O52" s="288">
        <f>MATCH(B52,'42-02-24 אמ פלסטית'!$B$5:$B$77,0)</f>
        <v>16</v>
      </c>
      <c r="P52" s="288" t="e">
        <f>MATCH(B52,'42-02-24 אמ פלסטית'!$B$79:$B$98,0)</f>
        <v>#N/A</v>
      </c>
    </row>
    <row r="53" spans="1:16" s="94" customFormat="1" ht="37.5" customHeight="1" x14ac:dyDescent="0.2">
      <c r="A53" s="88" t="s">
        <v>1261</v>
      </c>
      <c r="B53" s="188">
        <v>580517845</v>
      </c>
      <c r="C53" s="189">
        <v>1000551838</v>
      </c>
      <c r="D53" s="132">
        <v>40989062</v>
      </c>
      <c r="E53" s="119"/>
      <c r="F53" s="119"/>
      <c r="G53" s="119"/>
      <c r="H53" s="119"/>
      <c r="I53" s="119">
        <v>0</v>
      </c>
      <c r="J53" s="46">
        <v>32500</v>
      </c>
      <c r="K53" s="53">
        <v>32500</v>
      </c>
      <c r="L53" s="46">
        <f t="shared" si="2"/>
        <v>0</v>
      </c>
      <c r="M53" s="480"/>
      <c r="O53" s="288" t="e">
        <f>MATCH(B53,'42-02-24 אמ פלסטית'!$B$5:$B$77,0)</f>
        <v>#N/A</v>
      </c>
      <c r="P53" s="288" t="e">
        <f>MATCH(B53,'42-02-24 אמ פלסטית'!$B$79:$B$98,0)</f>
        <v>#N/A</v>
      </c>
    </row>
    <row r="54" spans="1:16" s="44" customFormat="1" ht="37.5" customHeight="1" x14ac:dyDescent="0.2">
      <c r="A54" s="51" t="s">
        <v>1262</v>
      </c>
      <c r="B54" s="182">
        <v>500230008</v>
      </c>
      <c r="C54" s="54">
        <v>1000542975</v>
      </c>
      <c r="D54" s="48">
        <v>20000159</v>
      </c>
      <c r="E54" s="46">
        <v>0</v>
      </c>
      <c r="F54" s="46">
        <v>0</v>
      </c>
      <c r="G54" s="119">
        <v>40000</v>
      </c>
      <c r="H54" s="46">
        <v>59861</v>
      </c>
      <c r="I54" s="46">
        <v>67136</v>
      </c>
      <c r="J54" s="46">
        <v>84500</v>
      </c>
      <c r="K54" s="53">
        <v>84500</v>
      </c>
      <c r="L54" s="46">
        <f>J54-K54</f>
        <v>0</v>
      </c>
      <c r="M54" s="75"/>
      <c r="O54" s="288" t="e">
        <f>MATCH(B54,'42-02-24 אמ פלסטית'!$B$5:$B$77,0)</f>
        <v>#N/A</v>
      </c>
      <c r="P54" s="288">
        <f>MATCH(B54,'42-02-24 אמ פלסטית'!$B$79:$B$98,0)</f>
        <v>6</v>
      </c>
    </row>
    <row r="55" spans="1:16" s="62" customFormat="1" ht="39" customHeight="1" x14ac:dyDescent="0.2">
      <c r="A55" s="51" t="s">
        <v>1263</v>
      </c>
      <c r="B55" s="105">
        <v>580504942</v>
      </c>
      <c r="C55" s="49">
        <v>1000545444</v>
      </c>
      <c r="D55" s="48">
        <v>40822203</v>
      </c>
      <c r="E55" s="46"/>
      <c r="F55" s="46"/>
      <c r="G55" s="46"/>
      <c r="H55" s="119">
        <v>0</v>
      </c>
      <c r="I55" s="119">
        <v>42000</v>
      </c>
      <c r="J55" s="46">
        <v>70000</v>
      </c>
      <c r="K55" s="53">
        <v>70000</v>
      </c>
      <c r="L55" s="46">
        <f t="shared" si="2"/>
        <v>0</v>
      </c>
      <c r="M55" s="479"/>
      <c r="O55" s="288">
        <f>MATCH(B55,'42-02-24 אמ פלסטית'!$B$5:$B$77,0)</f>
        <v>73</v>
      </c>
      <c r="P55" s="288" t="e">
        <f>MATCH(B55,'42-02-24 אמ פלסטית'!$B$79:$B$98,0)</f>
        <v>#N/A</v>
      </c>
    </row>
    <row r="56" spans="1:16" s="94" customFormat="1" ht="51.75" customHeight="1" x14ac:dyDescent="0.2">
      <c r="A56" s="51" t="s">
        <v>1264</v>
      </c>
      <c r="B56" s="182">
        <v>580169480</v>
      </c>
      <c r="C56" s="54">
        <v>1000541571</v>
      </c>
      <c r="D56" s="48">
        <v>40000526</v>
      </c>
      <c r="E56" s="46">
        <v>111000</v>
      </c>
      <c r="F56" s="119">
        <v>140000</v>
      </c>
      <c r="G56" s="119">
        <v>140000</v>
      </c>
      <c r="H56" s="119">
        <v>119723</v>
      </c>
      <c r="I56" s="46">
        <v>92208</v>
      </c>
      <c r="J56" s="46">
        <v>97500</v>
      </c>
      <c r="K56" s="53">
        <v>97500</v>
      </c>
      <c r="L56" s="46">
        <f t="shared" si="2"/>
        <v>0</v>
      </c>
      <c r="M56" s="481"/>
      <c r="O56" s="288">
        <f>MATCH(B56,'42-02-24 אמ פלסטית'!$B$5:$B$77,0)</f>
        <v>17</v>
      </c>
      <c r="P56" s="288" t="e">
        <f>MATCH(B56,'42-02-24 אמ פלסטית'!$B$79:$B$98,0)</f>
        <v>#N/A</v>
      </c>
    </row>
    <row r="57" spans="1:16" x14ac:dyDescent="0.2">
      <c r="J57" s="395">
        <f>SUM(J3:J56)</f>
        <v>6020000</v>
      </c>
    </row>
  </sheetData>
  <conditionalFormatting sqref="O3:P56">
    <cfRule type="containsErrors" dxfId="7" priority="1">
      <formula>ISERROR(O3)</formula>
    </cfRule>
  </conditionalFormatting>
  <pageMargins left="0.11811023622047245" right="0.15748031496062992" top="0.47244094488188981" bottom="0.18" header="0.15748031496062992" footer="0.19685039370078741"/>
  <pageSetup paperSize="9" scale="80" orientation="landscape" r:id="rId1"/>
  <headerFooter alignWithMargins="0">
    <oddHeader>&amp;C&amp;"Guttman Yad-Brush,רגיל"&amp;14תקנת אמנות פלסטית - 42-02-24</oddHeader>
    <oddFooter>&amp;L&amp;D&amp;C&amp;P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3"/>
  <dimension ref="A1:GX82"/>
  <sheetViews>
    <sheetView rightToLeft="1" zoomScale="80" zoomScaleNormal="80" zoomScaleSheetLayoutView="100" workbookViewId="0">
      <pane ySplit="1" topLeftCell="A2" activePane="bottomLeft" state="frozen"/>
      <selection pane="bottomLeft" activeCell="B5" sqref="B5"/>
    </sheetView>
  </sheetViews>
  <sheetFormatPr defaultColWidth="0.7109375" defaultRowHeight="51" customHeight="1" x14ac:dyDescent="0.2"/>
  <cols>
    <col min="1" max="1" width="26.28515625" style="41" customWidth="1"/>
    <col min="2" max="2" width="10.85546875" style="41" bestFit="1" customWidth="1"/>
    <col min="3" max="3" width="13.5703125" style="41" customWidth="1"/>
    <col min="4" max="4" width="10.42578125" style="41" customWidth="1"/>
    <col min="5" max="5" width="11.85546875" style="41" hidden="1" customWidth="1"/>
    <col min="6" max="6" width="13.140625" style="41" hidden="1" customWidth="1"/>
    <col min="7" max="7" width="12.140625" style="117" hidden="1" customWidth="1"/>
    <col min="8" max="8" width="11.85546875" style="117" hidden="1" customWidth="1"/>
    <col min="9" max="9" width="11.42578125" style="117" hidden="1" customWidth="1"/>
    <col min="10" max="10" width="13.5703125" style="117" customWidth="1"/>
    <col min="11" max="12" width="12.140625" style="117" customWidth="1"/>
    <col min="13" max="13" width="35.42578125" style="117" customWidth="1"/>
    <col min="14" max="14" width="36.85546875" style="116" customWidth="1"/>
    <col min="15" max="15" width="13" style="117" customWidth="1"/>
    <col min="16" max="16" width="14.5703125" style="117" customWidth="1"/>
    <col min="17" max="17" width="35" style="43" customWidth="1"/>
    <col min="18" max="18" width="12.140625" style="43" customWidth="1"/>
    <col min="19" max="19" width="20.7109375" style="115" customWidth="1"/>
    <col min="20" max="20" width="13" style="114" customWidth="1"/>
    <col min="21" max="80" width="0.7109375" style="42"/>
    <col min="81" max="16384" width="0.7109375" style="41"/>
  </cols>
  <sheetData>
    <row r="1" spans="1:93" s="99" customFormat="1" ht="42.7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</row>
    <row r="2" spans="1:93" s="94" customFormat="1" ht="33.75" customHeight="1" x14ac:dyDescent="0.2">
      <c r="A2" s="145" t="s">
        <v>1312</v>
      </c>
      <c r="B2" s="144"/>
      <c r="C2" s="144"/>
      <c r="D2" s="144"/>
      <c r="E2" s="153"/>
      <c r="F2" s="243"/>
      <c r="G2" s="153"/>
      <c r="H2" s="153"/>
      <c r="I2" s="153"/>
      <c r="J2" s="153"/>
      <c r="K2" s="153"/>
      <c r="L2" s="153"/>
      <c r="M2" s="492"/>
      <c r="N2" s="98"/>
      <c r="O2" s="43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</row>
    <row r="3" spans="1:93" s="62" customFormat="1" ht="36.75" customHeight="1" x14ac:dyDescent="0.2">
      <c r="A3" s="51" t="s">
        <v>1313</v>
      </c>
      <c r="B3" s="389">
        <v>580323764</v>
      </c>
      <c r="C3" s="49">
        <v>1000545462</v>
      </c>
      <c r="D3" s="48">
        <v>40016974</v>
      </c>
      <c r="E3" s="46">
        <v>21000</v>
      </c>
      <c r="F3" s="119">
        <v>25000</v>
      </c>
      <c r="G3" s="119">
        <v>35000</v>
      </c>
      <c r="H3" s="46">
        <v>43787</v>
      </c>
      <c r="I3" s="46">
        <v>40083</v>
      </c>
      <c r="J3" s="46">
        <v>37914</v>
      </c>
      <c r="K3" s="299">
        <v>0</v>
      </c>
      <c r="L3" s="74">
        <f>J3-K3</f>
        <v>37914</v>
      </c>
      <c r="M3" s="78" t="s">
        <v>166</v>
      </c>
      <c r="O3" s="288" t="e">
        <f>MATCH(B3,' ,69,42-02-68,42-02-22 ספרות '!$A$6:$A$67,0)</f>
        <v>#N/A</v>
      </c>
      <c r="P3" s="288" t="e">
        <f>MATCH(B3,' ,69,42-02-68,42-02-22 ספרות '!$A$69:$A$88,0)</f>
        <v>#N/A</v>
      </c>
    </row>
    <row r="4" spans="1:93" s="62" customFormat="1" ht="45.75" customHeight="1" x14ac:dyDescent="0.2">
      <c r="A4" s="51" t="s">
        <v>1314</v>
      </c>
      <c r="B4" s="389">
        <v>580323764</v>
      </c>
      <c r="C4" s="54">
        <v>1000545446</v>
      </c>
      <c r="D4" s="48">
        <v>40016974</v>
      </c>
      <c r="E4" s="46">
        <v>0</v>
      </c>
      <c r="F4" s="119">
        <v>9000</v>
      </c>
      <c r="G4" s="119">
        <v>15057</v>
      </c>
      <c r="H4" s="46">
        <v>15638</v>
      </c>
      <c r="I4" s="46">
        <v>18037</v>
      </c>
      <c r="J4" s="46">
        <v>16249</v>
      </c>
      <c r="K4" s="299">
        <v>0</v>
      </c>
      <c r="L4" s="74">
        <f>J4-K4</f>
        <v>16249</v>
      </c>
      <c r="M4" s="78" t="s">
        <v>166</v>
      </c>
      <c r="O4" s="288" t="e">
        <f>MATCH(B4,' ,69,42-02-68,42-02-22 ספרות '!$A$6:$A$67,0)</f>
        <v>#N/A</v>
      </c>
      <c r="P4" s="288" t="e">
        <f>MATCH(B4,' ,69,42-02-68,42-02-22 ספרות '!$A$69:$A$88,0)</f>
        <v>#N/A</v>
      </c>
    </row>
    <row r="5" spans="1:93" s="62" customFormat="1" ht="51" customHeight="1" x14ac:dyDescent="0.2">
      <c r="A5" s="55" t="s">
        <v>1315</v>
      </c>
      <c r="B5" s="50">
        <v>580030260</v>
      </c>
      <c r="C5" s="60">
        <v>1000536571</v>
      </c>
      <c r="D5" s="96">
        <v>40000083</v>
      </c>
      <c r="E5" s="46">
        <v>1091557</v>
      </c>
      <c r="F5" s="119">
        <v>700000</v>
      </c>
      <c r="G5" s="119">
        <v>1100000</v>
      </c>
      <c r="H5" s="46">
        <v>1119005</v>
      </c>
      <c r="I5" s="46">
        <v>1018750</v>
      </c>
      <c r="J5" s="46">
        <v>1100000</v>
      </c>
      <c r="K5" s="46">
        <v>898150</v>
      </c>
      <c r="L5" s="74">
        <f>J5-K5</f>
        <v>201850</v>
      </c>
      <c r="M5" s="73" t="s">
        <v>1316</v>
      </c>
      <c r="O5" s="288">
        <f>MATCH(B5,' ,69,42-02-68,42-02-22 ספרות '!$A$6:$A$67,0)</f>
        <v>1</v>
      </c>
      <c r="P5" s="288" t="e">
        <f>MATCH(B5,' ,69,42-02-68,42-02-22 ספרות '!$A$69:$A$88,0)</f>
        <v>#N/A</v>
      </c>
    </row>
    <row r="6" spans="1:93" s="62" customFormat="1" ht="51" customHeight="1" x14ac:dyDescent="0.2">
      <c r="A6" s="51" t="s">
        <v>1317</v>
      </c>
      <c r="B6" s="50">
        <v>580537041</v>
      </c>
      <c r="C6" s="49">
        <v>1000539203</v>
      </c>
      <c r="D6" s="96">
        <v>40989613</v>
      </c>
      <c r="E6" s="46"/>
      <c r="F6" s="119"/>
      <c r="G6" s="119"/>
      <c r="H6" s="46"/>
      <c r="I6" s="46">
        <v>40083</v>
      </c>
      <c r="J6" s="46">
        <v>37914</v>
      </c>
      <c r="K6" s="299">
        <v>37914</v>
      </c>
      <c r="L6" s="46">
        <f t="shared" ref="L6:L17" si="0">J6-K6</f>
        <v>0</v>
      </c>
      <c r="M6" s="472"/>
      <c r="O6" s="288">
        <f>MATCH(B6,' ,69,42-02-68,42-02-22 ספרות '!$A$6:$A$67,0)</f>
        <v>30</v>
      </c>
      <c r="P6" s="288" t="e">
        <f>MATCH(B6,' ,69,42-02-68,42-02-22 ספרות '!$A$69:$A$88,0)</f>
        <v>#N/A</v>
      </c>
    </row>
    <row r="7" spans="1:93" s="62" customFormat="1" ht="64.5" customHeight="1" x14ac:dyDescent="0.2">
      <c r="A7" s="51" t="s">
        <v>1318</v>
      </c>
      <c r="B7" s="182">
        <v>580411924</v>
      </c>
      <c r="C7" s="49">
        <v>1000545328</v>
      </c>
      <c r="D7" s="48">
        <v>40216111</v>
      </c>
      <c r="E7" s="46">
        <v>10000</v>
      </c>
      <c r="F7" s="119">
        <v>15874</v>
      </c>
      <c r="G7" s="119">
        <v>20000</v>
      </c>
      <c r="H7" s="46">
        <v>20000</v>
      </c>
      <c r="I7" s="46">
        <v>20000</v>
      </c>
      <c r="J7" s="46">
        <v>24000</v>
      </c>
      <c r="K7" s="299">
        <v>24000</v>
      </c>
      <c r="L7" s="46">
        <f t="shared" si="0"/>
        <v>0</v>
      </c>
      <c r="M7" s="75"/>
      <c r="O7" s="288">
        <f>MATCH(B7,' ,69,42-02-68,42-02-22 ספרות '!$A$6:$A$67,0)</f>
        <v>24</v>
      </c>
      <c r="P7" s="288" t="e">
        <f>MATCH(B7,' ,69,42-02-68,42-02-22 ספרות '!$A$69:$A$88,0)</f>
        <v>#N/A</v>
      </c>
    </row>
    <row r="8" spans="1:93" s="62" customFormat="1" ht="51" customHeight="1" x14ac:dyDescent="0.2">
      <c r="A8" s="51" t="s">
        <v>1319</v>
      </c>
      <c r="B8" s="182">
        <v>580073575</v>
      </c>
      <c r="C8" s="60">
        <v>1000531136</v>
      </c>
      <c r="D8" s="48">
        <v>40000429</v>
      </c>
      <c r="E8" s="46">
        <v>147000</v>
      </c>
      <c r="F8" s="119">
        <v>114500</v>
      </c>
      <c r="G8" s="119">
        <v>108435</v>
      </c>
      <c r="H8" s="46">
        <v>131361</v>
      </c>
      <c r="I8" s="47">
        <v>115982</v>
      </c>
      <c r="J8" s="46">
        <v>113743</v>
      </c>
      <c r="K8" s="46">
        <v>113743</v>
      </c>
      <c r="L8" s="46">
        <f t="shared" si="0"/>
        <v>0</v>
      </c>
      <c r="M8" s="52"/>
      <c r="O8" s="288">
        <f>MATCH(B8,' ,69,42-02-68,42-02-22 ספרות '!$A$6:$A$67,0)</f>
        <v>3</v>
      </c>
      <c r="P8" s="288" t="e">
        <f>MATCH(B8,' ,69,42-02-68,42-02-22 ספרות '!$A$69:$A$88,0)</f>
        <v>#N/A</v>
      </c>
    </row>
    <row r="9" spans="1:93" s="62" customFormat="1" ht="51" customHeight="1" x14ac:dyDescent="0.2">
      <c r="A9" s="51" t="s">
        <v>1320</v>
      </c>
      <c r="B9" s="182">
        <v>580103026</v>
      </c>
      <c r="C9" s="49">
        <v>1000542968</v>
      </c>
      <c r="D9" s="48">
        <v>40000134</v>
      </c>
      <c r="E9" s="46"/>
      <c r="F9" s="119"/>
      <c r="G9" s="119"/>
      <c r="H9" s="46"/>
      <c r="I9" s="46">
        <v>47039</v>
      </c>
      <c r="J9" s="46">
        <v>37914</v>
      </c>
      <c r="K9" s="46">
        <v>37914</v>
      </c>
      <c r="L9" s="46">
        <f t="shared" si="0"/>
        <v>0</v>
      </c>
      <c r="M9" s="315"/>
      <c r="O9" s="288">
        <f>MATCH(B9,' ,69,42-02-68,42-02-22 ספרות '!$A$6:$A$67,0)</f>
        <v>12</v>
      </c>
      <c r="P9" s="288" t="e">
        <f>MATCH(B9,' ,69,42-02-68,42-02-22 ספרות '!$A$69:$A$88,0)</f>
        <v>#N/A</v>
      </c>
    </row>
    <row r="10" spans="1:93" s="62" customFormat="1" ht="51" customHeight="1" x14ac:dyDescent="0.2">
      <c r="A10" s="55" t="s">
        <v>1321</v>
      </c>
      <c r="B10" s="50">
        <v>580052421</v>
      </c>
      <c r="C10" s="60">
        <v>1000540527</v>
      </c>
      <c r="D10" s="48">
        <v>40000404</v>
      </c>
      <c r="E10" s="46">
        <v>60738</v>
      </c>
      <c r="F10" s="119">
        <v>51687</v>
      </c>
      <c r="G10" s="119">
        <v>52216</v>
      </c>
      <c r="H10" s="46">
        <v>65680</v>
      </c>
      <c r="I10" s="46">
        <v>60124</v>
      </c>
      <c r="J10" s="46">
        <v>46429</v>
      </c>
      <c r="K10" s="46">
        <v>46429</v>
      </c>
      <c r="L10" s="46">
        <f t="shared" si="0"/>
        <v>0</v>
      </c>
      <c r="M10" s="79"/>
      <c r="O10" s="288">
        <f>MATCH(B10,' ,69,42-02-68,42-02-22 ספרות '!$A$6:$A$67,0)</f>
        <v>34</v>
      </c>
      <c r="P10" s="288" t="e">
        <f>MATCH(B10,' ,69,42-02-68,42-02-22 ספרות '!$A$69:$A$88,0)</f>
        <v>#N/A</v>
      </c>
    </row>
    <row r="11" spans="1:93" s="44" customFormat="1" ht="64.5" customHeight="1" x14ac:dyDescent="0.2">
      <c r="A11" s="55" t="s">
        <v>1322</v>
      </c>
      <c r="B11" s="50">
        <v>580418184</v>
      </c>
      <c r="C11" s="49">
        <v>1000546313</v>
      </c>
      <c r="D11" s="48">
        <v>40272027</v>
      </c>
      <c r="E11" s="46">
        <v>30400</v>
      </c>
      <c r="F11" s="119">
        <v>28638</v>
      </c>
      <c r="G11" s="119">
        <v>30000</v>
      </c>
      <c r="H11" s="46">
        <v>30000</v>
      </c>
      <c r="I11" s="46">
        <v>30000</v>
      </c>
      <c r="J11" s="46">
        <v>35000</v>
      </c>
      <c r="K11" s="299">
        <v>35000</v>
      </c>
      <c r="L11" s="46">
        <f t="shared" si="0"/>
        <v>0</v>
      </c>
      <c r="M11" s="493"/>
      <c r="O11" s="288" t="e">
        <f>MATCH(B11,' ,69,42-02-68,42-02-22 ספרות '!$A$6:$A$67,0)</f>
        <v>#N/A</v>
      </c>
      <c r="P11" s="288" t="e">
        <f>MATCH(B11,' ,69,42-02-68,42-02-22 ספרות '!$A$69:$A$88,0)</f>
        <v>#N/A</v>
      </c>
    </row>
    <row r="12" spans="1:93" s="62" customFormat="1" ht="39" customHeight="1" x14ac:dyDescent="0.2">
      <c r="A12" s="487" t="s">
        <v>1323</v>
      </c>
      <c r="B12" s="318">
        <v>580446326</v>
      </c>
      <c r="C12" s="494">
        <v>1000546270</v>
      </c>
      <c r="D12" s="319">
        <v>40327211</v>
      </c>
      <c r="E12" s="46">
        <v>0</v>
      </c>
      <c r="F12" s="46">
        <v>14300</v>
      </c>
      <c r="G12" s="119">
        <v>39000</v>
      </c>
      <c r="H12" s="46">
        <v>43787</v>
      </c>
      <c r="I12" s="46">
        <v>40083</v>
      </c>
      <c r="J12" s="46">
        <v>37914</v>
      </c>
      <c r="K12" s="299">
        <v>37914</v>
      </c>
      <c r="L12" s="46">
        <f t="shared" si="0"/>
        <v>0</v>
      </c>
      <c r="M12" s="92"/>
      <c r="N12" s="44"/>
      <c r="O12" s="288" t="e">
        <f>MATCH(B12,' ,69,42-02-68,42-02-22 ספרות '!$A$6:$A$67,0)</f>
        <v>#N/A</v>
      </c>
      <c r="P12" s="288" t="e">
        <f>MATCH(B12,' ,69,42-02-68,42-02-22 ספרות '!$A$69:$A$88,0)</f>
        <v>#N/A</v>
      </c>
      <c r="Q12" s="44"/>
      <c r="R12" s="44"/>
      <c r="S12" s="44"/>
      <c r="T12" s="44"/>
      <c r="U12" s="44"/>
      <c r="V12" s="44"/>
    </row>
    <row r="13" spans="1:93" s="316" customFormat="1" ht="43.5" customHeight="1" x14ac:dyDescent="0.2">
      <c r="A13" s="51" t="s">
        <v>1324</v>
      </c>
      <c r="B13" s="182">
        <v>580353597</v>
      </c>
      <c r="C13" s="60">
        <v>1000552515</v>
      </c>
      <c r="D13" s="48">
        <v>40216071</v>
      </c>
      <c r="E13" s="46">
        <v>63000</v>
      </c>
      <c r="F13" s="119">
        <v>66000</v>
      </c>
      <c r="G13" s="119">
        <v>63238</v>
      </c>
      <c r="H13" s="46">
        <v>65680</v>
      </c>
      <c r="I13" s="46">
        <v>60124</v>
      </c>
      <c r="J13" s="46">
        <v>56872</v>
      </c>
      <c r="K13" s="46">
        <v>56872</v>
      </c>
      <c r="L13" s="46">
        <f t="shared" si="0"/>
        <v>0</v>
      </c>
      <c r="M13" s="75"/>
      <c r="O13" s="288">
        <f>MATCH(B13,' ,69,42-02-68,42-02-22 ספרות '!$A$6:$A$67,0)</f>
        <v>23</v>
      </c>
      <c r="P13" s="288" t="e">
        <f>MATCH(B13,' ,69,42-02-68,42-02-22 ספרות '!$A$69:$A$88,0)</f>
        <v>#N/A</v>
      </c>
    </row>
    <row r="14" spans="1:93" s="62" customFormat="1" ht="51" customHeight="1" x14ac:dyDescent="0.2">
      <c r="A14" s="51" t="s">
        <v>1325</v>
      </c>
      <c r="B14" s="50">
        <v>580158830</v>
      </c>
      <c r="C14" s="60">
        <v>1000531650</v>
      </c>
      <c r="D14" s="48">
        <v>40000516</v>
      </c>
      <c r="E14" s="46">
        <v>84000</v>
      </c>
      <c r="F14" s="46">
        <v>88000</v>
      </c>
      <c r="G14" s="119">
        <v>84317</v>
      </c>
      <c r="H14" s="46">
        <v>87574</v>
      </c>
      <c r="I14" s="46">
        <v>80166</v>
      </c>
      <c r="J14" s="46">
        <v>70277</v>
      </c>
      <c r="K14" s="46">
        <v>70277</v>
      </c>
      <c r="L14" s="46">
        <f>J14-K14</f>
        <v>0</v>
      </c>
      <c r="M14" s="71"/>
      <c r="O14" s="288">
        <f>MATCH(B14,' ,69,42-02-68,42-02-22 ספרות '!$A$6:$A$67,0)</f>
        <v>9</v>
      </c>
      <c r="P14" s="288" t="e">
        <f>MATCH(B14,' ,69,42-02-68,42-02-22 ספרות '!$A$69:$A$88,0)</f>
        <v>#N/A</v>
      </c>
    </row>
    <row r="15" spans="1:93" s="62" customFormat="1" ht="51" customHeight="1" x14ac:dyDescent="0.2">
      <c r="A15" s="51" t="s">
        <v>1326</v>
      </c>
      <c r="B15" s="50">
        <v>580013860</v>
      </c>
      <c r="C15" s="60">
        <v>1000545441</v>
      </c>
      <c r="D15" s="96">
        <v>40000335</v>
      </c>
      <c r="E15" s="46">
        <v>54000</v>
      </c>
      <c r="F15" s="119">
        <v>90000</v>
      </c>
      <c r="G15" s="119">
        <v>126475</v>
      </c>
      <c r="H15" s="46">
        <v>125000</v>
      </c>
      <c r="I15" s="46">
        <v>120249</v>
      </c>
      <c r="J15" s="46">
        <v>113743</v>
      </c>
      <c r="K15" s="46">
        <v>113743</v>
      </c>
      <c r="L15" s="46">
        <f>J15-K15</f>
        <v>0</v>
      </c>
      <c r="M15" s="92"/>
      <c r="N15" s="44"/>
      <c r="O15" s="288">
        <f>MATCH(B15,' ,69,42-02-68,42-02-22 ספרות '!$A$6:$A$67,0)</f>
        <v>14</v>
      </c>
      <c r="P15" s="288" t="e">
        <f>MATCH(B15,' ,69,42-02-68,42-02-22 ספרות '!$A$69:$A$88,0)</f>
        <v>#N/A</v>
      </c>
      <c r="Q15" s="44"/>
      <c r="R15" s="44"/>
      <c r="S15" s="44"/>
      <c r="T15" s="44"/>
      <c r="U15" s="44"/>
      <c r="V15" s="44"/>
      <c r="W15" s="44"/>
      <c r="X15" s="44"/>
      <c r="Y15" s="44"/>
    </row>
    <row r="16" spans="1:93" s="44" customFormat="1" ht="51" customHeight="1" x14ac:dyDescent="0.2">
      <c r="A16" s="51" t="s">
        <v>1327</v>
      </c>
      <c r="B16" s="182">
        <v>580170801</v>
      </c>
      <c r="C16" s="60">
        <v>1000551110</v>
      </c>
      <c r="D16" s="48">
        <v>40000164</v>
      </c>
      <c r="E16" s="46">
        <v>105000</v>
      </c>
      <c r="F16" s="119">
        <v>110000</v>
      </c>
      <c r="G16" s="119">
        <v>105396</v>
      </c>
      <c r="H16" s="46">
        <v>109467</v>
      </c>
      <c r="I16" s="46">
        <v>100207</v>
      </c>
      <c r="J16" s="46">
        <v>94786</v>
      </c>
      <c r="K16" s="46">
        <v>94786</v>
      </c>
      <c r="L16" s="46">
        <f>J16-K16</f>
        <v>0</v>
      </c>
      <c r="M16" s="52"/>
      <c r="O16" s="288">
        <f>MATCH(B16,' ,69,42-02-68,42-02-22 ספרות '!$A$6:$A$67,0)</f>
        <v>6</v>
      </c>
      <c r="P16" s="288" t="e">
        <f>MATCH(B16,' ,69,42-02-68,42-02-22 ספרות '!$A$69:$A$88,0)</f>
        <v>#N/A</v>
      </c>
    </row>
    <row r="17" spans="1:206" s="62" customFormat="1" ht="51" customHeight="1" x14ac:dyDescent="0.2">
      <c r="A17" s="51" t="s">
        <v>1328</v>
      </c>
      <c r="B17" s="50">
        <v>580265304</v>
      </c>
      <c r="C17" s="49">
        <v>1000546239</v>
      </c>
      <c r="D17" s="48">
        <v>40000635</v>
      </c>
      <c r="E17" s="46">
        <v>32500</v>
      </c>
      <c r="F17" s="46">
        <v>26000</v>
      </c>
      <c r="G17" s="119">
        <v>21360</v>
      </c>
      <c r="H17" s="46">
        <v>35000</v>
      </c>
      <c r="I17" s="46">
        <v>31462</v>
      </c>
      <c r="J17" s="46">
        <v>35202</v>
      </c>
      <c r="K17" s="299">
        <v>35202</v>
      </c>
      <c r="L17" s="46">
        <f t="shared" si="0"/>
        <v>0</v>
      </c>
      <c r="M17" s="75"/>
      <c r="O17" s="288">
        <f>MATCH(B17,' ,69,42-02-68,42-02-22 ספרות '!$A$6:$A$67,0)</f>
        <v>8</v>
      </c>
      <c r="P17" s="288" t="e">
        <f>MATCH(B17,' ,69,42-02-68,42-02-22 ספרות '!$A$69:$A$88,0)</f>
        <v>#N/A</v>
      </c>
    </row>
    <row r="18" spans="1:206" s="44" customFormat="1" ht="33.75" customHeight="1" x14ac:dyDescent="0.2">
      <c r="A18" s="51" t="s">
        <v>1329</v>
      </c>
      <c r="B18" s="182">
        <v>580268811</v>
      </c>
      <c r="C18" s="60">
        <v>1000545599</v>
      </c>
      <c r="D18" s="48">
        <v>40000639</v>
      </c>
      <c r="E18" s="46">
        <v>42000</v>
      </c>
      <c r="F18" s="119">
        <v>42000</v>
      </c>
      <c r="G18" s="119">
        <v>42158</v>
      </c>
      <c r="H18" s="46">
        <v>65680</v>
      </c>
      <c r="I18" s="46">
        <v>60124</v>
      </c>
      <c r="J18" s="46">
        <v>56872</v>
      </c>
      <c r="K18" s="46">
        <v>56872</v>
      </c>
      <c r="L18" s="46">
        <f>J18-K18</f>
        <v>0</v>
      </c>
      <c r="M18" s="52"/>
      <c r="O18" s="288">
        <f>MATCH(B18,' ,69,42-02-68,42-02-22 ספרות '!$A$6:$A$67,0)</f>
        <v>16</v>
      </c>
      <c r="P18" s="288" t="e">
        <f>MATCH(B18,' ,69,42-02-68,42-02-22 ספרות '!$A$69:$A$88,0)</f>
        <v>#N/A</v>
      </c>
    </row>
    <row r="19" spans="1:206" s="62" customFormat="1" ht="36" customHeight="1" x14ac:dyDescent="0.2">
      <c r="A19" s="51" t="s">
        <v>1330</v>
      </c>
      <c r="B19" s="182">
        <v>580268811</v>
      </c>
      <c r="C19" s="54">
        <v>1000545655</v>
      </c>
      <c r="D19" s="48">
        <v>40000639</v>
      </c>
      <c r="E19" s="46">
        <v>63000</v>
      </c>
      <c r="F19" s="119">
        <v>63000</v>
      </c>
      <c r="G19" s="119">
        <v>63238</v>
      </c>
      <c r="H19" s="46">
        <v>21552</v>
      </c>
      <c r="I19" s="47">
        <v>31877</v>
      </c>
      <c r="J19" s="46">
        <v>37914</v>
      </c>
      <c r="K19" s="299">
        <v>37914</v>
      </c>
      <c r="L19" s="46">
        <f>J19-K19</f>
        <v>0</v>
      </c>
      <c r="M19" s="52"/>
      <c r="O19" s="288">
        <f>MATCH(B19,' ,69,42-02-68,42-02-22 ספרות '!$A$6:$A$67,0)</f>
        <v>16</v>
      </c>
      <c r="P19" s="288" t="e">
        <f>MATCH(B19,' ,69,42-02-68,42-02-22 ספרות '!$A$69:$A$88,0)</f>
        <v>#N/A</v>
      </c>
    </row>
    <row r="20" spans="1:206" s="62" customFormat="1" ht="51" customHeight="1" x14ac:dyDescent="0.2">
      <c r="A20" s="51" t="s">
        <v>1331</v>
      </c>
      <c r="B20" s="182">
        <v>580299618</v>
      </c>
      <c r="C20" s="49">
        <v>1000536364</v>
      </c>
      <c r="D20" s="48">
        <v>40000660</v>
      </c>
      <c r="E20" s="46">
        <v>42000</v>
      </c>
      <c r="F20" s="46">
        <v>44000</v>
      </c>
      <c r="G20" s="119">
        <v>42158</v>
      </c>
      <c r="H20" s="46">
        <v>43787</v>
      </c>
      <c r="I20" s="46">
        <v>40083</v>
      </c>
      <c r="J20" s="46">
        <v>37914</v>
      </c>
      <c r="K20" s="299">
        <v>37914</v>
      </c>
      <c r="L20" s="46">
        <f t="shared" ref="L20:L65" si="1">J20-K20</f>
        <v>0</v>
      </c>
      <c r="M20" s="75"/>
      <c r="N20" s="44"/>
      <c r="O20" s="288">
        <f>MATCH(B20,' ,69,42-02-68,42-02-22 ספרות '!$A$6:$A$67,0)</f>
        <v>17</v>
      </c>
      <c r="P20" s="288" t="e">
        <f>MATCH(B20,' ,69,42-02-68,42-02-22 ספרות '!$A$69:$A$88,0)</f>
        <v>#N/A</v>
      </c>
      <c r="Q20" s="44"/>
      <c r="R20" s="44"/>
      <c r="S20" s="44"/>
      <c r="T20" s="44"/>
      <c r="U20" s="44"/>
      <c r="V20" s="44"/>
    </row>
    <row r="21" spans="1:206" s="62" customFormat="1" ht="42" customHeight="1" x14ac:dyDescent="0.2">
      <c r="A21" s="51" t="s">
        <v>1332</v>
      </c>
      <c r="B21" s="126">
        <v>580266104</v>
      </c>
      <c r="C21" s="60">
        <v>1000549905</v>
      </c>
      <c r="D21" s="132">
        <v>40000637</v>
      </c>
      <c r="E21" s="46">
        <v>63000</v>
      </c>
      <c r="F21" s="119">
        <v>66000</v>
      </c>
      <c r="G21" s="119">
        <v>63238</v>
      </c>
      <c r="H21" s="46">
        <v>65680</v>
      </c>
      <c r="I21" s="46">
        <v>60124</v>
      </c>
      <c r="J21" s="46">
        <v>37914</v>
      </c>
      <c r="K21" s="46">
        <v>37914</v>
      </c>
      <c r="L21" s="46">
        <f t="shared" si="1"/>
        <v>0</v>
      </c>
      <c r="M21" s="52"/>
      <c r="O21" s="288">
        <f>MATCH(B21,' ,69,42-02-68,42-02-22 ספרות '!$A$6:$A$67,0)</f>
        <v>18</v>
      </c>
      <c r="P21" s="288" t="e">
        <f>MATCH(B21,' ,69,42-02-68,42-02-22 ספרות '!$A$69:$A$88,0)</f>
        <v>#N/A</v>
      </c>
    </row>
    <row r="22" spans="1:206" s="62" customFormat="1" ht="51" customHeight="1" x14ac:dyDescent="0.2">
      <c r="A22" s="51" t="s">
        <v>1333</v>
      </c>
      <c r="B22" s="50">
        <v>580076842</v>
      </c>
      <c r="C22" s="49">
        <v>1000543919</v>
      </c>
      <c r="D22" s="96">
        <v>40000437</v>
      </c>
      <c r="E22" s="46">
        <v>42000</v>
      </c>
      <c r="F22" s="119">
        <v>44000</v>
      </c>
      <c r="G22" s="119">
        <v>42158</v>
      </c>
      <c r="H22" s="46">
        <v>43787</v>
      </c>
      <c r="I22" s="46">
        <v>40083</v>
      </c>
      <c r="J22" s="46">
        <v>37914</v>
      </c>
      <c r="K22" s="299">
        <v>37914</v>
      </c>
      <c r="L22" s="46">
        <f t="shared" si="1"/>
        <v>0</v>
      </c>
      <c r="M22" s="472"/>
      <c r="O22" s="288">
        <f>MATCH(B22,' ,69,42-02-68,42-02-22 ספרות '!$A$6:$A$67,0)</f>
        <v>19</v>
      </c>
      <c r="P22" s="288" t="e">
        <f>MATCH(B22,' ,69,42-02-68,42-02-22 ספרות '!$A$69:$A$88,0)</f>
        <v>#N/A</v>
      </c>
    </row>
    <row r="23" spans="1:206" s="62" customFormat="1" ht="51" customHeight="1" x14ac:dyDescent="0.2">
      <c r="A23" s="55" t="s">
        <v>1334</v>
      </c>
      <c r="B23" s="50">
        <v>580030260</v>
      </c>
      <c r="C23" s="60">
        <v>1000536485</v>
      </c>
      <c r="D23" s="96">
        <v>40000083</v>
      </c>
      <c r="E23" s="46">
        <v>3519975</v>
      </c>
      <c r="F23" s="119">
        <v>5043645</v>
      </c>
      <c r="G23" s="119">
        <v>4882627</v>
      </c>
      <c r="H23" s="46">
        <v>2973183</v>
      </c>
      <c r="I23" s="46">
        <v>3180260</v>
      </c>
      <c r="J23" s="46">
        <v>3454404</v>
      </c>
      <c r="K23" s="46">
        <v>3454404</v>
      </c>
      <c r="L23" s="46">
        <f t="shared" si="1"/>
        <v>0</v>
      </c>
      <c r="M23" s="92"/>
      <c r="O23" s="288">
        <f>MATCH(B23,' ,69,42-02-68,42-02-22 ספרות '!$A$6:$A$67,0)</f>
        <v>1</v>
      </c>
      <c r="P23" s="288" t="e">
        <f>MATCH(B23,' ,69,42-02-68,42-02-22 ספרות '!$A$69:$A$88,0)</f>
        <v>#N/A</v>
      </c>
    </row>
    <row r="24" spans="1:206" s="62" customFormat="1" ht="51" customHeight="1" x14ac:dyDescent="0.2">
      <c r="A24" s="51" t="s">
        <v>1271</v>
      </c>
      <c r="B24" s="182">
        <v>580039329</v>
      </c>
      <c r="C24" s="60">
        <v>1000536158</v>
      </c>
      <c r="D24" s="48">
        <v>40000100</v>
      </c>
      <c r="E24" s="119">
        <v>356546</v>
      </c>
      <c r="F24" s="46">
        <v>432570</v>
      </c>
      <c r="G24" s="119">
        <v>514434</v>
      </c>
      <c r="H24" s="46">
        <v>625528</v>
      </c>
      <c r="I24" s="46">
        <v>579591</v>
      </c>
      <c r="J24" s="46">
        <v>550795</v>
      </c>
      <c r="K24" s="46">
        <v>550795</v>
      </c>
      <c r="L24" s="46">
        <f t="shared" si="1"/>
        <v>0</v>
      </c>
      <c r="M24" s="52"/>
      <c r="N24" s="121"/>
      <c r="O24" s="288">
        <f>MATCH(B24,' ,69,42-02-68,42-02-22 ספרות '!$A$6:$A$67,0)</f>
        <v>11</v>
      </c>
      <c r="P24" s="288" t="e">
        <f>MATCH(B24,' ,69,42-02-68,42-02-22 ספרות '!$A$69:$A$88,0)</f>
        <v>#N/A</v>
      </c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</row>
    <row r="25" spans="1:206" s="62" customFormat="1" ht="51" customHeight="1" x14ac:dyDescent="0.2">
      <c r="A25" s="51" t="s">
        <v>1335</v>
      </c>
      <c r="B25" s="182">
        <v>580170801</v>
      </c>
      <c r="C25" s="60">
        <v>1000551057</v>
      </c>
      <c r="D25" s="48">
        <v>40000164</v>
      </c>
      <c r="E25" s="46">
        <v>416770</v>
      </c>
      <c r="F25" s="119">
        <v>447567</v>
      </c>
      <c r="G25" s="119">
        <v>411547</v>
      </c>
      <c r="H25" s="46">
        <v>426916</v>
      </c>
      <c r="I25" s="46">
        <v>400829</v>
      </c>
      <c r="J25" s="46">
        <v>367197</v>
      </c>
      <c r="K25" s="46">
        <v>367197</v>
      </c>
      <c r="L25" s="46">
        <f t="shared" si="1"/>
        <v>0</v>
      </c>
      <c r="M25" s="52"/>
      <c r="O25" s="288">
        <f>MATCH(B25,' ,69,42-02-68,42-02-22 ספרות '!$A$6:$A$67,0)</f>
        <v>6</v>
      </c>
      <c r="P25" s="288" t="e">
        <f>MATCH(B25,' ,69,42-02-68,42-02-22 ספרות '!$A$69:$A$88,0)</f>
        <v>#N/A</v>
      </c>
    </row>
    <row r="26" spans="1:206" s="62" customFormat="1" ht="51" customHeight="1" x14ac:dyDescent="0.2">
      <c r="A26" s="51" t="s">
        <v>1336</v>
      </c>
      <c r="B26" s="50">
        <v>580013860</v>
      </c>
      <c r="C26" s="60">
        <v>1000545442</v>
      </c>
      <c r="D26" s="96">
        <v>40000335</v>
      </c>
      <c r="E26" s="46">
        <v>139500</v>
      </c>
      <c r="F26" s="46">
        <v>325503</v>
      </c>
      <c r="G26" s="119">
        <v>301132</v>
      </c>
      <c r="H26" s="46">
        <v>312764</v>
      </c>
      <c r="I26" s="46">
        <v>300622</v>
      </c>
      <c r="J26" s="46">
        <v>275397</v>
      </c>
      <c r="K26" s="46">
        <v>275397</v>
      </c>
      <c r="L26" s="46">
        <f t="shared" si="1"/>
        <v>0</v>
      </c>
      <c r="M26" s="92"/>
      <c r="N26" s="44"/>
      <c r="O26" s="288">
        <f>MATCH(B26,' ,69,42-02-68,42-02-22 ספרות '!$A$6:$A$67,0)</f>
        <v>14</v>
      </c>
      <c r="P26" s="288" t="e">
        <f>MATCH(B26,' ,69,42-02-68,42-02-22 ספרות '!$A$69:$A$88,0)</f>
        <v>#N/A</v>
      </c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spans="1:206" s="62" customFormat="1" ht="51" customHeight="1" x14ac:dyDescent="0.2">
      <c r="A27" s="51" t="s">
        <v>1337</v>
      </c>
      <c r="B27" s="50">
        <v>580100212</v>
      </c>
      <c r="C27" s="60">
        <v>1000536218</v>
      </c>
      <c r="D27" s="96">
        <v>40000459</v>
      </c>
      <c r="E27" s="46">
        <v>1354502</v>
      </c>
      <c r="F27" s="119">
        <v>1150000</v>
      </c>
      <c r="G27" s="119">
        <v>1150000</v>
      </c>
      <c r="H27" s="46">
        <v>1198929</v>
      </c>
      <c r="I27" s="46">
        <v>1148929</v>
      </c>
      <c r="J27" s="46">
        <v>1054818</v>
      </c>
      <c r="K27" s="46">
        <v>1054818</v>
      </c>
      <c r="L27" s="46">
        <f t="shared" si="1"/>
        <v>0</v>
      </c>
      <c r="M27" s="79"/>
      <c r="O27" s="288">
        <f>MATCH(B27,' ,69,42-02-68,42-02-22 ספרות '!$A$6:$A$67,0)</f>
        <v>2</v>
      </c>
      <c r="P27" s="288" t="e">
        <f>MATCH(B27,' ,69,42-02-68,42-02-22 ספרות '!$A$69:$A$88,0)</f>
        <v>#N/A</v>
      </c>
    </row>
    <row r="28" spans="1:206" s="62" customFormat="1" ht="35.25" customHeight="1" x14ac:dyDescent="0.2">
      <c r="A28" s="51" t="s">
        <v>1338</v>
      </c>
      <c r="B28" s="182">
        <v>580268811</v>
      </c>
      <c r="C28" s="60">
        <v>1000544457</v>
      </c>
      <c r="D28" s="48">
        <v>40000639</v>
      </c>
      <c r="E28" s="46">
        <v>218804</v>
      </c>
      <c r="F28" s="119">
        <v>217002</v>
      </c>
      <c r="G28" s="119">
        <v>300000</v>
      </c>
      <c r="H28" s="46">
        <v>278167</v>
      </c>
      <c r="I28" s="46">
        <v>298167</v>
      </c>
      <c r="J28" s="46">
        <v>275397</v>
      </c>
      <c r="K28" s="46">
        <v>275397</v>
      </c>
      <c r="L28" s="46">
        <f t="shared" si="1"/>
        <v>0</v>
      </c>
      <c r="M28" s="52"/>
      <c r="O28" s="288">
        <f>MATCH(B28,' ,69,42-02-68,42-02-22 ספרות '!$A$6:$A$67,0)</f>
        <v>16</v>
      </c>
      <c r="P28" s="288" t="e">
        <f>MATCH(B28,' ,69,42-02-68,42-02-22 ספרות '!$A$69:$A$88,0)</f>
        <v>#N/A</v>
      </c>
    </row>
    <row r="29" spans="1:206" s="44" customFormat="1" ht="36.75" customHeight="1" x14ac:dyDescent="0.2">
      <c r="A29" s="51" t="s">
        <v>1339</v>
      </c>
      <c r="B29" s="50">
        <v>580396307</v>
      </c>
      <c r="C29" s="49">
        <v>1000544696</v>
      </c>
      <c r="D29" s="48">
        <v>40216100</v>
      </c>
      <c r="E29" s="46">
        <v>0</v>
      </c>
      <c r="F29" s="46">
        <v>0</v>
      </c>
      <c r="G29" s="46">
        <v>0</v>
      </c>
      <c r="H29" s="46">
        <v>12511</v>
      </c>
      <c r="I29" s="46">
        <v>20041</v>
      </c>
      <c r="J29" s="46">
        <v>22568</v>
      </c>
      <c r="K29" s="299">
        <v>22568</v>
      </c>
      <c r="L29" s="46">
        <f t="shared" si="1"/>
        <v>0</v>
      </c>
      <c r="M29" s="92"/>
      <c r="O29" s="288">
        <f>MATCH(B29,' ,69,42-02-68,42-02-22 ספרות '!$A$6:$A$67,0)</f>
        <v>36</v>
      </c>
      <c r="P29" s="288" t="e">
        <f>MATCH(B29,' ,69,42-02-68,42-02-22 ספרות '!$A$69:$A$88,0)</f>
        <v>#N/A</v>
      </c>
    </row>
    <row r="30" spans="1:206" s="62" customFormat="1" ht="39.75" customHeight="1" x14ac:dyDescent="0.2">
      <c r="A30" s="55" t="s">
        <v>1340</v>
      </c>
      <c r="B30" s="182">
        <v>580243590</v>
      </c>
      <c r="C30" s="49">
        <v>1000538347</v>
      </c>
      <c r="D30" s="48">
        <v>40019261</v>
      </c>
      <c r="E30" s="46">
        <v>20000</v>
      </c>
      <c r="F30" s="119">
        <v>24000</v>
      </c>
      <c r="G30" s="119">
        <v>24091</v>
      </c>
      <c r="H30" s="46">
        <v>25021</v>
      </c>
      <c r="I30" s="46">
        <v>30000</v>
      </c>
      <c r="J30" s="46">
        <v>45000</v>
      </c>
      <c r="K30" s="299">
        <v>45000</v>
      </c>
      <c r="L30" s="46">
        <f t="shared" si="1"/>
        <v>0</v>
      </c>
      <c r="M30" s="75"/>
      <c r="N30" s="287"/>
      <c r="O30" s="288">
        <f>MATCH(B30,' ,69,42-02-68,42-02-22 ספרות '!$A$6:$A$67,0)</f>
        <v>25</v>
      </c>
      <c r="P30" s="288" t="e">
        <f>MATCH(B30,' ,69,42-02-68,42-02-22 ספרות '!$A$69:$A$88,0)</f>
        <v>#N/A</v>
      </c>
      <c r="Q30" s="290"/>
      <c r="R30" s="183"/>
      <c r="S30" s="287"/>
      <c r="T30" s="287"/>
      <c r="U30" s="287"/>
      <c r="V30" s="287"/>
      <c r="W30" s="288"/>
      <c r="X30" s="289"/>
      <c r="Y30" s="290"/>
      <c r="Z30" s="183"/>
      <c r="AA30" s="287"/>
      <c r="AB30" s="287"/>
      <c r="AC30" s="287"/>
      <c r="AD30" s="287"/>
      <c r="AE30" s="288"/>
      <c r="AF30" s="289"/>
      <c r="AG30" s="290"/>
      <c r="AH30" s="183"/>
      <c r="AI30" s="287"/>
      <c r="AJ30" s="287"/>
      <c r="AK30" s="287"/>
      <c r="AL30" s="287"/>
      <c r="AM30" s="288"/>
      <c r="AN30" s="289"/>
      <c r="AO30" s="290"/>
      <c r="AP30" s="183"/>
      <c r="AQ30" s="287"/>
      <c r="AR30" s="287"/>
      <c r="AS30" s="287"/>
      <c r="AT30" s="287"/>
      <c r="AU30" s="288"/>
      <c r="AV30" s="289"/>
      <c r="AW30" s="290"/>
      <c r="AX30" s="183"/>
      <c r="AY30" s="287"/>
      <c r="AZ30" s="287"/>
      <c r="BA30" s="287"/>
      <c r="BB30" s="287"/>
      <c r="BC30" s="288"/>
      <c r="BD30" s="289"/>
      <c r="BE30" s="290"/>
      <c r="BF30" s="183"/>
      <c r="BG30" s="287"/>
      <c r="BH30" s="287"/>
      <c r="BI30" s="287"/>
      <c r="BJ30" s="287"/>
      <c r="BK30" s="288"/>
      <c r="BL30" s="289"/>
      <c r="BM30" s="290"/>
      <c r="BN30" s="183"/>
      <c r="BO30" s="287"/>
      <c r="BP30" s="287"/>
      <c r="BQ30" s="287"/>
      <c r="BR30" s="287"/>
      <c r="BS30" s="288"/>
      <c r="BT30" s="289"/>
      <c r="BU30" s="290"/>
      <c r="BV30" s="183"/>
      <c r="BW30" s="287"/>
      <c r="BX30" s="287"/>
      <c r="BY30" s="287"/>
      <c r="BZ30" s="287"/>
      <c r="CA30" s="288"/>
      <c r="CB30" s="289"/>
      <c r="CC30" s="290"/>
      <c r="CD30" s="183"/>
      <c r="CE30" s="287"/>
      <c r="CF30" s="287"/>
      <c r="CG30" s="287"/>
      <c r="CH30" s="287"/>
      <c r="CI30" s="288"/>
      <c r="CJ30" s="289"/>
      <c r="CK30" s="290"/>
      <c r="CL30" s="183"/>
      <c r="CM30" s="287"/>
      <c r="CN30" s="287"/>
      <c r="CO30" s="287"/>
      <c r="CP30" s="287"/>
      <c r="CQ30" s="288"/>
      <c r="CR30" s="289"/>
      <c r="CS30" s="290"/>
      <c r="CT30" s="183"/>
      <c r="CU30" s="287"/>
      <c r="CV30" s="287"/>
      <c r="CW30" s="287"/>
      <c r="CX30" s="287"/>
      <c r="CY30" s="288"/>
      <c r="CZ30" s="289"/>
      <c r="DA30" s="290"/>
      <c r="DB30" s="183"/>
      <c r="DC30" s="287"/>
      <c r="DD30" s="287"/>
      <c r="DE30" s="287"/>
      <c r="DF30" s="287"/>
      <c r="DG30" s="288"/>
      <c r="DH30" s="289"/>
      <c r="DI30" s="290"/>
      <c r="DJ30" s="183"/>
      <c r="DK30" s="287"/>
      <c r="DL30" s="287"/>
      <c r="DM30" s="287"/>
      <c r="DN30" s="287"/>
      <c r="DO30" s="288"/>
      <c r="DP30" s="289"/>
      <c r="DQ30" s="290"/>
      <c r="DR30" s="183"/>
      <c r="DS30" s="287"/>
      <c r="DT30" s="287"/>
      <c r="DU30" s="287"/>
      <c r="DV30" s="287"/>
      <c r="DW30" s="288"/>
      <c r="DX30" s="289"/>
      <c r="DY30" s="290"/>
      <c r="DZ30" s="183"/>
      <c r="EA30" s="287"/>
      <c r="EB30" s="287"/>
      <c r="EC30" s="287"/>
      <c r="ED30" s="287"/>
      <c r="EE30" s="288"/>
      <c r="EF30" s="289"/>
      <c r="EG30" s="290"/>
      <c r="EH30" s="183"/>
      <c r="EI30" s="287"/>
      <c r="EJ30" s="287"/>
      <c r="EK30" s="287"/>
      <c r="EL30" s="287"/>
      <c r="EM30" s="288"/>
      <c r="EN30" s="289"/>
      <c r="EO30" s="290"/>
      <c r="EP30" s="183"/>
      <c r="EQ30" s="287"/>
      <c r="ER30" s="287"/>
      <c r="ES30" s="287"/>
      <c r="ET30" s="287"/>
      <c r="EU30" s="288"/>
      <c r="EV30" s="289"/>
      <c r="EW30" s="290"/>
      <c r="EX30" s="183"/>
      <c r="EY30" s="287"/>
      <c r="EZ30" s="287"/>
      <c r="FA30" s="287"/>
      <c r="FB30" s="287"/>
      <c r="FC30" s="288"/>
      <c r="FD30" s="289"/>
      <c r="FE30" s="290"/>
      <c r="FF30" s="183"/>
      <c r="FG30" s="287"/>
      <c r="FH30" s="287"/>
      <c r="FI30" s="287"/>
      <c r="FJ30" s="287"/>
      <c r="FK30" s="288"/>
      <c r="FL30" s="289"/>
      <c r="FM30" s="290"/>
      <c r="FN30" s="183"/>
      <c r="FO30" s="287"/>
      <c r="FP30" s="287"/>
      <c r="FQ30" s="287"/>
      <c r="FR30" s="287"/>
      <c r="FS30" s="288"/>
      <c r="FT30" s="289"/>
      <c r="FU30" s="290"/>
      <c r="FV30" s="183"/>
      <c r="FW30" s="287"/>
      <c r="FX30" s="287"/>
      <c r="FY30" s="287"/>
      <c r="FZ30" s="287"/>
      <c r="GA30" s="288"/>
      <c r="GB30" s="289"/>
      <c r="GC30" s="290"/>
      <c r="GD30" s="183"/>
      <c r="GE30" s="287"/>
      <c r="GF30" s="287"/>
      <c r="GG30" s="287"/>
      <c r="GH30" s="287"/>
      <c r="GI30" s="288"/>
      <c r="GJ30" s="289"/>
      <c r="GK30" s="290"/>
      <c r="GL30" s="183"/>
      <c r="GM30" s="287"/>
      <c r="GN30" s="287"/>
      <c r="GO30" s="287"/>
      <c r="GP30" s="287"/>
      <c r="GQ30" s="288"/>
      <c r="GR30" s="289"/>
      <c r="GS30" s="290"/>
      <c r="GT30" s="183"/>
      <c r="GU30" s="287"/>
      <c r="GV30" s="287"/>
      <c r="GW30" s="287"/>
      <c r="GX30" s="287"/>
    </row>
    <row r="31" spans="1:206" s="62" customFormat="1" ht="54.75" customHeight="1" x14ac:dyDescent="0.2">
      <c r="A31" s="51" t="s">
        <v>1341</v>
      </c>
      <c r="B31" s="182">
        <v>510748734</v>
      </c>
      <c r="C31" s="54">
        <v>1000542390</v>
      </c>
      <c r="D31" s="48">
        <v>40000028</v>
      </c>
      <c r="E31" s="46">
        <v>80000</v>
      </c>
      <c r="F31" s="119">
        <v>100000</v>
      </c>
      <c r="G31" s="119">
        <v>100377</v>
      </c>
      <c r="H31" s="46">
        <v>100085</v>
      </c>
      <c r="I31" s="46">
        <v>108224</v>
      </c>
      <c r="J31" s="46">
        <v>117354</v>
      </c>
      <c r="K31" s="299">
        <v>117354</v>
      </c>
      <c r="L31" s="46">
        <f t="shared" si="1"/>
        <v>0</v>
      </c>
      <c r="M31" s="75"/>
      <c r="O31" s="288">
        <f>MATCH(B31,' ,69,42-02-68,42-02-22 ספרות '!$A$6:$A$67,0)</f>
        <v>4</v>
      </c>
      <c r="P31" s="288" t="e">
        <f>MATCH(B31,' ,69,42-02-68,42-02-22 ספרות '!$A$69:$A$88,0)</f>
        <v>#N/A</v>
      </c>
    </row>
    <row r="32" spans="1:206" s="44" customFormat="1" ht="38.25" customHeight="1" x14ac:dyDescent="0.2">
      <c r="A32" s="55" t="s">
        <v>1342</v>
      </c>
      <c r="B32" s="50">
        <v>500223094</v>
      </c>
      <c r="C32" s="49">
        <v>1000546528</v>
      </c>
      <c r="D32" s="48">
        <v>20000136</v>
      </c>
      <c r="E32" s="46"/>
      <c r="F32" s="119"/>
      <c r="G32" s="119"/>
      <c r="H32" s="46"/>
      <c r="I32" s="46">
        <v>0</v>
      </c>
      <c r="J32" s="46">
        <v>4514</v>
      </c>
      <c r="K32" s="299">
        <v>4514</v>
      </c>
      <c r="L32" s="46">
        <f t="shared" si="1"/>
        <v>0</v>
      </c>
      <c r="M32" s="75"/>
      <c r="O32" s="288" t="e">
        <f>MATCH(B32,' ,69,42-02-68,42-02-22 ספרות '!$A$6:$A$67,0)</f>
        <v>#N/A</v>
      </c>
      <c r="P32" s="288" t="e">
        <f>MATCH(B32,' ,69,42-02-68,42-02-22 ספרות '!$A$69:$A$88,0)</f>
        <v>#N/A</v>
      </c>
    </row>
    <row r="33" spans="1:91" s="44" customFormat="1" ht="30" customHeight="1" x14ac:dyDescent="0.2">
      <c r="A33" s="51" t="s">
        <v>1343</v>
      </c>
      <c r="B33" s="182">
        <v>510290026</v>
      </c>
      <c r="C33" s="49">
        <v>1000532132</v>
      </c>
      <c r="D33" s="48">
        <v>40216012</v>
      </c>
      <c r="E33" s="46">
        <v>0</v>
      </c>
      <c r="F33" s="119">
        <v>0</v>
      </c>
      <c r="G33" s="119">
        <v>0</v>
      </c>
      <c r="H33" s="46">
        <v>0</v>
      </c>
      <c r="I33" s="46">
        <v>20041</v>
      </c>
      <c r="J33" s="46">
        <v>4514</v>
      </c>
      <c r="K33" s="299">
        <v>4514</v>
      </c>
      <c r="L33" s="46">
        <f t="shared" si="1"/>
        <v>0</v>
      </c>
      <c r="M33" s="75"/>
      <c r="O33" s="288" t="e">
        <f>MATCH(B33,' ,69,42-02-68,42-02-22 ספרות '!$A$6:$A$67,0)</f>
        <v>#N/A</v>
      </c>
      <c r="P33" s="288" t="e">
        <f>MATCH(B33,' ,69,42-02-68,42-02-22 ספרות '!$A$69:$A$88,0)</f>
        <v>#N/A</v>
      </c>
    </row>
    <row r="34" spans="1:91" s="44" customFormat="1" ht="30" customHeight="1" x14ac:dyDescent="0.2">
      <c r="A34" s="51" t="s">
        <v>1344</v>
      </c>
      <c r="B34" s="182">
        <v>580370773</v>
      </c>
      <c r="C34" s="49">
        <v>1000547020</v>
      </c>
      <c r="D34" s="48">
        <v>40002886</v>
      </c>
      <c r="E34" s="46">
        <v>16000</v>
      </c>
      <c r="F34" s="119">
        <v>20000</v>
      </c>
      <c r="G34" s="119">
        <v>20075</v>
      </c>
      <c r="H34" s="46">
        <v>25021</v>
      </c>
      <c r="I34" s="46">
        <v>50000</v>
      </c>
      <c r="J34" s="46">
        <v>54163</v>
      </c>
      <c r="K34" s="299">
        <v>54163</v>
      </c>
      <c r="L34" s="46">
        <f t="shared" si="1"/>
        <v>0</v>
      </c>
      <c r="M34" s="75"/>
      <c r="O34" s="288">
        <f>MATCH(B34,' ,69,42-02-68,42-02-22 ספרות '!$A$6:$A$67,0)</f>
        <v>22</v>
      </c>
      <c r="P34" s="288" t="e">
        <f>MATCH(B34,' ,69,42-02-68,42-02-22 ספרות '!$A$69:$A$88,0)</f>
        <v>#N/A</v>
      </c>
    </row>
    <row r="35" spans="1:91" s="44" customFormat="1" ht="30" customHeight="1" x14ac:dyDescent="0.2">
      <c r="A35" s="72" t="s">
        <v>1345</v>
      </c>
      <c r="B35" s="53">
        <v>500221015</v>
      </c>
      <c r="C35" s="54">
        <v>1000545729</v>
      </c>
      <c r="D35" s="48">
        <v>20000127</v>
      </c>
      <c r="E35" s="46">
        <v>30000</v>
      </c>
      <c r="F35" s="46">
        <v>30000</v>
      </c>
      <c r="G35" s="119">
        <v>30113</v>
      </c>
      <c r="H35" s="46">
        <v>30000</v>
      </c>
      <c r="I35" s="46">
        <v>40000</v>
      </c>
      <c r="J35" s="46">
        <v>45000</v>
      </c>
      <c r="K35" s="299">
        <v>45000</v>
      </c>
      <c r="L35" s="46">
        <f t="shared" si="1"/>
        <v>0</v>
      </c>
      <c r="M35" s="75"/>
      <c r="O35" s="288" t="e">
        <f>MATCH(B35,' ,69,42-02-68,42-02-22 ספרות '!$A$6:$A$67,0)</f>
        <v>#N/A</v>
      </c>
      <c r="P35" s="288">
        <f>MATCH(B35,' ,69,42-02-68,42-02-22 ספרות '!$A$69:$A$88,0)</f>
        <v>20</v>
      </c>
    </row>
    <row r="36" spans="1:91" s="62" customFormat="1" ht="51" customHeight="1" x14ac:dyDescent="0.2">
      <c r="A36" s="51" t="s">
        <v>1346</v>
      </c>
      <c r="B36" s="50">
        <v>580537041</v>
      </c>
      <c r="C36" s="49">
        <v>1000539189</v>
      </c>
      <c r="D36" s="96">
        <v>40989613</v>
      </c>
      <c r="E36" s="46"/>
      <c r="F36" s="119"/>
      <c r="G36" s="119"/>
      <c r="H36" s="46"/>
      <c r="I36" s="46">
        <v>156323</v>
      </c>
      <c r="J36" s="46">
        <v>140825</v>
      </c>
      <c r="K36" s="299">
        <v>140825</v>
      </c>
      <c r="L36" s="46">
        <f t="shared" si="1"/>
        <v>0</v>
      </c>
      <c r="M36" s="472"/>
      <c r="O36" s="288">
        <f>MATCH(B36,' ,69,42-02-68,42-02-22 ספרות '!$A$6:$A$67,0)</f>
        <v>30</v>
      </c>
      <c r="P36" s="288" t="e">
        <f>MATCH(B36,' ,69,42-02-68,42-02-22 ספרות '!$A$69:$A$88,0)</f>
        <v>#N/A</v>
      </c>
    </row>
    <row r="37" spans="1:91" s="94" customFormat="1" ht="25.5" x14ac:dyDescent="0.2">
      <c r="A37" s="51" t="s">
        <v>1347</v>
      </c>
      <c r="B37" s="105">
        <v>580234995</v>
      </c>
      <c r="C37" s="49">
        <v>1000538042</v>
      </c>
      <c r="D37" s="48">
        <v>40000192</v>
      </c>
      <c r="E37" s="46">
        <v>0</v>
      </c>
      <c r="F37" s="119">
        <v>0</v>
      </c>
      <c r="G37" s="119">
        <v>0</v>
      </c>
      <c r="H37" s="46">
        <v>12511</v>
      </c>
      <c r="I37" s="46">
        <v>20041</v>
      </c>
      <c r="J37" s="46">
        <v>18054</v>
      </c>
      <c r="K37" s="299">
        <v>18054</v>
      </c>
      <c r="L37" s="46">
        <f t="shared" si="1"/>
        <v>0</v>
      </c>
      <c r="M37" s="71"/>
      <c r="O37" s="288">
        <f>MATCH(B37,' ,69,42-02-68,42-02-22 ספרות '!$A$6:$A$67,0)</f>
        <v>33</v>
      </c>
      <c r="P37" s="288" t="e">
        <f>MATCH(B37,' ,69,42-02-68,42-02-22 ספרות '!$A$69:$A$88,0)</f>
        <v>#N/A</v>
      </c>
    </row>
    <row r="38" spans="1:91" s="62" customFormat="1" ht="30" customHeight="1" x14ac:dyDescent="0.2">
      <c r="A38" s="55" t="s">
        <v>1348</v>
      </c>
      <c r="B38" s="50">
        <v>580044725</v>
      </c>
      <c r="C38" s="49">
        <v>1000544027</v>
      </c>
      <c r="D38" s="48">
        <v>40214659</v>
      </c>
      <c r="E38" s="46">
        <v>10000</v>
      </c>
      <c r="F38" s="119">
        <v>15000</v>
      </c>
      <c r="G38" s="119">
        <v>15057</v>
      </c>
      <c r="H38" s="46">
        <v>15638</v>
      </c>
      <c r="I38" s="46">
        <v>24050</v>
      </c>
      <c r="J38" s="46">
        <v>21665</v>
      </c>
      <c r="K38" s="299">
        <v>21665</v>
      </c>
      <c r="L38" s="46">
        <f t="shared" si="1"/>
        <v>0</v>
      </c>
      <c r="M38" s="75"/>
      <c r="O38" s="288">
        <f>MATCH(B38,' ,69,42-02-68,42-02-22 ספרות '!$A$6:$A$67,0)</f>
        <v>28</v>
      </c>
      <c r="P38" s="288" t="e">
        <f>MATCH(B38,' ,69,42-02-68,42-02-22 ספרות '!$A$69:$A$88,0)</f>
        <v>#N/A</v>
      </c>
    </row>
    <row r="39" spans="1:91" s="62" customFormat="1" ht="36.75" customHeight="1" x14ac:dyDescent="0.2">
      <c r="A39" s="55" t="s">
        <v>1349</v>
      </c>
      <c r="B39" s="50">
        <v>513377457</v>
      </c>
      <c r="C39" s="54">
        <v>1000543611</v>
      </c>
      <c r="D39" s="48">
        <v>40474818</v>
      </c>
      <c r="E39" s="46">
        <v>100000</v>
      </c>
      <c r="F39" s="46">
        <v>110000</v>
      </c>
      <c r="G39" s="119">
        <v>110000</v>
      </c>
      <c r="H39" s="46">
        <v>108425</v>
      </c>
      <c r="I39" s="46">
        <v>104216</v>
      </c>
      <c r="J39" s="46">
        <v>93883</v>
      </c>
      <c r="K39" s="299">
        <v>93883</v>
      </c>
      <c r="L39" s="46">
        <f t="shared" si="1"/>
        <v>0</v>
      </c>
      <c r="M39" s="262"/>
      <c r="O39" s="288">
        <f>MATCH(B39,' ,69,42-02-68,42-02-22 ספרות '!$A$6:$A$67,0)</f>
        <v>10</v>
      </c>
      <c r="P39" s="288" t="e">
        <f>MATCH(B39,' ,69,42-02-68,42-02-22 ספרות '!$A$69:$A$88,0)</f>
        <v>#N/A</v>
      </c>
    </row>
    <row r="40" spans="1:91" s="62" customFormat="1" ht="37.5" customHeight="1" x14ac:dyDescent="0.2">
      <c r="A40" s="55" t="s">
        <v>1350</v>
      </c>
      <c r="B40" s="50">
        <v>513377457</v>
      </c>
      <c r="C40" s="54">
        <v>1000544962</v>
      </c>
      <c r="D40" s="48">
        <v>40474818</v>
      </c>
      <c r="E40" s="46">
        <v>150000</v>
      </c>
      <c r="F40" s="46">
        <v>150000</v>
      </c>
      <c r="G40" s="119">
        <v>150566</v>
      </c>
      <c r="H40" s="46">
        <v>208509</v>
      </c>
      <c r="I40" s="46">
        <v>200414</v>
      </c>
      <c r="J40" s="46">
        <v>180545</v>
      </c>
      <c r="K40" s="299">
        <v>180545</v>
      </c>
      <c r="L40" s="46">
        <f t="shared" si="1"/>
        <v>0</v>
      </c>
      <c r="M40" s="262"/>
      <c r="O40" s="288">
        <f>MATCH(B40,' ,69,42-02-68,42-02-22 ספרות '!$A$6:$A$67,0)</f>
        <v>10</v>
      </c>
      <c r="P40" s="288" t="e">
        <f>MATCH(B40,' ,69,42-02-68,42-02-22 ספרות '!$A$69:$A$88,0)</f>
        <v>#N/A</v>
      </c>
    </row>
    <row r="41" spans="1:91" s="495" customFormat="1" ht="30" customHeight="1" x14ac:dyDescent="0.2">
      <c r="A41" s="487" t="s">
        <v>1351</v>
      </c>
      <c r="B41" s="318">
        <v>500265004</v>
      </c>
      <c r="C41" s="494">
        <v>1000535601</v>
      </c>
      <c r="D41" s="319">
        <v>20000223</v>
      </c>
      <c r="E41" s="46">
        <v>0</v>
      </c>
      <c r="F41" s="119">
        <v>0</v>
      </c>
      <c r="G41" s="119">
        <v>36136</v>
      </c>
      <c r="H41" s="46">
        <v>50042</v>
      </c>
      <c r="I41" s="46">
        <v>26054</v>
      </c>
      <c r="J41" s="46">
        <v>23471</v>
      </c>
      <c r="K41" s="299">
        <v>23471</v>
      </c>
      <c r="L41" s="46">
        <f t="shared" si="1"/>
        <v>0</v>
      </c>
      <c r="M41" s="75"/>
      <c r="O41" s="288" t="e">
        <f>MATCH(B41,' ,69,42-02-68,42-02-22 ספרות '!$A$6:$A$67,0)</f>
        <v>#N/A</v>
      </c>
      <c r="P41" s="288">
        <f>MATCH(B41,' ,69,42-02-68,42-02-22 ספרות '!$A$69:$A$88,0)</f>
        <v>8</v>
      </c>
    </row>
    <row r="42" spans="1:91" s="44" customFormat="1" ht="83.25" customHeight="1" x14ac:dyDescent="0.2">
      <c r="A42" s="51" t="s">
        <v>1352</v>
      </c>
      <c r="B42" s="182">
        <v>580073575</v>
      </c>
      <c r="C42" s="49">
        <v>1000545470</v>
      </c>
      <c r="D42" s="48">
        <v>40000429</v>
      </c>
      <c r="E42" s="46">
        <v>9600</v>
      </c>
      <c r="F42" s="119">
        <v>9600</v>
      </c>
      <c r="G42" s="119">
        <v>0</v>
      </c>
      <c r="H42" s="46">
        <v>4170</v>
      </c>
      <c r="I42" s="46">
        <v>9600</v>
      </c>
      <c r="J42" s="46">
        <v>9027</v>
      </c>
      <c r="K42" s="299">
        <v>9027</v>
      </c>
      <c r="L42" s="46">
        <f t="shared" si="1"/>
        <v>0</v>
      </c>
      <c r="M42" s="52"/>
      <c r="O42" s="288">
        <f>MATCH(B42,' ,69,42-02-68,42-02-22 ספרות '!$A$6:$A$67,0)</f>
        <v>3</v>
      </c>
      <c r="P42" s="288" t="e">
        <f>MATCH(B42,' ,69,42-02-68,42-02-22 ספרות '!$A$69:$A$88,0)</f>
        <v>#N/A</v>
      </c>
    </row>
    <row r="43" spans="1:91" s="44" customFormat="1" ht="30" customHeight="1" x14ac:dyDescent="0.2">
      <c r="A43" s="51" t="s">
        <v>1353</v>
      </c>
      <c r="B43" s="182">
        <v>580103026</v>
      </c>
      <c r="C43" s="49">
        <v>1000543124</v>
      </c>
      <c r="D43" s="48">
        <v>40000134</v>
      </c>
      <c r="E43" s="46">
        <v>17000</v>
      </c>
      <c r="F43" s="46">
        <v>15000</v>
      </c>
      <c r="G43" s="119">
        <v>15057</v>
      </c>
      <c r="H43" s="46">
        <v>15638</v>
      </c>
      <c r="I43" s="46">
        <v>13027</v>
      </c>
      <c r="J43" s="46">
        <v>11735</v>
      </c>
      <c r="K43" s="299">
        <v>11735</v>
      </c>
      <c r="L43" s="46">
        <f t="shared" si="1"/>
        <v>0</v>
      </c>
      <c r="M43" s="75"/>
      <c r="O43" s="288">
        <f>MATCH(B43,' ,69,42-02-68,42-02-22 ספרות '!$A$6:$A$67,0)</f>
        <v>12</v>
      </c>
      <c r="P43" s="288" t="e">
        <f>MATCH(B43,' ,69,42-02-68,42-02-22 ספרות '!$A$69:$A$88,0)</f>
        <v>#N/A</v>
      </c>
    </row>
    <row r="44" spans="1:91" s="44" customFormat="1" ht="30" customHeight="1" x14ac:dyDescent="0.2">
      <c r="A44" s="51" t="s">
        <v>1354</v>
      </c>
      <c r="B44" s="182">
        <v>580103026</v>
      </c>
      <c r="C44" s="49">
        <v>1000543160</v>
      </c>
      <c r="D44" s="48">
        <v>40000134</v>
      </c>
      <c r="E44" s="46">
        <v>36000</v>
      </c>
      <c r="F44" s="46">
        <v>40000</v>
      </c>
      <c r="G44" s="119">
        <v>40151</v>
      </c>
      <c r="H44" s="46">
        <v>41702</v>
      </c>
      <c r="I44" s="46">
        <v>50104</v>
      </c>
      <c r="J44" s="46">
        <v>67704</v>
      </c>
      <c r="K44" s="299">
        <v>67704</v>
      </c>
      <c r="L44" s="46">
        <f t="shared" si="1"/>
        <v>0</v>
      </c>
      <c r="M44" s="75"/>
      <c r="O44" s="288">
        <f>MATCH(B44,' ,69,42-02-68,42-02-22 ספרות '!$A$6:$A$67,0)</f>
        <v>12</v>
      </c>
      <c r="P44" s="288" t="e">
        <f>MATCH(B44,' ,69,42-02-68,42-02-22 ספרות '!$A$69:$A$88,0)</f>
        <v>#N/A</v>
      </c>
    </row>
    <row r="45" spans="1:91" s="62" customFormat="1" ht="45.75" customHeight="1" x14ac:dyDescent="0.2">
      <c r="A45" s="51" t="s">
        <v>1355</v>
      </c>
      <c r="B45" s="50">
        <v>580471118</v>
      </c>
      <c r="C45" s="54">
        <v>1000553044</v>
      </c>
      <c r="D45" s="48">
        <v>40351333</v>
      </c>
      <c r="E45" s="46"/>
      <c r="F45" s="119"/>
      <c r="G45" s="119"/>
      <c r="H45" s="46">
        <v>0</v>
      </c>
      <c r="I45" s="46">
        <v>13027</v>
      </c>
      <c r="J45" s="46">
        <v>11735</v>
      </c>
      <c r="K45" s="299">
        <v>11735</v>
      </c>
      <c r="L45" s="46">
        <f t="shared" si="1"/>
        <v>0</v>
      </c>
      <c r="M45" s="120"/>
      <c r="O45" s="288" t="e">
        <f>MATCH(B45,' ,69,42-02-68,42-02-22 ספרות '!$A$6:$A$67,0)</f>
        <v>#N/A</v>
      </c>
      <c r="P45" s="288" t="e">
        <f>MATCH(B45,' ,69,42-02-68,42-02-22 ספרות '!$A$69:$A$88,0)</f>
        <v>#N/A</v>
      </c>
    </row>
    <row r="46" spans="1:91" s="62" customFormat="1" ht="45.75" customHeight="1" x14ac:dyDescent="0.2">
      <c r="A46" s="51" t="s">
        <v>1356</v>
      </c>
      <c r="B46" s="50">
        <v>580471118</v>
      </c>
      <c r="C46" s="54">
        <v>1000553055</v>
      </c>
      <c r="D46" s="48">
        <v>40351333</v>
      </c>
      <c r="E46" s="46"/>
      <c r="F46" s="119"/>
      <c r="G46" s="119"/>
      <c r="H46" s="46">
        <v>0</v>
      </c>
      <c r="I46" s="46">
        <v>13027</v>
      </c>
      <c r="J46" s="46">
        <v>11735</v>
      </c>
      <c r="K46" s="299">
        <v>11735</v>
      </c>
      <c r="L46" s="46">
        <f t="shared" si="1"/>
        <v>0</v>
      </c>
      <c r="M46" s="120"/>
      <c r="O46" s="288" t="e">
        <f>MATCH(B46,' ,69,42-02-68,42-02-22 ספרות '!$A$6:$A$67,0)</f>
        <v>#N/A</v>
      </c>
      <c r="P46" s="288" t="e">
        <f>MATCH(B46,' ,69,42-02-68,42-02-22 ספרות '!$A$69:$A$88,0)</f>
        <v>#N/A</v>
      </c>
    </row>
    <row r="47" spans="1:91" s="62" customFormat="1" ht="64.5" customHeight="1" x14ac:dyDescent="0.2">
      <c r="A47" s="51" t="s">
        <v>1357</v>
      </c>
      <c r="B47" s="105">
        <v>580082824</v>
      </c>
      <c r="C47" s="49">
        <v>1000533850</v>
      </c>
      <c r="D47" s="48">
        <v>40000448</v>
      </c>
      <c r="E47" s="46">
        <v>0</v>
      </c>
      <c r="F47" s="119">
        <v>0</v>
      </c>
      <c r="G47" s="119">
        <v>0</v>
      </c>
      <c r="H47" s="46">
        <v>0</v>
      </c>
      <c r="I47" s="46">
        <v>30000</v>
      </c>
      <c r="J47" s="46">
        <v>36109</v>
      </c>
      <c r="K47" s="299">
        <v>36109</v>
      </c>
      <c r="L47" s="46">
        <f t="shared" si="1"/>
        <v>0</v>
      </c>
      <c r="M47" s="279"/>
      <c r="N47" s="121"/>
      <c r="O47" s="288">
        <f>MATCH(B47,' ,69,42-02-68,42-02-22 ספרות '!$A$6:$A$67,0)</f>
        <v>37</v>
      </c>
      <c r="P47" s="288" t="e">
        <f>MATCH(B47,' ,69,42-02-68,42-02-22 ספרות '!$A$69:$A$88,0)</f>
        <v>#N/A</v>
      </c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</row>
    <row r="48" spans="1:91" s="62" customFormat="1" ht="38.25" customHeight="1" x14ac:dyDescent="0.2">
      <c r="A48" s="55" t="s">
        <v>1358</v>
      </c>
      <c r="B48" s="50">
        <v>580502946</v>
      </c>
      <c r="C48" s="49">
        <v>1000551163</v>
      </c>
      <c r="D48" s="48">
        <v>40465932</v>
      </c>
      <c r="E48" s="46">
        <v>0</v>
      </c>
      <c r="F48" s="119">
        <v>0</v>
      </c>
      <c r="G48" s="119">
        <v>0</v>
      </c>
      <c r="H48" s="46">
        <v>0</v>
      </c>
      <c r="I48" s="46">
        <v>0</v>
      </c>
      <c r="J48" s="46">
        <v>70413</v>
      </c>
      <c r="K48" s="299">
        <v>70413</v>
      </c>
      <c r="L48" s="46">
        <f t="shared" si="1"/>
        <v>0</v>
      </c>
      <c r="M48" s="58"/>
      <c r="O48" s="288">
        <f>MATCH(B48,' ,69,42-02-68,42-02-22 ספרות '!$A$6:$A$67,0)</f>
        <v>42</v>
      </c>
      <c r="P48" s="288" t="e">
        <f>MATCH(B48,' ,69,42-02-68,42-02-22 ספרות '!$A$69:$A$88,0)</f>
        <v>#N/A</v>
      </c>
    </row>
    <row r="49" spans="1:69" s="62" customFormat="1" ht="54.75" customHeight="1" x14ac:dyDescent="0.2">
      <c r="A49" s="51" t="s">
        <v>1359</v>
      </c>
      <c r="B49" s="182">
        <v>580181741</v>
      </c>
      <c r="C49" s="54">
        <v>1000544216</v>
      </c>
      <c r="D49" s="48">
        <v>40000538</v>
      </c>
      <c r="E49" s="46"/>
      <c r="F49" s="119"/>
      <c r="G49" s="119"/>
      <c r="H49" s="46"/>
      <c r="I49" s="46">
        <v>0</v>
      </c>
      <c r="J49" s="46">
        <v>11735</v>
      </c>
      <c r="K49" s="299">
        <v>11735</v>
      </c>
      <c r="L49" s="46">
        <f t="shared" si="1"/>
        <v>0</v>
      </c>
      <c r="M49" s="75"/>
      <c r="O49" s="288">
        <f>MATCH(B49,' ,69,42-02-68,42-02-22 ספרות '!$A$6:$A$67,0)</f>
        <v>38</v>
      </c>
      <c r="P49" s="288" t="e">
        <f>MATCH(B49,' ,69,42-02-68,42-02-22 ספרות '!$A$69:$A$88,0)</f>
        <v>#N/A</v>
      </c>
    </row>
    <row r="50" spans="1:69" s="44" customFormat="1" ht="38.25" customHeight="1" x14ac:dyDescent="0.2">
      <c r="A50" s="55" t="s">
        <v>1360</v>
      </c>
      <c r="B50" s="50">
        <v>500222062</v>
      </c>
      <c r="C50" s="49">
        <v>1000543397</v>
      </c>
      <c r="D50" s="48">
        <v>20000132</v>
      </c>
      <c r="E50" s="46">
        <v>30000</v>
      </c>
      <c r="F50" s="46">
        <v>30000</v>
      </c>
      <c r="G50" s="119">
        <v>30000</v>
      </c>
      <c r="H50" s="46">
        <v>31276</v>
      </c>
      <c r="I50" s="46">
        <v>30062</v>
      </c>
      <c r="J50" s="46">
        <v>22568</v>
      </c>
      <c r="K50" s="299">
        <v>22568</v>
      </c>
      <c r="L50" s="46">
        <f t="shared" si="1"/>
        <v>0</v>
      </c>
      <c r="M50" s="75"/>
      <c r="O50" s="288" t="e">
        <f>MATCH(B50,' ,69,42-02-68,42-02-22 ספרות '!$A$6:$A$67,0)</f>
        <v>#N/A</v>
      </c>
      <c r="P50" s="288">
        <f>MATCH(B50,' ,69,42-02-68,42-02-22 ספרות '!$A$69:$A$88,0)</f>
        <v>5</v>
      </c>
    </row>
    <row r="51" spans="1:69" s="62" customFormat="1" ht="50.25" customHeight="1" x14ac:dyDescent="0.2">
      <c r="A51" s="55" t="s">
        <v>1361</v>
      </c>
      <c r="B51" s="50">
        <v>512287350</v>
      </c>
      <c r="C51" s="54">
        <v>1000551985</v>
      </c>
      <c r="D51" s="48">
        <v>40000293</v>
      </c>
      <c r="E51" s="46">
        <v>120000</v>
      </c>
      <c r="F51" s="46">
        <v>120000</v>
      </c>
      <c r="G51" s="119">
        <v>120543</v>
      </c>
      <c r="H51" s="46">
        <v>125106</v>
      </c>
      <c r="I51" s="46">
        <v>78162</v>
      </c>
      <c r="J51" s="46">
        <v>93883</v>
      </c>
      <c r="K51" s="299">
        <v>93883</v>
      </c>
      <c r="L51" s="46">
        <f t="shared" si="1"/>
        <v>0</v>
      </c>
      <c r="M51" s="88"/>
      <c r="O51" s="288">
        <f>MATCH(B51,' ,69,42-02-68,42-02-22 ספרות '!$A$6:$A$67,0)</f>
        <v>26</v>
      </c>
      <c r="P51" s="288" t="e">
        <f>MATCH(B51,' ,69,42-02-68,42-02-22 ספרות '!$A$69:$A$88,0)</f>
        <v>#N/A</v>
      </c>
    </row>
    <row r="52" spans="1:69" s="62" customFormat="1" ht="30" customHeight="1" x14ac:dyDescent="0.2">
      <c r="A52" s="55" t="s">
        <v>1362</v>
      </c>
      <c r="B52" s="50">
        <v>580371045</v>
      </c>
      <c r="C52" s="49">
        <v>1000546778</v>
      </c>
      <c r="D52" s="48">
        <v>40216083</v>
      </c>
      <c r="E52" s="46">
        <v>0</v>
      </c>
      <c r="F52" s="119">
        <v>0</v>
      </c>
      <c r="G52" s="119">
        <v>50000</v>
      </c>
      <c r="H52" s="46">
        <v>52127</v>
      </c>
      <c r="I52" s="46">
        <v>39081</v>
      </c>
      <c r="J52" s="46">
        <v>45136</v>
      </c>
      <c r="K52" s="299">
        <v>45136</v>
      </c>
      <c r="L52" s="46">
        <f t="shared" si="1"/>
        <v>0</v>
      </c>
      <c r="M52" s="75"/>
      <c r="N52" s="121"/>
      <c r="O52" s="288">
        <f>MATCH(B52,' ,69,42-02-68,42-02-22 ספרות '!$A$6:$A$67,0)</f>
        <v>31</v>
      </c>
      <c r="P52" s="288" t="e">
        <f>MATCH(B52,' ,69,42-02-68,42-02-22 ספרות '!$A$69:$A$88,0)</f>
        <v>#N/A</v>
      </c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</row>
    <row r="53" spans="1:69" s="62" customFormat="1" ht="37.5" customHeight="1" x14ac:dyDescent="0.2">
      <c r="A53" s="55" t="s">
        <v>1363</v>
      </c>
      <c r="B53" s="50">
        <v>580371045</v>
      </c>
      <c r="C53" s="49">
        <v>1000546779</v>
      </c>
      <c r="D53" s="48">
        <v>40216083</v>
      </c>
      <c r="E53" s="46">
        <v>0</v>
      </c>
      <c r="F53" s="119">
        <v>0</v>
      </c>
      <c r="G53" s="119">
        <v>50189</v>
      </c>
      <c r="H53" s="46">
        <v>52127</v>
      </c>
      <c r="I53" s="46">
        <v>50104</v>
      </c>
      <c r="J53" s="46">
        <v>45136</v>
      </c>
      <c r="K53" s="299">
        <v>45136</v>
      </c>
      <c r="L53" s="46">
        <f t="shared" si="1"/>
        <v>0</v>
      </c>
      <c r="M53" s="75"/>
      <c r="N53" s="121"/>
      <c r="O53" s="288">
        <f>MATCH(B53,' ,69,42-02-68,42-02-22 ספרות '!$A$6:$A$67,0)</f>
        <v>31</v>
      </c>
      <c r="P53" s="288" t="e">
        <f>MATCH(B53,' ,69,42-02-68,42-02-22 ספרות '!$A$69:$A$88,0)</f>
        <v>#N/A</v>
      </c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</row>
    <row r="54" spans="1:69" s="44" customFormat="1" ht="30" customHeight="1" x14ac:dyDescent="0.2">
      <c r="A54" s="51" t="s">
        <v>1364</v>
      </c>
      <c r="B54" s="182">
        <v>500250006</v>
      </c>
      <c r="C54" s="54">
        <v>1000545283</v>
      </c>
      <c r="D54" s="48">
        <v>20000201</v>
      </c>
      <c r="E54" s="46">
        <v>120000</v>
      </c>
      <c r="F54" s="46">
        <v>130000</v>
      </c>
      <c r="G54" s="119">
        <v>130491</v>
      </c>
      <c r="H54" s="46">
        <v>135531</v>
      </c>
      <c r="I54" s="46">
        <v>169350</v>
      </c>
      <c r="J54" s="46">
        <v>152560</v>
      </c>
      <c r="K54" s="299">
        <v>152560</v>
      </c>
      <c r="L54" s="46">
        <f t="shared" si="1"/>
        <v>0</v>
      </c>
      <c r="M54" s="75"/>
      <c r="O54" s="288" t="e">
        <f>MATCH(B54,' ,69,42-02-68,42-02-22 ספרות '!$A$6:$A$67,0)</f>
        <v>#N/A</v>
      </c>
      <c r="P54" s="288">
        <f>MATCH(B54,' ,69,42-02-68,42-02-22 ספרות '!$A$69:$A$88,0)</f>
        <v>1</v>
      </c>
    </row>
    <row r="55" spans="1:69" s="62" customFormat="1" ht="30" customHeight="1" x14ac:dyDescent="0.2">
      <c r="A55" s="55" t="s">
        <v>1365</v>
      </c>
      <c r="B55" s="182">
        <v>500284005</v>
      </c>
      <c r="C55" s="49">
        <v>1000541962</v>
      </c>
      <c r="D55" s="48">
        <v>20000248</v>
      </c>
      <c r="E55" s="46">
        <v>0</v>
      </c>
      <c r="F55" s="119">
        <v>18000</v>
      </c>
      <c r="G55" s="119">
        <v>18068</v>
      </c>
      <c r="H55" s="46">
        <v>18766</v>
      </c>
      <c r="I55" s="46">
        <v>18037</v>
      </c>
      <c r="J55" s="46">
        <v>16249</v>
      </c>
      <c r="K55" s="299">
        <v>16249</v>
      </c>
      <c r="L55" s="46">
        <f t="shared" si="1"/>
        <v>0</v>
      </c>
      <c r="M55" s="79"/>
      <c r="O55" s="288" t="e">
        <f>MATCH(B55,' ,69,42-02-68,42-02-22 ספרות '!$A$6:$A$67,0)</f>
        <v>#N/A</v>
      </c>
      <c r="P55" s="288">
        <f>MATCH(B55,' ,69,42-02-68,42-02-22 ספרות '!$A$69:$A$88,0)</f>
        <v>9</v>
      </c>
    </row>
    <row r="56" spans="1:69" s="62" customFormat="1" ht="49.5" customHeight="1" x14ac:dyDescent="0.2">
      <c r="A56" s="55" t="s">
        <v>1273</v>
      </c>
      <c r="B56" s="50">
        <v>510673577</v>
      </c>
      <c r="C56" s="54">
        <v>1000554586</v>
      </c>
      <c r="D56" s="48">
        <v>40000272</v>
      </c>
      <c r="E56" s="46">
        <v>45000</v>
      </c>
      <c r="F56" s="119">
        <v>60000</v>
      </c>
      <c r="G56" s="119">
        <v>60226</v>
      </c>
      <c r="H56" s="46">
        <v>87574</v>
      </c>
      <c r="I56" s="46">
        <v>117242</v>
      </c>
      <c r="J56" s="46">
        <v>105619</v>
      </c>
      <c r="K56" s="299">
        <v>105619</v>
      </c>
      <c r="L56" s="46">
        <f t="shared" si="1"/>
        <v>0</v>
      </c>
      <c r="M56" s="58"/>
      <c r="O56" s="288">
        <f>MATCH(B56,' ,69,42-02-68,42-02-22 ספרות '!$A$6:$A$67,0)</f>
        <v>13</v>
      </c>
      <c r="P56" s="288" t="e">
        <f>MATCH(B56,' ,69,42-02-68,42-02-22 ספרות '!$A$69:$A$88,0)</f>
        <v>#N/A</v>
      </c>
    </row>
    <row r="57" spans="1:69" s="62" customFormat="1" ht="45.75" customHeight="1" x14ac:dyDescent="0.2">
      <c r="A57" s="51" t="s">
        <v>1366</v>
      </c>
      <c r="B57" s="182">
        <v>580170801</v>
      </c>
      <c r="C57" s="49">
        <v>1000551213</v>
      </c>
      <c r="D57" s="48">
        <v>40000164</v>
      </c>
      <c r="E57" s="46">
        <v>0</v>
      </c>
      <c r="F57" s="119">
        <v>0</v>
      </c>
      <c r="G57" s="119">
        <v>40151</v>
      </c>
      <c r="H57" s="46">
        <v>42744</v>
      </c>
      <c r="I57" s="46">
        <v>40083</v>
      </c>
      <c r="J57" s="46">
        <v>36109</v>
      </c>
      <c r="K57" s="299">
        <v>36109</v>
      </c>
      <c r="L57" s="46">
        <f t="shared" si="1"/>
        <v>0</v>
      </c>
      <c r="M57" s="79"/>
      <c r="O57" s="288">
        <f>MATCH(B57,' ,69,42-02-68,42-02-22 ספרות '!$A$6:$A$67,0)</f>
        <v>6</v>
      </c>
      <c r="P57" s="288" t="e">
        <f>MATCH(B57,' ,69,42-02-68,42-02-22 ספרות '!$A$69:$A$88,0)</f>
        <v>#N/A</v>
      </c>
    </row>
    <row r="58" spans="1:69" s="62" customFormat="1" ht="64.5" customHeight="1" x14ac:dyDescent="0.2">
      <c r="A58" s="51" t="s">
        <v>1367</v>
      </c>
      <c r="B58" s="182">
        <v>580268811</v>
      </c>
      <c r="C58" s="54">
        <v>1000545733</v>
      </c>
      <c r="D58" s="48">
        <v>40000639</v>
      </c>
      <c r="E58" s="46">
        <v>0</v>
      </c>
      <c r="F58" s="119">
        <v>0</v>
      </c>
      <c r="G58" s="119">
        <v>0</v>
      </c>
      <c r="H58" s="46">
        <v>0</v>
      </c>
      <c r="I58" s="46">
        <v>0</v>
      </c>
      <c r="J58" s="46">
        <v>45136</v>
      </c>
      <c r="K58" s="299">
        <v>45136</v>
      </c>
      <c r="L58" s="46">
        <f t="shared" si="1"/>
        <v>0</v>
      </c>
      <c r="M58" s="52"/>
      <c r="O58" s="288">
        <f>MATCH(B58,' ,69,42-02-68,42-02-22 ספרות '!$A$6:$A$67,0)</f>
        <v>16</v>
      </c>
      <c r="P58" s="288" t="e">
        <f>MATCH(B58,' ,69,42-02-68,42-02-22 ספרות '!$A$69:$A$88,0)</f>
        <v>#N/A</v>
      </c>
    </row>
    <row r="59" spans="1:69" s="44" customFormat="1" ht="43.5" customHeight="1" x14ac:dyDescent="0.2">
      <c r="A59" s="51" t="s">
        <v>1368</v>
      </c>
      <c r="B59" s="182">
        <v>500250006</v>
      </c>
      <c r="C59" s="54">
        <v>1000545354</v>
      </c>
      <c r="D59" s="48">
        <v>20000201</v>
      </c>
      <c r="E59" s="46">
        <v>0</v>
      </c>
      <c r="F59" s="46">
        <v>0</v>
      </c>
      <c r="G59" s="119">
        <v>24091</v>
      </c>
      <c r="H59" s="46">
        <v>0</v>
      </c>
      <c r="I59" s="46">
        <v>25000</v>
      </c>
      <c r="J59" s="46">
        <v>23471</v>
      </c>
      <c r="K59" s="299">
        <v>23471</v>
      </c>
      <c r="L59" s="46">
        <f t="shared" si="1"/>
        <v>0</v>
      </c>
      <c r="M59" s="75"/>
      <c r="O59" s="288" t="e">
        <f>MATCH(B59,' ,69,42-02-68,42-02-22 ספרות '!$A$6:$A$67,0)</f>
        <v>#N/A</v>
      </c>
      <c r="P59" s="288">
        <f>MATCH(B59,' ,69,42-02-68,42-02-22 ספרות '!$A$69:$A$88,0)</f>
        <v>1</v>
      </c>
    </row>
    <row r="60" spans="1:69" s="44" customFormat="1" ht="37.5" customHeight="1" x14ac:dyDescent="0.2">
      <c r="A60" s="51" t="s">
        <v>1369</v>
      </c>
      <c r="B60" s="182">
        <v>500250006</v>
      </c>
      <c r="C60" s="54">
        <v>1000545749</v>
      </c>
      <c r="D60" s="48">
        <v>20000201</v>
      </c>
      <c r="E60" s="46">
        <v>0</v>
      </c>
      <c r="F60" s="46">
        <v>0</v>
      </c>
      <c r="G60" s="119">
        <v>0</v>
      </c>
      <c r="H60" s="46">
        <v>20000</v>
      </c>
      <c r="I60" s="46">
        <v>25000</v>
      </c>
      <c r="J60" s="46">
        <v>23471</v>
      </c>
      <c r="K60" s="299">
        <v>23471</v>
      </c>
      <c r="L60" s="46">
        <f t="shared" si="1"/>
        <v>0</v>
      </c>
      <c r="M60" s="75"/>
      <c r="O60" s="288" t="e">
        <f>MATCH(B60,' ,69,42-02-68,42-02-22 ספרות '!$A$6:$A$67,0)</f>
        <v>#N/A</v>
      </c>
      <c r="P60" s="288">
        <f>MATCH(B60,' ,69,42-02-68,42-02-22 ספרות '!$A$69:$A$88,0)</f>
        <v>1</v>
      </c>
    </row>
    <row r="61" spans="1:69" s="44" customFormat="1" ht="37.5" customHeight="1" x14ac:dyDescent="0.2">
      <c r="A61" s="51" t="s">
        <v>1370</v>
      </c>
      <c r="B61" s="182">
        <v>500250006</v>
      </c>
      <c r="C61" s="54">
        <v>1000545356</v>
      </c>
      <c r="D61" s="48">
        <v>20000201</v>
      </c>
      <c r="E61" s="46"/>
      <c r="F61" s="119"/>
      <c r="G61" s="119"/>
      <c r="H61" s="46"/>
      <c r="I61" s="46">
        <v>0</v>
      </c>
      <c r="J61" s="46">
        <v>23471</v>
      </c>
      <c r="K61" s="299">
        <v>23471</v>
      </c>
      <c r="L61" s="46">
        <f t="shared" si="1"/>
        <v>0</v>
      </c>
      <c r="M61" s="75"/>
      <c r="O61" s="288" t="e">
        <f>MATCH(B61,' ,69,42-02-68,42-02-22 ספרות '!$A$6:$A$67,0)</f>
        <v>#N/A</v>
      </c>
      <c r="P61" s="288">
        <f>MATCH(B61,' ,69,42-02-68,42-02-22 ספרות '!$A$69:$A$88,0)</f>
        <v>1</v>
      </c>
    </row>
    <row r="62" spans="1:69" s="44" customFormat="1" ht="37.5" customHeight="1" x14ac:dyDescent="0.2">
      <c r="A62" s="51" t="s">
        <v>1371</v>
      </c>
      <c r="B62" s="182">
        <v>500250006</v>
      </c>
      <c r="C62" s="54">
        <v>1000545379</v>
      </c>
      <c r="D62" s="48">
        <v>20000201</v>
      </c>
      <c r="E62" s="46"/>
      <c r="F62" s="119"/>
      <c r="G62" s="119"/>
      <c r="H62" s="46"/>
      <c r="I62" s="46">
        <v>0</v>
      </c>
      <c r="J62" s="46">
        <v>20000</v>
      </c>
      <c r="K62" s="299">
        <v>20000</v>
      </c>
      <c r="L62" s="46">
        <f t="shared" si="1"/>
        <v>0</v>
      </c>
      <c r="M62" s="75"/>
      <c r="O62" s="288" t="e">
        <f>MATCH(B62,' ,69,42-02-68,42-02-22 ספרות '!$A$6:$A$67,0)</f>
        <v>#N/A</v>
      </c>
      <c r="P62" s="288">
        <f>MATCH(B62,' ,69,42-02-68,42-02-22 ספרות '!$A$69:$A$88,0)</f>
        <v>1</v>
      </c>
    </row>
    <row r="63" spans="1:69" s="44" customFormat="1" ht="30" customHeight="1" x14ac:dyDescent="0.2">
      <c r="A63" s="51" t="s">
        <v>1372</v>
      </c>
      <c r="B63" s="182">
        <v>580299618</v>
      </c>
      <c r="C63" s="49">
        <v>1000536448</v>
      </c>
      <c r="D63" s="48">
        <v>40000660</v>
      </c>
      <c r="E63" s="46">
        <v>10000</v>
      </c>
      <c r="F63" s="119">
        <v>12000</v>
      </c>
      <c r="G63" s="119">
        <v>12045</v>
      </c>
      <c r="H63" s="46">
        <v>12511</v>
      </c>
      <c r="I63" s="46">
        <v>12025</v>
      </c>
      <c r="J63" s="46">
        <v>10833</v>
      </c>
      <c r="K63" s="299">
        <v>10833</v>
      </c>
      <c r="L63" s="46">
        <f t="shared" si="1"/>
        <v>0</v>
      </c>
      <c r="M63" s="75"/>
      <c r="O63" s="288">
        <f>MATCH(B63,' ,69,42-02-68,42-02-22 ספרות '!$A$6:$A$67,0)</f>
        <v>17</v>
      </c>
      <c r="P63" s="288" t="e">
        <f>MATCH(B63,' ,69,42-02-68,42-02-22 ספרות '!$A$69:$A$88,0)</f>
        <v>#N/A</v>
      </c>
    </row>
    <row r="64" spans="1:69" s="379" customFormat="1" ht="51" customHeight="1" x14ac:dyDescent="0.2">
      <c r="A64" s="85" t="s">
        <v>1373</v>
      </c>
      <c r="B64" s="66">
        <v>510145022</v>
      </c>
      <c r="C64" s="49">
        <v>1000538160</v>
      </c>
      <c r="D64" s="48">
        <v>40000252</v>
      </c>
      <c r="E64" s="46">
        <v>50000</v>
      </c>
      <c r="F64" s="46">
        <v>65000</v>
      </c>
      <c r="G64" s="119">
        <v>65245</v>
      </c>
      <c r="H64" s="46">
        <v>62553</v>
      </c>
      <c r="I64" s="46">
        <v>65000</v>
      </c>
      <c r="J64" s="46">
        <v>58677</v>
      </c>
      <c r="K64" s="299">
        <v>58677</v>
      </c>
      <c r="L64" s="46">
        <f t="shared" si="1"/>
        <v>0</v>
      </c>
      <c r="M64" s="75"/>
      <c r="O64" s="288">
        <f>MATCH(B64,' ,69,42-02-68,42-02-22 ספרות '!$A$6:$A$67,0)</f>
        <v>27</v>
      </c>
      <c r="P64" s="288" t="e">
        <f>MATCH(B64,' ,69,42-02-68,42-02-22 ספרות '!$A$69:$A$88,0)</f>
        <v>#N/A</v>
      </c>
    </row>
    <row r="65" spans="1:93" s="62" customFormat="1" ht="30" customHeight="1" x14ac:dyDescent="0.2">
      <c r="A65" s="51" t="s">
        <v>1374</v>
      </c>
      <c r="B65" s="105">
        <v>500283007</v>
      </c>
      <c r="C65" s="54">
        <v>1000534256</v>
      </c>
      <c r="D65" s="48">
        <v>20000247</v>
      </c>
      <c r="E65" s="46">
        <v>0</v>
      </c>
      <c r="F65" s="46">
        <v>0</v>
      </c>
      <c r="G65" s="119">
        <v>30113</v>
      </c>
      <c r="H65" s="46">
        <v>50042</v>
      </c>
      <c r="I65" s="46">
        <v>0</v>
      </c>
      <c r="J65" s="46">
        <v>35206</v>
      </c>
      <c r="K65" s="299">
        <v>35206</v>
      </c>
      <c r="L65" s="46">
        <f t="shared" si="1"/>
        <v>0</v>
      </c>
      <c r="M65" s="75"/>
      <c r="N65" s="121"/>
      <c r="O65" s="288" t="e">
        <f>MATCH(B65,' ,69,42-02-68,42-02-22 ספרות '!$A$6:$A$67,0)</f>
        <v>#N/A</v>
      </c>
      <c r="P65" s="288">
        <f>MATCH(B65,' ,69,42-02-68,42-02-22 ספרות '!$A$69:$A$88,0)</f>
        <v>7</v>
      </c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1"/>
      <c r="BR65" s="121"/>
      <c r="BS65" s="121"/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  <c r="CJ65" s="121"/>
      <c r="CK65" s="121"/>
      <c r="CL65" s="121"/>
      <c r="CM65" s="121"/>
      <c r="CN65" s="121"/>
      <c r="CO65" s="121"/>
    </row>
    <row r="66" spans="1:93" s="94" customFormat="1" ht="34.5" customHeight="1" x14ac:dyDescent="0.2">
      <c r="A66" s="51" t="s">
        <v>1375</v>
      </c>
      <c r="B66" s="105">
        <v>500206271</v>
      </c>
      <c r="C66" s="49">
        <v>1000549008</v>
      </c>
      <c r="D66" s="48">
        <v>20000075</v>
      </c>
      <c r="E66" s="46"/>
      <c r="F66" s="119"/>
      <c r="G66" s="119"/>
      <c r="H66" s="46"/>
      <c r="I66" s="46">
        <v>0</v>
      </c>
      <c r="J66" s="46">
        <v>13541</v>
      </c>
      <c r="K66" s="299">
        <v>13541</v>
      </c>
      <c r="L66" s="46">
        <f>J66-K66</f>
        <v>0</v>
      </c>
      <c r="M66" s="71"/>
      <c r="O66" s="288" t="e">
        <f>MATCH(B66,' ,69,42-02-68,42-02-22 ספרות '!$A$6:$A$67,0)</f>
        <v>#N/A</v>
      </c>
      <c r="P66" s="288" t="e">
        <f>MATCH(B66,' ,69,42-02-68,42-02-22 ספרות '!$A$69:$A$88,0)</f>
        <v>#N/A</v>
      </c>
    </row>
    <row r="67" spans="1:93" s="62" customFormat="1" ht="38.25" x14ac:dyDescent="0.2">
      <c r="A67" s="51" t="s">
        <v>1376</v>
      </c>
      <c r="B67" s="105">
        <v>590000659</v>
      </c>
      <c r="C67" s="49">
        <v>1000538102</v>
      </c>
      <c r="D67" s="48">
        <v>40000712</v>
      </c>
      <c r="E67" s="46">
        <v>0</v>
      </c>
      <c r="F67" s="46">
        <v>0</v>
      </c>
      <c r="G67" s="46">
        <v>65245</v>
      </c>
      <c r="H67" s="46">
        <v>62553</v>
      </c>
      <c r="I67" s="46">
        <v>65135</v>
      </c>
      <c r="J67" s="46">
        <v>58677</v>
      </c>
      <c r="K67" s="299">
        <v>58677</v>
      </c>
      <c r="L67" s="46">
        <f>J67-K67</f>
        <v>0</v>
      </c>
      <c r="M67" s="88"/>
      <c r="N67" s="121"/>
      <c r="O67" s="288">
        <f>MATCH(B67,' ,69,42-02-68,42-02-22 ספרות '!$A$6:$A$67,0)</f>
        <v>62</v>
      </c>
      <c r="P67" s="288" t="e">
        <f>MATCH(B67,' ,69,42-02-68,42-02-22 ספרות '!$A$69:$A$88,0)</f>
        <v>#N/A</v>
      </c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</row>
    <row r="68" spans="1:93" s="44" customFormat="1" ht="30" customHeight="1" x14ac:dyDescent="0.2">
      <c r="A68" s="51" t="s">
        <v>1377</v>
      </c>
      <c r="B68" s="182">
        <v>580352490</v>
      </c>
      <c r="C68" s="49">
        <v>1000553056</v>
      </c>
      <c r="D68" s="48">
        <v>40000242</v>
      </c>
      <c r="E68" s="46"/>
      <c r="F68" s="119"/>
      <c r="G68" s="119"/>
      <c r="H68" s="46"/>
      <c r="I68" s="46">
        <v>0</v>
      </c>
      <c r="J68" s="46">
        <v>13541</v>
      </c>
      <c r="K68" s="299">
        <v>13541</v>
      </c>
      <c r="L68" s="46">
        <f t="shared" ref="L68:L80" si="2">J68-K68</f>
        <v>0</v>
      </c>
      <c r="M68" s="75"/>
      <c r="O68" s="288">
        <f>MATCH(B68,' ,69,42-02-68,42-02-22 ספרות '!$A$6:$A$67,0)</f>
        <v>20</v>
      </c>
      <c r="P68" s="288" t="e">
        <f>MATCH(B68,' ,69,42-02-68,42-02-22 ספרות '!$A$69:$A$88,0)</f>
        <v>#N/A</v>
      </c>
    </row>
    <row r="69" spans="1:93" s="44" customFormat="1" ht="45.75" customHeight="1" x14ac:dyDescent="0.2">
      <c r="A69" s="51" t="s">
        <v>1304</v>
      </c>
      <c r="B69" s="50">
        <v>500262381</v>
      </c>
      <c r="C69" s="54">
        <v>1000545102</v>
      </c>
      <c r="D69" s="48">
        <v>20000212</v>
      </c>
      <c r="E69" s="46">
        <v>100000</v>
      </c>
      <c r="F69" s="46">
        <v>150000</v>
      </c>
      <c r="G69" s="119">
        <v>150000</v>
      </c>
      <c r="H69" s="46">
        <v>156382</v>
      </c>
      <c r="I69" s="46">
        <v>165342</v>
      </c>
      <c r="J69" s="46">
        <v>148950</v>
      </c>
      <c r="K69" s="299">
        <v>148950</v>
      </c>
      <c r="L69" s="46">
        <f t="shared" si="2"/>
        <v>0</v>
      </c>
      <c r="M69" s="79"/>
      <c r="O69" s="288" t="e">
        <f>MATCH(B69,' ,69,42-02-68,42-02-22 ספרות '!$A$6:$A$67,0)</f>
        <v>#N/A</v>
      </c>
      <c r="P69" s="288">
        <f>MATCH(B69,' ,69,42-02-68,42-02-22 ספרות '!$A$69:$A$88,0)</f>
        <v>6</v>
      </c>
    </row>
    <row r="70" spans="1:93" s="62" customFormat="1" ht="45.75" customHeight="1" x14ac:dyDescent="0.2">
      <c r="A70" s="51" t="s">
        <v>1378</v>
      </c>
      <c r="B70" s="105">
        <v>580390565</v>
      </c>
      <c r="C70" s="49">
        <v>1000546265</v>
      </c>
      <c r="D70" s="48">
        <v>40221505</v>
      </c>
      <c r="E70" s="46"/>
      <c r="F70" s="119"/>
      <c r="G70" s="119"/>
      <c r="H70" s="46"/>
      <c r="I70" s="46">
        <v>0</v>
      </c>
      <c r="J70" s="46">
        <v>4514</v>
      </c>
      <c r="K70" s="299">
        <v>4514</v>
      </c>
      <c r="L70" s="46">
        <f t="shared" si="2"/>
        <v>0</v>
      </c>
      <c r="M70" s="120"/>
      <c r="O70" s="288" t="e">
        <f>MATCH(B70,' ,69,42-02-68,42-02-22 ספרות '!$A$6:$A$67,0)</f>
        <v>#N/A</v>
      </c>
      <c r="P70" s="288" t="e">
        <f>MATCH(B70,' ,69,42-02-68,42-02-22 ספרות '!$A$69:$A$88,0)</f>
        <v>#N/A</v>
      </c>
    </row>
    <row r="71" spans="1:93" s="62" customFormat="1" ht="45.75" customHeight="1" x14ac:dyDescent="0.2">
      <c r="A71" s="51" t="s">
        <v>1379</v>
      </c>
      <c r="B71" s="105">
        <v>580390565</v>
      </c>
      <c r="C71" s="49">
        <v>1000546284</v>
      </c>
      <c r="D71" s="48">
        <v>40221505</v>
      </c>
      <c r="E71" s="46"/>
      <c r="F71" s="119"/>
      <c r="G71" s="119"/>
      <c r="H71" s="46"/>
      <c r="I71" s="46">
        <v>0</v>
      </c>
      <c r="J71" s="46">
        <v>4514</v>
      </c>
      <c r="K71" s="299">
        <v>4514</v>
      </c>
      <c r="L71" s="46">
        <f t="shared" si="2"/>
        <v>0</v>
      </c>
      <c r="M71" s="120"/>
      <c r="O71" s="288" t="e">
        <f>MATCH(B71,' ,69,42-02-68,42-02-22 ספרות '!$A$6:$A$67,0)</f>
        <v>#N/A</v>
      </c>
      <c r="P71" s="288" t="e">
        <f>MATCH(B71,' ,69,42-02-68,42-02-22 ספרות '!$A$69:$A$88,0)</f>
        <v>#N/A</v>
      </c>
    </row>
    <row r="72" spans="1:93" s="62" customFormat="1" ht="45.75" customHeight="1" x14ac:dyDescent="0.2">
      <c r="A72" s="51" t="s">
        <v>1380</v>
      </c>
      <c r="B72" s="105">
        <v>580390565</v>
      </c>
      <c r="C72" s="49">
        <v>1000546285</v>
      </c>
      <c r="D72" s="48">
        <v>40221505</v>
      </c>
      <c r="E72" s="46"/>
      <c r="F72" s="119"/>
      <c r="G72" s="119"/>
      <c r="H72" s="46"/>
      <c r="I72" s="46">
        <v>0</v>
      </c>
      <c r="J72" s="46">
        <v>4514</v>
      </c>
      <c r="K72" s="299">
        <v>4514</v>
      </c>
      <c r="L72" s="46">
        <f t="shared" si="2"/>
        <v>0</v>
      </c>
      <c r="M72" s="120"/>
      <c r="O72" s="288" t="e">
        <f>MATCH(B72,' ,69,42-02-68,42-02-22 ספרות '!$A$6:$A$67,0)</f>
        <v>#N/A</v>
      </c>
      <c r="P72" s="288" t="e">
        <f>MATCH(B72,' ,69,42-02-68,42-02-22 ספרות '!$A$69:$A$88,0)</f>
        <v>#N/A</v>
      </c>
    </row>
    <row r="73" spans="1:93" s="379" customFormat="1" ht="50.25" customHeight="1" x14ac:dyDescent="0.2">
      <c r="A73" s="85" t="s">
        <v>1381</v>
      </c>
      <c r="B73" s="66">
        <v>580282341</v>
      </c>
      <c r="C73" s="49">
        <v>1000550703</v>
      </c>
      <c r="D73" s="48">
        <v>40016795</v>
      </c>
      <c r="E73" s="46"/>
      <c r="F73" s="119"/>
      <c r="G73" s="119"/>
      <c r="H73" s="46"/>
      <c r="I73" s="46">
        <v>0</v>
      </c>
      <c r="J73" s="46">
        <v>36109</v>
      </c>
      <c r="K73" s="299">
        <v>36109</v>
      </c>
      <c r="L73" s="46">
        <f t="shared" si="2"/>
        <v>0</v>
      </c>
      <c r="M73" s="75"/>
      <c r="O73" s="288">
        <f>MATCH(B73,' ,69,42-02-68,42-02-22 ספרות '!$A$6:$A$67,0)</f>
        <v>41</v>
      </c>
      <c r="P73" s="288" t="e">
        <f>MATCH(B73,' ,69,42-02-68,42-02-22 ספרות '!$A$69:$A$88,0)</f>
        <v>#N/A</v>
      </c>
    </row>
    <row r="74" spans="1:93" s="62" customFormat="1" ht="38.25" customHeight="1" x14ac:dyDescent="0.2">
      <c r="A74" s="51" t="s">
        <v>1382</v>
      </c>
      <c r="B74" s="105">
        <v>580080224</v>
      </c>
      <c r="C74" s="49">
        <v>1000543028</v>
      </c>
      <c r="D74" s="48">
        <v>40000442</v>
      </c>
      <c r="E74" s="46">
        <v>0</v>
      </c>
      <c r="F74" s="119">
        <v>0</v>
      </c>
      <c r="G74" s="119">
        <v>100377</v>
      </c>
      <c r="H74" s="46">
        <v>104255</v>
      </c>
      <c r="I74" s="46">
        <v>100207</v>
      </c>
      <c r="J74" s="46">
        <v>90272</v>
      </c>
      <c r="K74" s="299">
        <v>90272</v>
      </c>
      <c r="L74" s="46">
        <f t="shared" si="2"/>
        <v>0</v>
      </c>
      <c r="M74" s="75"/>
      <c r="N74" s="121"/>
      <c r="O74" s="288">
        <f>MATCH(B74,' ,69,42-02-68,42-02-22 ספרות '!$A$6:$A$67,0)</f>
        <v>29</v>
      </c>
      <c r="P74" s="288" t="e">
        <f>MATCH(B74,' ,69,42-02-68,42-02-22 ספרות '!$A$69:$A$88,0)</f>
        <v>#N/A</v>
      </c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</row>
    <row r="75" spans="1:93" s="379" customFormat="1" ht="50.25" customHeight="1" x14ac:dyDescent="0.2">
      <c r="A75" s="85" t="s">
        <v>1383</v>
      </c>
      <c r="B75" s="66">
        <v>580002053</v>
      </c>
      <c r="C75" s="49">
        <v>1000537670</v>
      </c>
      <c r="D75" s="48">
        <v>40000047</v>
      </c>
      <c r="E75" s="46">
        <v>0</v>
      </c>
      <c r="F75" s="119">
        <v>0</v>
      </c>
      <c r="G75" s="119">
        <v>20000</v>
      </c>
      <c r="H75" s="46">
        <v>20000</v>
      </c>
      <c r="I75" s="46">
        <v>20000</v>
      </c>
      <c r="J75" s="46">
        <v>18054</v>
      </c>
      <c r="K75" s="299">
        <v>18054</v>
      </c>
      <c r="L75" s="46">
        <f t="shared" si="2"/>
        <v>0</v>
      </c>
      <c r="M75" s="75"/>
      <c r="O75" s="288" t="e">
        <f>MATCH(B75,' ,69,42-02-68,42-02-22 ספרות '!$A$6:$A$67,0)</f>
        <v>#N/A</v>
      </c>
      <c r="P75" s="288" t="e">
        <f>MATCH(B75,' ,69,42-02-68,42-02-22 ספרות '!$A$69:$A$88,0)</f>
        <v>#N/A</v>
      </c>
    </row>
    <row r="76" spans="1:93" s="62" customFormat="1" ht="30" customHeight="1" x14ac:dyDescent="0.2">
      <c r="A76" s="51" t="s">
        <v>1384</v>
      </c>
      <c r="B76" s="182">
        <v>580353597</v>
      </c>
      <c r="C76" s="49">
        <v>1000552584</v>
      </c>
      <c r="D76" s="48">
        <v>40216071</v>
      </c>
      <c r="E76" s="46">
        <v>17000</v>
      </c>
      <c r="F76" s="46">
        <v>20000</v>
      </c>
      <c r="G76" s="119">
        <v>24000</v>
      </c>
      <c r="H76" s="46">
        <v>25021</v>
      </c>
      <c r="I76" s="46">
        <v>59122</v>
      </c>
      <c r="J76" s="46">
        <v>53261</v>
      </c>
      <c r="K76" s="299">
        <v>53261</v>
      </c>
      <c r="L76" s="46">
        <f t="shared" si="2"/>
        <v>0</v>
      </c>
      <c r="M76" s="75"/>
      <c r="O76" s="288">
        <f>MATCH(B76,' ,69,42-02-68,42-02-22 ספרות '!$A$6:$A$67,0)</f>
        <v>23</v>
      </c>
      <c r="P76" s="288" t="e">
        <f>MATCH(B76,' ,69,42-02-68,42-02-22 ספרות '!$A$69:$A$88,0)</f>
        <v>#N/A</v>
      </c>
    </row>
    <row r="77" spans="1:93" s="62" customFormat="1" ht="30" customHeight="1" x14ac:dyDescent="0.2">
      <c r="A77" s="51" t="s">
        <v>1385</v>
      </c>
      <c r="B77" s="182">
        <v>580353597</v>
      </c>
      <c r="C77" s="49">
        <v>1000553661</v>
      </c>
      <c r="D77" s="48">
        <v>40216071</v>
      </c>
      <c r="E77" s="46">
        <v>0</v>
      </c>
      <c r="F77" s="46">
        <v>0</v>
      </c>
      <c r="G77" s="119">
        <v>0</v>
      </c>
      <c r="H77" s="46">
        <v>12511</v>
      </c>
      <c r="I77" s="46">
        <v>32066</v>
      </c>
      <c r="J77" s="46">
        <v>28887</v>
      </c>
      <c r="K77" s="299">
        <v>28887</v>
      </c>
      <c r="L77" s="46">
        <f t="shared" si="2"/>
        <v>0</v>
      </c>
      <c r="M77" s="75"/>
      <c r="O77" s="288">
        <f>MATCH(B77,' ,69,42-02-68,42-02-22 ספרות '!$A$6:$A$67,0)</f>
        <v>23</v>
      </c>
      <c r="P77" s="288" t="e">
        <f>MATCH(B77,' ,69,42-02-68,42-02-22 ספרות '!$A$69:$A$88,0)</f>
        <v>#N/A</v>
      </c>
    </row>
    <row r="78" spans="1:93" s="379" customFormat="1" ht="51" customHeight="1" x14ac:dyDescent="0.2">
      <c r="A78" s="496" t="s">
        <v>1386</v>
      </c>
      <c r="B78" s="389">
        <v>511757114</v>
      </c>
      <c r="C78" s="49">
        <v>1000546429</v>
      </c>
      <c r="D78" s="305">
        <v>40000291</v>
      </c>
      <c r="E78" s="46"/>
      <c r="F78" s="119"/>
      <c r="G78" s="119"/>
      <c r="H78" s="46"/>
      <c r="I78" s="46">
        <v>0</v>
      </c>
      <c r="J78" s="46">
        <v>11735</v>
      </c>
      <c r="K78" s="299">
        <v>11735</v>
      </c>
      <c r="L78" s="46">
        <f>J78-K78</f>
        <v>0</v>
      </c>
      <c r="M78" s="75"/>
      <c r="O78" s="288">
        <f>MATCH(B78,' ,69,42-02-68,42-02-22 ספרות '!$A$6:$A$67,0)</f>
        <v>40</v>
      </c>
      <c r="P78" s="288" t="e">
        <f>MATCH(B78,' ,69,42-02-68,42-02-22 ספרות '!$A$69:$A$88,0)</f>
        <v>#N/A</v>
      </c>
    </row>
    <row r="79" spans="1:93" s="62" customFormat="1" ht="45.75" customHeight="1" x14ac:dyDescent="0.2">
      <c r="A79" s="55" t="s">
        <v>1387</v>
      </c>
      <c r="B79" s="50">
        <v>580465011</v>
      </c>
      <c r="C79" s="49">
        <v>1000541952</v>
      </c>
      <c r="D79" s="48">
        <v>40374764</v>
      </c>
      <c r="E79" s="46"/>
      <c r="F79" s="119"/>
      <c r="G79" s="119"/>
      <c r="H79" s="46"/>
      <c r="I79" s="46">
        <v>0</v>
      </c>
      <c r="J79" s="46">
        <v>27082</v>
      </c>
      <c r="K79" s="299">
        <v>27082</v>
      </c>
      <c r="L79" s="46">
        <f t="shared" si="2"/>
        <v>0</v>
      </c>
      <c r="M79" s="120"/>
      <c r="O79" s="288">
        <f>MATCH(B79,' ,69,42-02-68,42-02-22 ספרות '!$A$6:$A$67,0)</f>
        <v>39</v>
      </c>
      <c r="P79" s="288" t="e">
        <f>MATCH(B79,' ,69,42-02-68,42-02-22 ספרות '!$A$69:$A$88,0)</f>
        <v>#N/A</v>
      </c>
    </row>
    <row r="80" spans="1:93" s="62" customFormat="1" ht="38.25" customHeight="1" x14ac:dyDescent="0.2">
      <c r="A80" s="55" t="s">
        <v>1388</v>
      </c>
      <c r="B80" s="50">
        <v>580465011</v>
      </c>
      <c r="C80" s="49">
        <v>1000541953</v>
      </c>
      <c r="D80" s="48">
        <v>40374764</v>
      </c>
      <c r="E80" s="46">
        <v>0</v>
      </c>
      <c r="F80" s="119">
        <v>0</v>
      </c>
      <c r="G80" s="119">
        <v>0</v>
      </c>
      <c r="H80" s="46">
        <v>0</v>
      </c>
      <c r="I80" s="46">
        <v>50000</v>
      </c>
      <c r="J80" s="46">
        <v>35206</v>
      </c>
      <c r="K80" s="299">
        <v>35206</v>
      </c>
      <c r="L80" s="46">
        <f t="shared" si="2"/>
        <v>0</v>
      </c>
      <c r="M80" s="58"/>
      <c r="O80" s="288">
        <f>MATCH(B80,' ,69,42-02-68,42-02-22 ספרות '!$A$6:$A$67,0)</f>
        <v>39</v>
      </c>
      <c r="P80" s="288" t="e">
        <f>MATCH(B80,' ,69,42-02-68,42-02-22 ספרות '!$A$69:$A$88,0)</f>
        <v>#N/A</v>
      </c>
    </row>
    <row r="81" spans="1:16" s="44" customFormat="1" ht="33.75" customHeight="1" x14ac:dyDescent="0.2">
      <c r="A81" s="72" t="s">
        <v>1389</v>
      </c>
      <c r="B81" s="53">
        <v>580149698</v>
      </c>
      <c r="C81" s="49">
        <v>1000553320</v>
      </c>
      <c r="D81" s="48">
        <v>40000509</v>
      </c>
      <c r="E81" s="46">
        <v>20000</v>
      </c>
      <c r="F81" s="119">
        <v>10000</v>
      </c>
      <c r="G81" s="119">
        <v>10038</v>
      </c>
      <c r="H81" s="46">
        <v>25021</v>
      </c>
      <c r="I81" s="46">
        <v>40083</v>
      </c>
      <c r="J81" s="46">
        <v>36019</v>
      </c>
      <c r="K81" s="299">
        <v>36019</v>
      </c>
      <c r="L81" s="46">
        <f>J81-K81</f>
        <v>0</v>
      </c>
      <c r="M81" s="497"/>
      <c r="O81" s="288">
        <f>MATCH(B81,' ,69,42-02-68,42-02-22 ספרות '!$A$6:$A$67,0)</f>
        <v>21</v>
      </c>
      <c r="P81" s="288" t="e">
        <f>MATCH(B81,' ,69,42-02-68,42-02-22 ספרות '!$A$69:$A$88,0)</f>
        <v>#N/A</v>
      </c>
    </row>
    <row r="82" spans="1:16" ht="51" customHeight="1" x14ac:dyDescent="0.2">
      <c r="J82" s="395">
        <f>SUM(J3:J81)</f>
        <v>10388643</v>
      </c>
    </row>
  </sheetData>
  <conditionalFormatting sqref="O3:P81">
    <cfRule type="containsErrors" dxfId="6" priority="1">
      <formula>ISERROR(O3)</formula>
    </cfRule>
  </conditionalFormatting>
  <pageMargins left="0.11811023622047245" right="0.15748031496062992" top="0.47244094488188981" bottom="0.47244094488188981" header="0.15748031496062992" footer="0.19685039370078741"/>
  <pageSetup paperSize="9" scale="80" orientation="landscape" r:id="rId1"/>
  <headerFooter alignWithMargins="0">
    <oddHeader>&amp;C&amp;"Guttman Yad-Brush,רגיל"&amp;14תקנת ספרות - 42-02-22</oddHeader>
    <oddFooter>&amp;L&amp;D&amp;C&amp;P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4"/>
  <dimension ref="A1:CR33"/>
  <sheetViews>
    <sheetView rightToLeft="1" zoomScale="80" zoomScaleNormal="80" zoomScaleSheetLayoutView="100" workbookViewId="0">
      <pane ySplit="1" topLeftCell="A2" activePane="bottomLeft" state="frozen"/>
      <selection pane="bottomLeft" activeCell="B7" sqref="B7"/>
    </sheetView>
  </sheetViews>
  <sheetFormatPr defaultColWidth="0.7109375" defaultRowHeight="12.75" x14ac:dyDescent="0.2"/>
  <cols>
    <col min="1" max="1" width="26.7109375" style="41" customWidth="1"/>
    <col min="2" max="2" width="10.85546875" style="41" bestFit="1" customWidth="1"/>
    <col min="3" max="3" width="13.5703125" style="41" customWidth="1"/>
    <col min="4" max="4" width="10.42578125" style="41" customWidth="1"/>
    <col min="5" max="5" width="11.85546875" style="41" hidden="1" customWidth="1"/>
    <col min="6" max="6" width="13.140625" style="41" hidden="1" customWidth="1"/>
    <col min="7" max="7" width="11.85546875" style="41" hidden="1" customWidth="1"/>
    <col min="8" max="8" width="13" style="510" hidden="1" customWidth="1"/>
    <col min="9" max="9" width="13" style="117" hidden="1" customWidth="1"/>
    <col min="10" max="12" width="13" style="117" customWidth="1"/>
    <col min="13" max="13" width="36.7109375" style="43" customWidth="1"/>
    <col min="14" max="14" width="35" style="115" customWidth="1"/>
    <col min="15" max="16" width="11.85546875" style="115" customWidth="1"/>
    <col min="17" max="17" width="22.140625" style="43" customWidth="1"/>
    <col min="18" max="18" width="30" style="43" customWidth="1"/>
    <col min="19" max="19" width="13" style="114" customWidth="1"/>
    <col min="20" max="79" width="0.7109375" style="42"/>
    <col min="80" max="16384" width="0.7109375" style="41"/>
  </cols>
  <sheetData>
    <row r="1" spans="1:96" s="99" customFormat="1" ht="41.2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</row>
    <row r="2" spans="1:96" s="94" customFormat="1" ht="30" customHeight="1" x14ac:dyDescent="0.2">
      <c r="A2" s="145" t="s">
        <v>1413</v>
      </c>
      <c r="B2" s="144"/>
      <c r="C2" s="144"/>
      <c r="D2" s="144"/>
      <c r="E2" s="153"/>
      <c r="F2" s="153"/>
      <c r="G2" s="153"/>
      <c r="H2" s="153"/>
      <c r="I2" s="153"/>
      <c r="J2" s="153"/>
      <c r="K2" s="153"/>
      <c r="L2" s="153"/>
      <c r="M2" s="244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</row>
    <row r="3" spans="1:96" s="379" customFormat="1" ht="38.25" customHeight="1" x14ac:dyDescent="0.2">
      <c r="A3" s="507" t="s">
        <v>1414</v>
      </c>
      <c r="B3" s="50">
        <v>500222062</v>
      </c>
      <c r="C3" s="54">
        <v>1000543507</v>
      </c>
      <c r="D3" s="48">
        <v>20000132</v>
      </c>
      <c r="E3" s="46"/>
      <c r="F3" s="119"/>
      <c r="G3" s="46"/>
      <c r="H3" s="46"/>
      <c r="I3" s="46">
        <v>0</v>
      </c>
      <c r="J3" s="46">
        <v>200424</v>
      </c>
      <c r="K3" s="46">
        <v>183828</v>
      </c>
      <c r="L3" s="74">
        <v>16596</v>
      </c>
      <c r="M3" s="508" t="s">
        <v>1415</v>
      </c>
      <c r="O3" s="288" t="e">
        <f>MATCH(B3,'42-02-28 קולנוע'!$B$4:$B$26,0)</f>
        <v>#N/A</v>
      </c>
    </row>
    <row r="4" spans="1:96" s="62" customFormat="1" ht="48.75" customHeight="1" x14ac:dyDescent="0.2">
      <c r="A4" s="85" t="s">
        <v>1416</v>
      </c>
      <c r="B4" s="66">
        <v>580002053</v>
      </c>
      <c r="C4" s="49">
        <v>1000537528</v>
      </c>
      <c r="D4" s="48">
        <v>40000047</v>
      </c>
      <c r="E4" s="46">
        <v>336418</v>
      </c>
      <c r="F4" s="46">
        <v>359863</v>
      </c>
      <c r="G4" s="46">
        <v>338487</v>
      </c>
      <c r="H4" s="46">
        <v>311341</v>
      </c>
      <c r="I4" s="46">
        <v>306430</v>
      </c>
      <c r="J4" s="46">
        <v>305772</v>
      </c>
      <c r="K4" s="46">
        <v>280452</v>
      </c>
      <c r="L4" s="74">
        <v>25320</v>
      </c>
      <c r="M4" s="508" t="s">
        <v>1415</v>
      </c>
      <c r="N4" s="121"/>
      <c r="O4" s="288">
        <f>MATCH(B4,'42-02-28 קולנוע'!$B$4:$B$26,0)</f>
        <v>6</v>
      </c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</row>
    <row r="5" spans="1:96" s="379" customFormat="1" ht="38.1" customHeight="1" x14ac:dyDescent="0.2">
      <c r="A5" s="85" t="s">
        <v>1417</v>
      </c>
      <c r="B5" s="66">
        <v>510145022</v>
      </c>
      <c r="C5" s="49">
        <v>1000538084</v>
      </c>
      <c r="D5" s="48">
        <v>40000252</v>
      </c>
      <c r="E5" s="46">
        <v>295104</v>
      </c>
      <c r="F5" s="119">
        <v>314063</v>
      </c>
      <c r="G5" s="46">
        <v>225658</v>
      </c>
      <c r="H5" s="46">
        <v>300000</v>
      </c>
      <c r="I5" s="46">
        <v>265573</v>
      </c>
      <c r="J5" s="46">
        <v>255063</v>
      </c>
      <c r="K5" s="46">
        <v>233942</v>
      </c>
      <c r="L5" s="74">
        <v>21121</v>
      </c>
      <c r="M5" s="508" t="s">
        <v>1415</v>
      </c>
      <c r="O5" s="288">
        <f>MATCH(B5,'42-02-28 קולנוע'!$B$4:$B$26,0)</f>
        <v>10</v>
      </c>
    </row>
    <row r="6" spans="1:96" s="379" customFormat="1" ht="38.1" customHeight="1" x14ac:dyDescent="0.2">
      <c r="A6" s="55" t="s">
        <v>1418</v>
      </c>
      <c r="B6" s="50">
        <v>580350403</v>
      </c>
      <c r="C6" s="49">
        <v>1000541608</v>
      </c>
      <c r="D6" s="48">
        <v>40000702</v>
      </c>
      <c r="E6" s="46">
        <v>289202</v>
      </c>
      <c r="F6" s="119">
        <v>333691</v>
      </c>
      <c r="G6" s="46">
        <v>298997</v>
      </c>
      <c r="H6" s="46">
        <v>249073</v>
      </c>
      <c r="I6" s="46">
        <v>245144</v>
      </c>
      <c r="J6" s="46">
        <v>260922</v>
      </c>
      <c r="K6" s="46">
        <v>239316</v>
      </c>
      <c r="L6" s="74">
        <v>21606</v>
      </c>
      <c r="M6" s="508" t="s">
        <v>1415</v>
      </c>
      <c r="O6" s="288">
        <f>MATCH(B6,'42-02-28 קולנוע'!$B$4:$B$26,0)</f>
        <v>23</v>
      </c>
    </row>
    <row r="7" spans="1:96" s="62" customFormat="1" ht="66.75" customHeight="1" x14ac:dyDescent="0.2">
      <c r="A7" s="507" t="s">
        <v>1419</v>
      </c>
      <c r="B7" s="50">
        <v>580488104</v>
      </c>
      <c r="C7" s="49">
        <v>1000540559</v>
      </c>
      <c r="D7" s="48">
        <v>40384415</v>
      </c>
      <c r="E7" s="46">
        <v>252600</v>
      </c>
      <c r="F7" s="119">
        <v>281348</v>
      </c>
      <c r="G7" s="46">
        <v>298997</v>
      </c>
      <c r="H7" s="46">
        <v>249073</v>
      </c>
      <c r="I7" s="46">
        <v>245144</v>
      </c>
      <c r="J7" s="46">
        <v>260922</v>
      </c>
      <c r="K7" s="46">
        <v>239316</v>
      </c>
      <c r="L7" s="74">
        <v>21606</v>
      </c>
      <c r="M7" s="508" t="s">
        <v>1415</v>
      </c>
      <c r="N7" s="121"/>
      <c r="O7" s="288">
        <f>MATCH(B7,'42-02-28 קולנוע'!$B$4:$B$26,0)</f>
        <v>17</v>
      </c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</row>
    <row r="8" spans="1:96" s="62" customFormat="1" ht="60" customHeight="1" x14ac:dyDescent="0.2">
      <c r="A8" s="85" t="s">
        <v>1420</v>
      </c>
      <c r="B8" s="66">
        <v>580002053</v>
      </c>
      <c r="C8" s="54">
        <v>1000537654</v>
      </c>
      <c r="D8" s="48">
        <v>40000047</v>
      </c>
      <c r="E8" s="46">
        <v>139442</v>
      </c>
      <c r="F8" s="119">
        <v>137954</v>
      </c>
      <c r="G8" s="46">
        <v>108789</v>
      </c>
      <c r="H8" s="46">
        <v>102302</v>
      </c>
      <c r="I8" s="46">
        <v>104265</v>
      </c>
      <c r="J8" s="46">
        <v>253418</v>
      </c>
      <c r="K8" s="46">
        <v>126709</v>
      </c>
      <c r="L8" s="74">
        <v>126709</v>
      </c>
      <c r="M8" s="73" t="s">
        <v>483</v>
      </c>
      <c r="N8" s="121"/>
      <c r="O8" s="288">
        <f>MATCH(B8,'42-02-28 קולנוע'!$B$4:$B$26,0)</f>
        <v>6</v>
      </c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</row>
    <row r="9" spans="1:96" s="379" customFormat="1" ht="38.1" customHeight="1" x14ac:dyDescent="0.2">
      <c r="A9" s="45" t="s">
        <v>1421</v>
      </c>
      <c r="B9" s="66">
        <v>512287350</v>
      </c>
      <c r="C9" s="49">
        <v>1000551954</v>
      </c>
      <c r="D9" s="48">
        <v>40000293</v>
      </c>
      <c r="E9" s="46">
        <v>0</v>
      </c>
      <c r="F9" s="119">
        <v>0</v>
      </c>
      <c r="G9" s="46">
        <v>169243</v>
      </c>
      <c r="H9" s="46">
        <v>129725</v>
      </c>
      <c r="I9" s="46">
        <v>178751</v>
      </c>
      <c r="J9" s="46">
        <v>205712</v>
      </c>
      <c r="K9" s="46">
        <f t="shared" ref="K9:K32" si="0">J9*100%</f>
        <v>205712</v>
      </c>
      <c r="L9" s="46">
        <v>0</v>
      </c>
      <c r="M9" s="88"/>
      <c r="O9" s="288">
        <f>MATCH(B9,'42-02-28 קולנוע'!$B$4:$B$26,0)</f>
        <v>21</v>
      </c>
    </row>
    <row r="10" spans="1:96" s="62" customFormat="1" ht="38.25" x14ac:dyDescent="0.2">
      <c r="A10" s="85" t="s">
        <v>1422</v>
      </c>
      <c r="B10" s="66">
        <v>580059277</v>
      </c>
      <c r="C10" s="49">
        <v>1000545899</v>
      </c>
      <c r="D10" s="48">
        <v>40000411</v>
      </c>
      <c r="E10" s="46">
        <v>348222</v>
      </c>
      <c r="F10" s="119">
        <v>386035</v>
      </c>
      <c r="G10" s="119">
        <v>338487</v>
      </c>
      <c r="H10" s="46">
        <v>311341</v>
      </c>
      <c r="I10" s="46">
        <v>306430</v>
      </c>
      <c r="J10" s="46">
        <v>314243</v>
      </c>
      <c r="K10" s="46">
        <f t="shared" si="0"/>
        <v>314243</v>
      </c>
      <c r="L10" s="46">
        <v>0</v>
      </c>
      <c r="M10" s="52"/>
      <c r="N10" s="121"/>
      <c r="O10" s="288">
        <f>MATCH(B10,'42-02-28 קולנוע'!$B$4:$B$26,0)</f>
        <v>8</v>
      </c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</row>
    <row r="11" spans="1:96" s="379" customFormat="1" ht="38.1" customHeight="1" x14ac:dyDescent="0.2">
      <c r="A11" s="507" t="s">
        <v>1423</v>
      </c>
      <c r="B11" s="50">
        <v>580530616</v>
      </c>
      <c r="C11" s="54">
        <v>1000532715</v>
      </c>
      <c r="D11" s="48">
        <v>40822680</v>
      </c>
      <c r="E11" s="46"/>
      <c r="F11" s="119"/>
      <c r="G11" s="46"/>
      <c r="H11" s="46"/>
      <c r="I11" s="46">
        <v>0</v>
      </c>
      <c r="J11" s="46">
        <v>145995</v>
      </c>
      <c r="K11" s="46">
        <f t="shared" si="0"/>
        <v>145995</v>
      </c>
      <c r="L11" s="46">
        <v>0</v>
      </c>
      <c r="M11" s="48"/>
      <c r="O11" s="288" t="e">
        <f>MATCH(B11,'42-02-28 קולנוע'!$B$4:$B$26,0)</f>
        <v>#N/A</v>
      </c>
    </row>
    <row r="12" spans="1:96" s="62" customFormat="1" ht="39.950000000000003" customHeight="1" x14ac:dyDescent="0.2">
      <c r="A12" s="55" t="s">
        <v>1424</v>
      </c>
      <c r="B12" s="50">
        <v>580356210</v>
      </c>
      <c r="C12" s="49">
        <v>1000546529</v>
      </c>
      <c r="D12" s="48">
        <v>40216073</v>
      </c>
      <c r="E12" s="46">
        <v>207554</v>
      </c>
      <c r="F12" s="46">
        <v>186495</v>
      </c>
      <c r="G12" s="46">
        <v>163859</v>
      </c>
      <c r="H12" s="46">
        <v>158684</v>
      </c>
      <c r="I12" s="46">
        <v>167500</v>
      </c>
      <c r="J12" s="46">
        <v>165028</v>
      </c>
      <c r="K12" s="46">
        <f t="shared" si="0"/>
        <v>165028</v>
      </c>
      <c r="L12" s="46">
        <v>0</v>
      </c>
      <c r="M12" s="79"/>
      <c r="N12" s="121"/>
      <c r="O12" s="288">
        <f>MATCH(B12,'42-02-28 קולנוע'!$B$4:$B$26,0)</f>
        <v>18</v>
      </c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</row>
    <row r="13" spans="1:96" s="379" customFormat="1" ht="38.1" customHeight="1" x14ac:dyDescent="0.2">
      <c r="A13" s="55" t="s">
        <v>1425</v>
      </c>
      <c r="B13" s="50">
        <v>580322451</v>
      </c>
      <c r="C13" s="49">
        <v>1000544688</v>
      </c>
      <c r="D13" s="48">
        <v>40019188</v>
      </c>
      <c r="E13" s="46">
        <v>308763</v>
      </c>
      <c r="F13" s="119">
        <v>340286</v>
      </c>
      <c r="G13" s="46">
        <v>388531</v>
      </c>
      <c r="H13" s="46">
        <v>409207</v>
      </c>
      <c r="I13" s="46">
        <v>399683</v>
      </c>
      <c r="J13" s="46">
        <v>478779</v>
      </c>
      <c r="K13" s="46">
        <f t="shared" si="0"/>
        <v>478779</v>
      </c>
      <c r="L13" s="46">
        <v>0</v>
      </c>
      <c r="M13" s="79"/>
      <c r="O13" s="288">
        <f>MATCH(B13,'42-02-28 קולנוע'!$B$4:$B$26,0)</f>
        <v>20</v>
      </c>
    </row>
    <row r="14" spans="1:96" s="62" customFormat="1" ht="38.1" customHeight="1" x14ac:dyDescent="0.2">
      <c r="A14" s="85" t="s">
        <v>1407</v>
      </c>
      <c r="B14" s="66">
        <v>580390961</v>
      </c>
      <c r="C14" s="49">
        <v>1000537334</v>
      </c>
      <c r="D14" s="48">
        <v>40216007</v>
      </c>
      <c r="E14" s="46">
        <v>502485</v>
      </c>
      <c r="F14" s="46">
        <v>501167</v>
      </c>
      <c r="G14" s="46">
        <v>660900</v>
      </c>
      <c r="H14" s="46">
        <v>764806</v>
      </c>
      <c r="I14" s="46">
        <v>760239</v>
      </c>
      <c r="J14" s="46">
        <f>1014096-23140</f>
        <v>990956</v>
      </c>
      <c r="K14" s="46">
        <f t="shared" si="0"/>
        <v>990956</v>
      </c>
      <c r="L14" s="46">
        <v>0</v>
      </c>
      <c r="M14" s="79"/>
      <c r="N14" s="121"/>
      <c r="O14" s="288">
        <f>MATCH(B14,'42-02-28 קולנוע'!$B$4:$B$26,0)</f>
        <v>19</v>
      </c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</row>
    <row r="15" spans="1:96" s="62" customFormat="1" ht="48.75" customHeight="1" x14ac:dyDescent="0.2">
      <c r="A15" s="85" t="s">
        <v>1426</v>
      </c>
      <c r="B15" s="66">
        <v>580059277</v>
      </c>
      <c r="C15" s="49">
        <v>1000545967</v>
      </c>
      <c r="D15" s="48">
        <v>40000411</v>
      </c>
      <c r="E15" s="46">
        <v>657912</v>
      </c>
      <c r="F15" s="119">
        <v>784572</v>
      </c>
      <c r="G15" s="46">
        <v>766867</v>
      </c>
      <c r="H15" s="46">
        <v>784572</v>
      </c>
      <c r="I15" s="46">
        <v>785038</v>
      </c>
      <c r="J15" s="46">
        <v>832500</v>
      </c>
      <c r="K15" s="46">
        <f t="shared" si="0"/>
        <v>832500</v>
      </c>
      <c r="L15" s="46">
        <v>0</v>
      </c>
      <c r="M15" s="52"/>
      <c r="N15" s="121"/>
      <c r="O15" s="288">
        <f>MATCH(B15,'42-02-28 קולנוע'!$B$4:$B$26,0)</f>
        <v>8</v>
      </c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</row>
    <row r="16" spans="1:96" s="379" customFormat="1" ht="46.5" customHeight="1" x14ac:dyDescent="0.2">
      <c r="A16" s="85" t="s">
        <v>1427</v>
      </c>
      <c r="B16" s="66">
        <v>580059277</v>
      </c>
      <c r="C16" s="49">
        <v>1000545990</v>
      </c>
      <c r="D16" s="48">
        <v>40000411</v>
      </c>
      <c r="E16" s="46">
        <v>687248</v>
      </c>
      <c r="F16" s="119">
        <v>616193</v>
      </c>
      <c r="G16" s="46">
        <v>528402</v>
      </c>
      <c r="H16" s="46">
        <v>585910</v>
      </c>
      <c r="I16" s="46">
        <v>495259</v>
      </c>
      <c r="J16" s="46">
        <v>397061</v>
      </c>
      <c r="K16" s="46">
        <f t="shared" si="0"/>
        <v>397061</v>
      </c>
      <c r="L16" s="46">
        <v>0</v>
      </c>
      <c r="M16" s="52"/>
      <c r="O16" s="288">
        <f>MATCH(B16,'42-02-28 קולנוע'!$B$4:$B$26,0)</f>
        <v>8</v>
      </c>
    </row>
    <row r="17" spans="1:95" s="379" customFormat="1" ht="38.1" customHeight="1" x14ac:dyDescent="0.2">
      <c r="A17" s="85" t="s">
        <v>1428</v>
      </c>
      <c r="B17" s="66">
        <v>580059277</v>
      </c>
      <c r="C17" s="54">
        <v>1000545994</v>
      </c>
      <c r="D17" s="48">
        <v>40000411</v>
      </c>
      <c r="E17" s="46">
        <v>179282</v>
      </c>
      <c r="F17" s="119">
        <v>183938</v>
      </c>
      <c r="G17" s="46">
        <v>132101</v>
      </c>
      <c r="H17" s="46">
        <v>102302</v>
      </c>
      <c r="I17" s="46">
        <v>69510</v>
      </c>
      <c r="J17" s="46">
        <v>191472</v>
      </c>
      <c r="K17" s="46">
        <f t="shared" si="0"/>
        <v>191472</v>
      </c>
      <c r="L17" s="46">
        <v>0</v>
      </c>
      <c r="M17" s="52"/>
      <c r="O17" s="288">
        <f>MATCH(B17,'42-02-28 קולנוע'!$B$4:$B$26,0)</f>
        <v>8</v>
      </c>
    </row>
    <row r="18" spans="1:95" s="62" customFormat="1" ht="35.25" customHeight="1" x14ac:dyDescent="0.2">
      <c r="A18" s="85" t="s">
        <v>1429</v>
      </c>
      <c r="B18" s="66">
        <v>580151272</v>
      </c>
      <c r="C18" s="49">
        <v>1000544441</v>
      </c>
      <c r="D18" s="48">
        <v>40000511</v>
      </c>
      <c r="E18" s="46">
        <v>393746</v>
      </c>
      <c r="F18" s="46">
        <v>404167</v>
      </c>
      <c r="G18" s="46">
        <v>405981</v>
      </c>
      <c r="H18" s="46">
        <v>371477</v>
      </c>
      <c r="I18" s="46">
        <v>359002</v>
      </c>
      <c r="J18" s="46">
        <v>481195</v>
      </c>
      <c r="K18" s="46">
        <f t="shared" si="0"/>
        <v>481195</v>
      </c>
      <c r="L18" s="46">
        <v>0</v>
      </c>
      <c r="M18" s="79"/>
      <c r="N18" s="121"/>
      <c r="O18" s="288">
        <f>MATCH(B18,'42-02-28 קולנוע'!$B$4:$B$26,0)</f>
        <v>14</v>
      </c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</row>
    <row r="19" spans="1:95" s="62" customFormat="1" ht="38.1" customHeight="1" x14ac:dyDescent="0.2">
      <c r="A19" s="55" t="s">
        <v>1430</v>
      </c>
      <c r="B19" s="50">
        <v>589931187</v>
      </c>
      <c r="C19" s="54">
        <v>1000531861</v>
      </c>
      <c r="D19" s="48">
        <v>40000243</v>
      </c>
      <c r="E19" s="46">
        <v>256050</v>
      </c>
      <c r="F19" s="119">
        <v>136366</v>
      </c>
      <c r="G19" s="46">
        <v>233119</v>
      </c>
      <c r="H19" s="46">
        <v>104440</v>
      </c>
      <c r="I19" s="46">
        <v>390994</v>
      </c>
      <c r="J19" s="46">
        <v>454192</v>
      </c>
      <c r="K19" s="46">
        <f t="shared" si="0"/>
        <v>454192</v>
      </c>
      <c r="L19" s="46">
        <v>0</v>
      </c>
      <c r="M19" s="79"/>
      <c r="N19" s="121"/>
      <c r="O19" s="288">
        <f>MATCH(B19,'42-02-28 קולנוע'!$B$4:$B$26,0)</f>
        <v>9</v>
      </c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</row>
    <row r="20" spans="1:95" s="379" customFormat="1" ht="50.25" customHeight="1" x14ac:dyDescent="0.2">
      <c r="A20" s="55" t="s">
        <v>1431</v>
      </c>
      <c r="B20" s="50">
        <v>580004133</v>
      </c>
      <c r="C20" s="49">
        <v>1000541026</v>
      </c>
      <c r="D20" s="48">
        <v>40000317</v>
      </c>
      <c r="E20" s="46">
        <v>207554</v>
      </c>
      <c r="F20" s="119">
        <v>196856</v>
      </c>
      <c r="G20" s="46">
        <v>174783</v>
      </c>
      <c r="H20" s="46">
        <v>169263</v>
      </c>
      <c r="I20" s="46">
        <v>167500</v>
      </c>
      <c r="J20" s="46">
        <v>165028</v>
      </c>
      <c r="K20" s="46">
        <f t="shared" si="0"/>
        <v>165028</v>
      </c>
      <c r="L20" s="46">
        <v>0</v>
      </c>
      <c r="M20" s="88"/>
      <c r="O20" s="288">
        <f>MATCH(B20,'42-02-28 קולנוע'!$B$4:$B$26,0)</f>
        <v>11</v>
      </c>
    </row>
    <row r="21" spans="1:95" s="62" customFormat="1" ht="38.1" customHeight="1" x14ac:dyDescent="0.2">
      <c r="A21" s="85" t="s">
        <v>1432</v>
      </c>
      <c r="B21" s="66">
        <v>510145022</v>
      </c>
      <c r="C21" s="49">
        <v>1000538082</v>
      </c>
      <c r="D21" s="48">
        <v>40000252</v>
      </c>
      <c r="E21" s="46">
        <v>637477</v>
      </c>
      <c r="F21" s="46">
        <v>634587</v>
      </c>
      <c r="G21" s="46">
        <v>536173</v>
      </c>
      <c r="H21" s="46">
        <v>585910</v>
      </c>
      <c r="I21" s="46">
        <v>556081</v>
      </c>
      <c r="J21" s="46">
        <v>679434</v>
      </c>
      <c r="K21" s="46">
        <f t="shared" si="0"/>
        <v>679434</v>
      </c>
      <c r="L21" s="46">
        <v>0</v>
      </c>
      <c r="M21" s="75"/>
      <c r="N21" s="121"/>
      <c r="O21" s="288">
        <f>MATCH(B21,'42-02-28 קולנוע'!$B$4:$B$26,0)</f>
        <v>10</v>
      </c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</row>
    <row r="22" spans="1:95" s="379" customFormat="1" ht="38.1" customHeight="1" x14ac:dyDescent="0.2">
      <c r="A22" s="55" t="s">
        <v>1433</v>
      </c>
      <c r="B22" s="50">
        <v>580149540</v>
      </c>
      <c r="C22" s="49">
        <v>1000534432</v>
      </c>
      <c r="D22" s="48">
        <v>40000508</v>
      </c>
      <c r="E22" s="272">
        <v>185707</v>
      </c>
      <c r="F22" s="272">
        <v>165773</v>
      </c>
      <c r="G22" s="272">
        <v>152935</v>
      </c>
      <c r="H22" s="46">
        <v>148105</v>
      </c>
      <c r="I22" s="46">
        <v>146563</v>
      </c>
      <c r="J22" s="46">
        <v>165082</v>
      </c>
      <c r="K22" s="46">
        <f t="shared" si="0"/>
        <v>165082</v>
      </c>
      <c r="L22" s="46">
        <v>0</v>
      </c>
      <c r="M22" s="79"/>
      <c r="O22" s="288">
        <f>MATCH(B22,'42-02-28 קולנוע'!$B$4:$B$26,0)</f>
        <v>13</v>
      </c>
    </row>
    <row r="23" spans="1:95" s="62" customFormat="1" ht="49.5" customHeight="1" x14ac:dyDescent="0.2">
      <c r="A23" s="55" t="s">
        <v>1434</v>
      </c>
      <c r="B23" s="50">
        <v>580198802</v>
      </c>
      <c r="C23" s="49">
        <v>1000534435</v>
      </c>
      <c r="D23" s="48">
        <v>40000548</v>
      </c>
      <c r="E23" s="46">
        <v>103777</v>
      </c>
      <c r="F23" s="119">
        <v>134691</v>
      </c>
      <c r="G23" s="46">
        <v>120163</v>
      </c>
      <c r="H23" s="46">
        <v>148105</v>
      </c>
      <c r="I23" s="46">
        <v>146563</v>
      </c>
      <c r="J23" s="46">
        <v>146646</v>
      </c>
      <c r="K23" s="46">
        <f t="shared" si="0"/>
        <v>146646</v>
      </c>
      <c r="L23" s="46">
        <v>0</v>
      </c>
      <c r="M23" s="79"/>
      <c r="N23" s="121"/>
      <c r="O23" s="288">
        <f>MATCH(B23,'42-02-28 קולנוע'!$B$4:$B$26,0)</f>
        <v>15</v>
      </c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</row>
    <row r="24" spans="1:95" s="379" customFormat="1" ht="39.75" customHeight="1" x14ac:dyDescent="0.2">
      <c r="A24" s="55" t="s">
        <v>1435</v>
      </c>
      <c r="B24" s="50">
        <v>580324101</v>
      </c>
      <c r="C24" s="49">
        <v>1000544628</v>
      </c>
      <c r="D24" s="48">
        <v>40000681</v>
      </c>
      <c r="E24" s="46">
        <v>448205</v>
      </c>
      <c r="F24" s="46">
        <v>404664</v>
      </c>
      <c r="G24" s="46">
        <v>450696</v>
      </c>
      <c r="H24" s="46">
        <v>465008</v>
      </c>
      <c r="I24" s="46">
        <v>451816</v>
      </c>
      <c r="J24" s="46">
        <v>530142</v>
      </c>
      <c r="K24" s="46">
        <f t="shared" si="0"/>
        <v>530142</v>
      </c>
      <c r="L24" s="46">
        <v>0</v>
      </c>
      <c r="M24" s="79"/>
      <c r="O24" s="288">
        <f>MATCH(B24,'42-02-28 קולנוע'!$B$4:$B$26,0)</f>
        <v>7</v>
      </c>
    </row>
    <row r="25" spans="1:95" s="379" customFormat="1" ht="52.5" customHeight="1" x14ac:dyDescent="0.2">
      <c r="A25" s="85" t="s">
        <v>1436</v>
      </c>
      <c r="B25" s="66">
        <v>580002053</v>
      </c>
      <c r="C25" s="54">
        <v>1000537638</v>
      </c>
      <c r="D25" s="48">
        <v>40000047</v>
      </c>
      <c r="E25" s="46">
        <v>0</v>
      </c>
      <c r="F25" s="119">
        <v>0</v>
      </c>
      <c r="G25" s="46">
        <v>77706</v>
      </c>
      <c r="H25" s="46">
        <v>102302</v>
      </c>
      <c r="I25" s="46">
        <v>78199</v>
      </c>
      <c r="J25" s="46">
        <v>338063</v>
      </c>
      <c r="K25" s="46">
        <f t="shared" si="0"/>
        <v>338063</v>
      </c>
      <c r="L25" s="46">
        <v>0</v>
      </c>
      <c r="M25" s="79"/>
      <c r="O25" s="288">
        <f>MATCH(B25,'42-02-28 קולנוע'!$B$4:$B$26,0)</f>
        <v>6</v>
      </c>
    </row>
    <row r="26" spans="1:95" s="379" customFormat="1" ht="48.75" customHeight="1" x14ac:dyDescent="0.2">
      <c r="A26" s="85" t="s">
        <v>1437</v>
      </c>
      <c r="B26" s="66">
        <v>580002053</v>
      </c>
      <c r="C26" s="54">
        <v>1000537655</v>
      </c>
      <c r="D26" s="48">
        <v>40000047</v>
      </c>
      <c r="E26" s="46">
        <v>149402</v>
      </c>
      <c r="F26" s="46">
        <v>128757</v>
      </c>
      <c r="G26" s="46">
        <v>147642</v>
      </c>
      <c r="H26" s="46">
        <v>120902</v>
      </c>
      <c r="I26" s="46">
        <v>121643</v>
      </c>
      <c r="J26" s="46">
        <v>338062</v>
      </c>
      <c r="K26" s="46">
        <f t="shared" si="0"/>
        <v>338062</v>
      </c>
      <c r="L26" s="46">
        <v>0</v>
      </c>
      <c r="M26" s="79"/>
      <c r="O26" s="288">
        <f>MATCH(B26,'42-02-28 קולנוע'!$B$4:$B$26,0)</f>
        <v>6</v>
      </c>
    </row>
    <row r="27" spans="1:95" s="379" customFormat="1" ht="38.1" customHeight="1" x14ac:dyDescent="0.2">
      <c r="A27" s="85" t="s">
        <v>1438</v>
      </c>
      <c r="B27" s="66">
        <v>580002053</v>
      </c>
      <c r="C27" s="49">
        <v>1000537656</v>
      </c>
      <c r="D27" s="48">
        <v>40000047</v>
      </c>
      <c r="E27" s="46">
        <v>347088</v>
      </c>
      <c r="F27" s="119">
        <v>220428</v>
      </c>
      <c r="G27" s="46">
        <v>238133</v>
      </c>
      <c r="H27" s="46">
        <v>220428</v>
      </c>
      <c r="I27" s="46">
        <v>219962</v>
      </c>
      <c r="J27" s="46">
        <v>227500</v>
      </c>
      <c r="K27" s="46">
        <f t="shared" si="0"/>
        <v>227500</v>
      </c>
      <c r="L27" s="46">
        <v>0</v>
      </c>
      <c r="M27" s="79"/>
      <c r="O27" s="288">
        <f>MATCH(B27,'42-02-28 קולנוע'!$B$4:$B$26,0)</f>
        <v>6</v>
      </c>
    </row>
    <row r="28" spans="1:95" s="62" customFormat="1" ht="38.1" customHeight="1" x14ac:dyDescent="0.2">
      <c r="A28" s="85" t="s">
        <v>1439</v>
      </c>
      <c r="B28" s="66">
        <v>580002053</v>
      </c>
      <c r="C28" s="54">
        <v>1000537660</v>
      </c>
      <c r="D28" s="48">
        <v>40000047</v>
      </c>
      <c r="E28" s="46">
        <v>0</v>
      </c>
      <c r="F28" s="119">
        <v>101166</v>
      </c>
      <c r="G28" s="46">
        <v>93247</v>
      </c>
      <c r="H28" s="46">
        <v>93002</v>
      </c>
      <c r="I28" s="46">
        <v>104265</v>
      </c>
      <c r="J28" s="46">
        <v>244203</v>
      </c>
      <c r="K28" s="46">
        <f t="shared" si="0"/>
        <v>244203</v>
      </c>
      <c r="L28" s="46">
        <v>0</v>
      </c>
      <c r="M28" s="79"/>
      <c r="N28" s="121"/>
      <c r="O28" s="288">
        <f>MATCH(B28,'42-02-28 קולנוע'!$B$4:$B$26,0)</f>
        <v>6</v>
      </c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</row>
    <row r="29" spans="1:95" s="379" customFormat="1" ht="38.1" customHeight="1" x14ac:dyDescent="0.2">
      <c r="A29" s="55" t="s">
        <v>1440</v>
      </c>
      <c r="B29" s="50">
        <v>580092609</v>
      </c>
      <c r="C29" s="49">
        <v>1000545009</v>
      </c>
      <c r="D29" s="48">
        <v>40000457</v>
      </c>
      <c r="E29" s="46">
        <v>103777</v>
      </c>
      <c r="F29" s="119">
        <v>134691</v>
      </c>
      <c r="G29" s="46">
        <v>152935</v>
      </c>
      <c r="H29" s="46">
        <v>148105</v>
      </c>
      <c r="I29" s="46">
        <v>146563</v>
      </c>
      <c r="J29" s="46">
        <v>146646</v>
      </c>
      <c r="K29" s="46">
        <f t="shared" si="0"/>
        <v>146646</v>
      </c>
      <c r="L29" s="46">
        <v>0</v>
      </c>
      <c r="M29" s="75"/>
      <c r="O29" s="288">
        <f>MATCH(B29,'42-02-28 קולנוע'!$B$4:$B$26,0)</f>
        <v>12</v>
      </c>
    </row>
    <row r="30" spans="1:95" s="379" customFormat="1" ht="38.1" customHeight="1" x14ac:dyDescent="0.2">
      <c r="A30" s="507" t="s">
        <v>1441</v>
      </c>
      <c r="B30" s="50">
        <v>580498657</v>
      </c>
      <c r="C30" s="54">
        <v>1000537262</v>
      </c>
      <c r="D30" s="48">
        <v>40468737</v>
      </c>
      <c r="E30" s="46">
        <v>0</v>
      </c>
      <c r="F30" s="119">
        <v>0</v>
      </c>
      <c r="G30" s="46">
        <v>76467</v>
      </c>
      <c r="H30" s="46">
        <v>74053</v>
      </c>
      <c r="I30" s="46">
        <v>73281</v>
      </c>
      <c r="J30" s="46">
        <v>72200</v>
      </c>
      <c r="K30" s="46">
        <f t="shared" si="0"/>
        <v>72200</v>
      </c>
      <c r="L30" s="46">
        <v>0</v>
      </c>
      <c r="M30" s="48"/>
      <c r="O30" s="288">
        <f>MATCH(B30,'42-02-28 קולנוע'!$B$4:$B$26,0)</f>
        <v>22</v>
      </c>
    </row>
    <row r="31" spans="1:95" s="62" customFormat="1" ht="25.5" x14ac:dyDescent="0.2">
      <c r="A31" s="55" t="s">
        <v>1442</v>
      </c>
      <c r="B31" s="50">
        <v>580318590</v>
      </c>
      <c r="C31" s="49">
        <v>1000544633</v>
      </c>
      <c r="D31" s="48">
        <v>40000679</v>
      </c>
      <c r="E31" s="46">
        <v>196630</v>
      </c>
      <c r="F31" s="46">
        <v>186495</v>
      </c>
      <c r="G31" s="46">
        <v>163859</v>
      </c>
      <c r="H31" s="46">
        <v>158684</v>
      </c>
      <c r="I31" s="46">
        <v>157031</v>
      </c>
      <c r="J31" s="46">
        <v>156321</v>
      </c>
      <c r="K31" s="46">
        <f t="shared" si="0"/>
        <v>156321</v>
      </c>
      <c r="L31" s="46">
        <v>0</v>
      </c>
      <c r="M31" s="509"/>
      <c r="N31" s="121"/>
      <c r="O31" s="288">
        <f>MATCH(B31,'42-02-28 קולנוע'!$B$4:$B$26,0)</f>
        <v>16</v>
      </c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</row>
    <row r="32" spans="1:95" s="62" customFormat="1" ht="48" customHeight="1" x14ac:dyDescent="0.2">
      <c r="A32" s="134" t="s">
        <v>1443</v>
      </c>
      <c r="B32" s="126">
        <v>580318590</v>
      </c>
      <c r="C32" s="189">
        <v>1000544592</v>
      </c>
      <c r="D32" s="132">
        <v>40000679</v>
      </c>
      <c r="E32" s="119">
        <v>97400</v>
      </c>
      <c r="F32" s="119">
        <v>80833</v>
      </c>
      <c r="G32" s="119">
        <v>66090</v>
      </c>
      <c r="H32" s="46">
        <v>32777</v>
      </c>
      <c r="I32" s="46">
        <v>70000</v>
      </c>
      <c r="J32" s="46">
        <v>253625</v>
      </c>
      <c r="K32" s="46">
        <f t="shared" si="0"/>
        <v>253625</v>
      </c>
      <c r="L32" s="46">
        <v>0</v>
      </c>
      <c r="M32" s="509"/>
      <c r="N32" s="121"/>
      <c r="O32" s="288">
        <f>MATCH(B32,'42-02-28 קולנוע'!$B$4:$B$26,0)</f>
        <v>16</v>
      </c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</row>
    <row r="33" spans="10:10" x14ac:dyDescent="0.2">
      <c r="J33" s="46">
        <f>SUM(J3:J32)</f>
        <v>9656606</v>
      </c>
    </row>
  </sheetData>
  <conditionalFormatting sqref="O3:O32">
    <cfRule type="containsErrors" dxfId="5" priority="1">
      <formula>ISERROR(O3)</formula>
    </cfRule>
  </conditionalFormatting>
  <pageMargins left="0.11811023622047245" right="0.15748031496062992" top="0.47244094488188981" bottom="0.47244094488188981" header="0.15748031496062992" footer="0.19685039370078741"/>
  <pageSetup paperSize="9" scale="80" orientation="landscape" r:id="rId1"/>
  <headerFooter alignWithMargins="0">
    <oddHeader>&amp;C&amp;"Guttman Yad-Brush,רגיל"&amp;14תקנת קולנוע - 42-02-28</oddHeader>
    <oddFooter>&amp;L&amp;D&amp;C&amp;P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5">
    <pageSetUpPr fitToPage="1"/>
  </sheetPr>
  <dimension ref="A1:CW250"/>
  <sheetViews>
    <sheetView rightToLeft="1" zoomScale="80" zoomScaleNormal="80" zoomScaleSheetLayoutView="100" workbookViewId="0">
      <pane ySplit="1" topLeftCell="A2" activePane="bottomLeft" state="frozen"/>
      <selection pane="bottomLeft" activeCell="B5" sqref="B5"/>
    </sheetView>
  </sheetViews>
  <sheetFormatPr defaultColWidth="0.7109375" defaultRowHeight="12.75" x14ac:dyDescent="0.2"/>
  <cols>
    <col min="1" max="1" width="26.5703125" style="41" customWidth="1"/>
    <col min="2" max="2" width="10.85546875" style="41" bestFit="1" customWidth="1"/>
    <col min="3" max="3" width="12" style="41" bestFit="1" customWidth="1"/>
    <col min="4" max="4" width="9.85546875" style="41" customWidth="1"/>
    <col min="5" max="5" width="13.42578125" style="41" hidden="1" customWidth="1"/>
    <col min="6" max="9" width="13.28515625" style="41" hidden="1" customWidth="1"/>
    <col min="10" max="12" width="13.28515625" style="589" customWidth="1"/>
    <col min="13" max="14" width="32.5703125" style="116" customWidth="1"/>
    <col min="15" max="15" width="32" style="43" customWidth="1"/>
    <col min="16" max="16" width="10.42578125" style="43" customWidth="1"/>
    <col min="17" max="17" width="9" style="114" customWidth="1"/>
    <col min="18" max="19" width="0.7109375" style="42"/>
    <col min="20" max="20" width="2.140625" style="42" customWidth="1"/>
    <col min="21" max="101" width="0.7109375" style="42"/>
    <col min="102" max="16384" width="0.7109375" style="41"/>
  </cols>
  <sheetData>
    <row r="1" spans="1:101" s="99" customFormat="1" ht="41.2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</row>
    <row r="2" spans="1:101" s="94" customFormat="1" ht="30" customHeight="1" x14ac:dyDescent="0.2">
      <c r="A2" s="145" t="s">
        <v>1608</v>
      </c>
      <c r="B2" s="153"/>
      <c r="C2" s="153"/>
      <c r="D2" s="153"/>
      <c r="E2" s="153"/>
      <c r="F2" s="153"/>
      <c r="G2" s="153"/>
      <c r="H2" s="153"/>
      <c r="I2" s="153"/>
      <c r="J2" s="524"/>
      <c r="K2" s="524"/>
      <c r="L2" s="524"/>
      <c r="M2" s="492"/>
      <c r="N2" s="98"/>
      <c r="O2" s="43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  <c r="CT2" s="98"/>
    </row>
    <row r="3" spans="1:101" s="62" customFormat="1" ht="60" customHeight="1" x14ac:dyDescent="0.2">
      <c r="A3" s="134" t="s">
        <v>1609</v>
      </c>
      <c r="B3" s="50">
        <v>580356210</v>
      </c>
      <c r="C3" s="49">
        <v>1000546535</v>
      </c>
      <c r="D3" s="48">
        <v>40216073</v>
      </c>
      <c r="E3" s="46">
        <v>0</v>
      </c>
      <c r="F3" s="46">
        <v>0</v>
      </c>
      <c r="G3" s="46">
        <v>0</v>
      </c>
      <c r="H3" s="284">
        <v>90000</v>
      </c>
      <c r="I3" s="119">
        <v>0</v>
      </c>
      <c r="J3" s="46">
        <v>280000</v>
      </c>
      <c r="K3" s="46">
        <v>210000</v>
      </c>
      <c r="L3" s="74">
        <v>70000</v>
      </c>
      <c r="M3" s="245" t="s">
        <v>956</v>
      </c>
      <c r="N3" s="121"/>
      <c r="O3" s="288">
        <f>MATCH(B3,'42-02-31 תרבות בקהילה'!$B$5:$B$120,0)</f>
        <v>70</v>
      </c>
      <c r="P3" s="288" t="e">
        <f>MATCH(B3,'42-02-31 תרבות בקהילה'!$B$122:$B$190,0)</f>
        <v>#N/A</v>
      </c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</row>
    <row r="4" spans="1:101" ht="38.25" x14ac:dyDescent="0.2">
      <c r="A4" s="487" t="s">
        <v>1610</v>
      </c>
      <c r="B4" s="318">
        <v>580401776</v>
      </c>
      <c r="C4" s="494">
        <v>1000542410</v>
      </c>
      <c r="D4" s="319">
        <v>40170066</v>
      </c>
      <c r="E4" s="46">
        <v>45789</v>
      </c>
      <c r="F4" s="101">
        <v>81201</v>
      </c>
      <c r="G4" s="284">
        <v>50000</v>
      </c>
      <c r="H4" s="284">
        <v>0</v>
      </c>
      <c r="I4" s="119">
        <f>61474</f>
        <v>61474</v>
      </c>
      <c r="J4" s="46">
        <v>77456</v>
      </c>
      <c r="K4" s="46">
        <v>49244</v>
      </c>
      <c r="L4" s="74">
        <v>28212</v>
      </c>
      <c r="M4" s="525" t="s">
        <v>1611</v>
      </c>
      <c r="N4" s="42"/>
      <c r="O4" s="288">
        <f>MATCH(B4,'42-02-31 תרבות בקהילה'!$B$5:$B$120,0)</f>
        <v>43</v>
      </c>
      <c r="P4" s="288" t="e">
        <f>MATCH(B4,'42-02-31 תרבות בקהילה'!$B$122:$B$190,0)</f>
        <v>#N/A</v>
      </c>
      <c r="Q4" s="42"/>
      <c r="CR4" s="41"/>
      <c r="CS4" s="41"/>
      <c r="CT4" s="41"/>
      <c r="CU4" s="41"/>
      <c r="CV4" s="41"/>
      <c r="CW4" s="41"/>
    </row>
    <row r="5" spans="1:101" s="62" customFormat="1" ht="40.5" customHeight="1" x14ac:dyDescent="0.2">
      <c r="A5" s="51" t="s">
        <v>1612</v>
      </c>
      <c r="B5" s="105">
        <v>580503613</v>
      </c>
      <c r="C5" s="60">
        <v>1000553479</v>
      </c>
      <c r="D5" s="48">
        <v>40395783</v>
      </c>
      <c r="E5" s="46"/>
      <c r="F5" s="46"/>
      <c r="G5" s="46"/>
      <c r="H5" s="297"/>
      <c r="I5" s="119">
        <v>0</v>
      </c>
      <c r="J5" s="46">
        <v>170000</v>
      </c>
      <c r="K5" s="46">
        <v>144540</v>
      </c>
      <c r="L5" s="74">
        <v>25460</v>
      </c>
      <c r="M5" s="526" t="s">
        <v>1613</v>
      </c>
      <c r="N5" s="121"/>
      <c r="O5" s="288">
        <f>MATCH(B5,'42-02-31 תרבות בקהילה'!$B$5:$B$120,0)</f>
        <v>48</v>
      </c>
      <c r="P5" s="288" t="e">
        <f>MATCH(B5,'42-02-31 תרבות בקהילה'!$B$122:$B$190,0)</f>
        <v>#N/A</v>
      </c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</row>
    <row r="6" spans="1:101" s="62" customFormat="1" ht="37.5" customHeight="1" x14ac:dyDescent="0.2">
      <c r="A6" s="527" t="s">
        <v>1614</v>
      </c>
      <c r="B6" s="528">
        <v>500290002</v>
      </c>
      <c r="C6" s="529">
        <v>1000544732</v>
      </c>
      <c r="D6" s="530">
        <v>20000254</v>
      </c>
      <c r="E6" s="46">
        <v>70000</v>
      </c>
      <c r="F6" s="382">
        <v>90000</v>
      </c>
      <c r="G6" s="284">
        <v>80000</v>
      </c>
      <c r="H6" s="46">
        <v>90000</v>
      </c>
      <c r="I6" s="531">
        <v>98359</v>
      </c>
      <c r="J6" s="46">
        <v>98359</v>
      </c>
      <c r="K6" s="46">
        <f t="shared" ref="K6:K7" si="0">J6*100%</f>
        <v>98359</v>
      </c>
      <c r="L6" s="59">
        <v>0</v>
      </c>
      <c r="M6" s="532"/>
      <c r="O6" s="288" t="e">
        <f>MATCH(B6,'42-02-31 תרבות בקהילה'!$B$5:$B$120,0)</f>
        <v>#N/A</v>
      </c>
      <c r="P6" s="288">
        <f>MATCH(B6,'42-02-31 תרבות בקהילה'!$B$122:$B$190,0)</f>
        <v>1</v>
      </c>
    </row>
    <row r="7" spans="1:101" s="62" customFormat="1" ht="60" customHeight="1" x14ac:dyDescent="0.2">
      <c r="A7" s="55" t="s">
        <v>1615</v>
      </c>
      <c r="B7" s="533">
        <v>580322451</v>
      </c>
      <c r="C7" s="534">
        <v>1000539987</v>
      </c>
      <c r="D7" s="535">
        <v>40019188</v>
      </c>
      <c r="E7" s="536">
        <v>180000</v>
      </c>
      <c r="F7" s="119">
        <v>200000</v>
      </c>
      <c r="G7" s="46">
        <v>165000</v>
      </c>
      <c r="H7" s="46">
        <v>165000</v>
      </c>
      <c r="I7" s="46">
        <v>165000</v>
      </c>
      <c r="J7" s="46">
        <v>165000</v>
      </c>
      <c r="K7" s="46">
        <f t="shared" si="0"/>
        <v>165000</v>
      </c>
      <c r="L7" s="59">
        <v>0</v>
      </c>
      <c r="M7" s="79"/>
      <c r="N7" s="316"/>
      <c r="O7" s="288">
        <f>MATCH(B7,'42-02-31 תרבות בקהילה'!$B$5:$B$120,0)</f>
        <v>53</v>
      </c>
      <c r="P7" s="288" t="e">
        <f>MATCH(B7,'42-02-31 תרבות בקהילה'!$B$122:$B$190,0)</f>
        <v>#N/A</v>
      </c>
    </row>
    <row r="8" spans="1:101" s="62" customFormat="1" ht="57" customHeight="1" x14ac:dyDescent="0.2">
      <c r="A8" s="55" t="s">
        <v>1616</v>
      </c>
      <c r="B8" s="533">
        <v>580103471</v>
      </c>
      <c r="C8" s="534">
        <v>1000545893</v>
      </c>
      <c r="D8" s="535">
        <v>40016246</v>
      </c>
      <c r="E8" s="536">
        <v>190000</v>
      </c>
      <c r="F8" s="119">
        <v>225000</v>
      </c>
      <c r="G8" s="46">
        <v>200000</v>
      </c>
      <c r="H8" s="46">
        <v>200000</v>
      </c>
      <c r="I8" s="46">
        <v>140000</v>
      </c>
      <c r="J8" s="46">
        <v>140000</v>
      </c>
      <c r="K8" s="46">
        <f>J8*100%</f>
        <v>140000</v>
      </c>
      <c r="L8" s="59">
        <v>0</v>
      </c>
      <c r="M8" s="77"/>
      <c r="N8" s="316"/>
      <c r="O8" s="288" t="e">
        <f>MATCH(B8,'42-02-31 תרבות בקהילה'!$B$5:$B$120,0)</f>
        <v>#N/A</v>
      </c>
      <c r="P8" s="288" t="e">
        <f>MATCH(B8,'42-02-31 תרבות בקהילה'!$B$122:$B$190,0)</f>
        <v>#N/A</v>
      </c>
    </row>
    <row r="9" spans="1:101" s="62" customFormat="1" ht="48" customHeight="1" x14ac:dyDescent="0.2">
      <c r="A9" s="537" t="s">
        <v>1617</v>
      </c>
      <c r="B9" s="538">
        <v>580150761</v>
      </c>
      <c r="C9" s="534">
        <v>1000539620</v>
      </c>
      <c r="D9" s="539">
        <v>40000155</v>
      </c>
      <c r="E9" s="119">
        <v>60000</v>
      </c>
      <c r="F9" s="46">
        <v>60000</v>
      </c>
      <c r="G9" s="46">
        <v>60000</v>
      </c>
      <c r="H9" s="46">
        <v>60000</v>
      </c>
      <c r="I9" s="46">
        <v>60000</v>
      </c>
      <c r="J9" s="46">
        <v>60000</v>
      </c>
      <c r="K9" s="46">
        <f t="shared" ref="K9:K22" si="1">J9*100%</f>
        <v>60000</v>
      </c>
      <c r="L9" s="59">
        <v>0</v>
      </c>
      <c r="M9" s="298"/>
      <c r="N9" s="316"/>
      <c r="O9" s="288">
        <f>MATCH(B9,'42-02-31 תרבות בקהילה'!$B$5:$B$120,0)</f>
        <v>19</v>
      </c>
      <c r="P9" s="288" t="e">
        <f>MATCH(B9,'42-02-31 תרבות בקהילה'!$B$122:$B$190,0)</f>
        <v>#N/A</v>
      </c>
    </row>
    <row r="10" spans="1:101" ht="60" customHeight="1" x14ac:dyDescent="0.2">
      <c r="A10" s="55" t="s">
        <v>1446</v>
      </c>
      <c r="B10" s="533">
        <v>580366110</v>
      </c>
      <c r="C10" s="534">
        <v>1000542799</v>
      </c>
      <c r="D10" s="48">
        <v>40216079</v>
      </c>
      <c r="E10" s="536">
        <v>180000</v>
      </c>
      <c r="F10" s="536">
        <v>180000</v>
      </c>
      <c r="G10" s="46">
        <v>180000</v>
      </c>
      <c r="H10" s="119">
        <v>180000</v>
      </c>
      <c r="I10" s="46">
        <v>180000</v>
      </c>
      <c r="J10" s="46">
        <v>180000</v>
      </c>
      <c r="K10" s="46">
        <f t="shared" si="1"/>
        <v>180000</v>
      </c>
      <c r="L10" s="59">
        <v>0</v>
      </c>
      <c r="M10" s="75"/>
      <c r="O10" s="288">
        <f>MATCH(B10,'42-02-31 תרבות בקהילה'!$B$5:$B$120,0)</f>
        <v>3</v>
      </c>
      <c r="P10" s="288" t="e">
        <f>MATCH(B10,'42-02-31 תרבות בקהילה'!$B$122:$B$190,0)</f>
        <v>#N/A</v>
      </c>
    </row>
    <row r="11" spans="1:101" s="62" customFormat="1" ht="66" customHeight="1" x14ac:dyDescent="0.2">
      <c r="A11" s="527" t="s">
        <v>1618</v>
      </c>
      <c r="B11" s="528">
        <v>510662224</v>
      </c>
      <c r="C11" s="534">
        <v>1000538345</v>
      </c>
      <c r="D11" s="530">
        <v>40000020</v>
      </c>
      <c r="E11" s="46">
        <v>45000</v>
      </c>
      <c r="F11" s="382">
        <v>46987</v>
      </c>
      <c r="G11" s="284">
        <v>60000</v>
      </c>
      <c r="H11" s="284">
        <v>80000</v>
      </c>
      <c r="I11" s="531">
        <v>73769</v>
      </c>
      <c r="J11" s="46">
        <v>85664</v>
      </c>
      <c r="K11" s="46">
        <f t="shared" si="1"/>
        <v>85664</v>
      </c>
      <c r="L11" s="59">
        <v>0</v>
      </c>
      <c r="M11" s="77"/>
      <c r="O11" s="288">
        <f>MATCH(B11,'42-02-31 תרבות בקהילה'!$B$5:$B$120,0)</f>
        <v>15</v>
      </c>
      <c r="P11" s="288" t="e">
        <f>MATCH(B11,'42-02-31 תרבות בקהילה'!$B$122:$B$190,0)</f>
        <v>#N/A</v>
      </c>
    </row>
    <row r="12" spans="1:101" s="62" customFormat="1" ht="64.5" customHeight="1" x14ac:dyDescent="0.2">
      <c r="A12" s="540" t="s">
        <v>1619</v>
      </c>
      <c r="B12" s="541">
        <v>580433456</v>
      </c>
      <c r="C12" s="534">
        <v>1000543551</v>
      </c>
      <c r="D12" s="542">
        <v>40223834</v>
      </c>
      <c r="E12" s="46">
        <v>0</v>
      </c>
      <c r="F12" s="101">
        <v>0</v>
      </c>
      <c r="G12" s="284">
        <v>0</v>
      </c>
      <c r="H12" s="284">
        <v>0</v>
      </c>
      <c r="I12" s="59">
        <v>49179</v>
      </c>
      <c r="J12" s="46">
        <v>57110</v>
      </c>
      <c r="K12" s="46">
        <f t="shared" si="1"/>
        <v>57110</v>
      </c>
      <c r="L12" s="59">
        <v>0</v>
      </c>
      <c r="M12" s="532"/>
      <c r="O12" s="288">
        <f>MATCH(B12,'42-02-31 תרבות בקהילה'!$B$5:$B$120,0)</f>
        <v>80</v>
      </c>
      <c r="P12" s="288" t="e">
        <f>MATCH(B12,'42-02-31 תרבות בקהילה'!$B$122:$B$190,0)</f>
        <v>#N/A</v>
      </c>
    </row>
    <row r="13" spans="1:101" s="62" customFormat="1" ht="50.25" customHeight="1" x14ac:dyDescent="0.2">
      <c r="A13" s="487" t="s">
        <v>1620</v>
      </c>
      <c r="B13" s="543">
        <v>500225305</v>
      </c>
      <c r="C13" s="529">
        <v>1000551843</v>
      </c>
      <c r="D13" s="544">
        <v>20000142</v>
      </c>
      <c r="E13" s="46">
        <v>0</v>
      </c>
      <c r="F13" s="46">
        <v>0</v>
      </c>
      <c r="G13" s="284">
        <v>0</v>
      </c>
      <c r="H13" s="284">
        <v>0</v>
      </c>
      <c r="I13" s="46">
        <v>96700</v>
      </c>
      <c r="J13" s="46">
        <v>138062</v>
      </c>
      <c r="K13" s="46">
        <f>J13*100%</f>
        <v>138062</v>
      </c>
      <c r="L13" s="59">
        <v>0</v>
      </c>
      <c r="M13" s="77"/>
      <c r="O13" s="288" t="e">
        <f>MATCH(B13,'42-02-31 תרבות בקהילה'!$B$5:$B$120,0)</f>
        <v>#N/A</v>
      </c>
      <c r="P13" s="288">
        <f>MATCH(B13,'42-02-31 תרבות בקהילה'!$B$122:$B$190,0)</f>
        <v>48</v>
      </c>
    </row>
    <row r="14" spans="1:101" s="62" customFormat="1" ht="36" customHeight="1" x14ac:dyDescent="0.2">
      <c r="A14" s="545" t="s">
        <v>1621</v>
      </c>
      <c r="B14" s="528">
        <v>500250006</v>
      </c>
      <c r="C14" s="529">
        <v>1000545224</v>
      </c>
      <c r="D14" s="530">
        <v>20000201</v>
      </c>
      <c r="E14" s="119">
        <v>0</v>
      </c>
      <c r="F14" s="382">
        <v>79163</v>
      </c>
      <c r="G14" s="284">
        <v>50000</v>
      </c>
      <c r="H14" s="284">
        <v>50000</v>
      </c>
      <c r="I14" s="46">
        <v>61474</v>
      </c>
      <c r="J14" s="46">
        <v>71387</v>
      </c>
      <c r="K14" s="46">
        <f>J14*100%</f>
        <v>71387</v>
      </c>
      <c r="L14" s="59">
        <v>0</v>
      </c>
      <c r="M14" s="532"/>
      <c r="O14" s="288" t="e">
        <f>MATCH(B14,'42-02-31 תרבות בקהילה'!$B$5:$B$120,0)</f>
        <v>#N/A</v>
      </c>
      <c r="P14" s="288">
        <f>MATCH(B14,'42-02-31 תרבות בקהילה'!$B$122:$B$190,0)</f>
        <v>4</v>
      </c>
    </row>
    <row r="15" spans="1:101" s="43" customFormat="1" ht="48" customHeight="1" x14ac:dyDescent="0.2">
      <c r="A15" s="546" t="s">
        <v>1622</v>
      </c>
      <c r="B15" s="547">
        <v>510542764</v>
      </c>
      <c r="C15" s="534">
        <v>1000543032</v>
      </c>
      <c r="D15" s="56">
        <v>40000258</v>
      </c>
      <c r="E15" s="46">
        <v>35000</v>
      </c>
      <c r="F15" s="101">
        <v>65000</v>
      </c>
      <c r="G15" s="284">
        <v>45000</v>
      </c>
      <c r="H15" s="297">
        <v>65000</v>
      </c>
      <c r="I15" s="46">
        <v>60000</v>
      </c>
      <c r="J15" s="46">
        <v>70000</v>
      </c>
      <c r="K15" s="46">
        <f>J15*100%</f>
        <v>70000</v>
      </c>
      <c r="L15" s="59">
        <v>0</v>
      </c>
      <c r="M15" s="77"/>
      <c r="N15" s="116"/>
      <c r="O15" s="288">
        <f>MATCH(B15,'42-02-31 תרבות בקהילה'!$B$5:$B$120,0)</f>
        <v>23</v>
      </c>
      <c r="P15" s="288" t="e">
        <f>MATCH(B15,'42-02-31 תרבות בקהילה'!$B$122:$B$190,0)</f>
        <v>#N/A</v>
      </c>
      <c r="Q15" s="114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</row>
    <row r="16" spans="1:101" s="42" customFormat="1" ht="45.75" customHeight="1" x14ac:dyDescent="0.2">
      <c r="A16" s="527" t="s">
        <v>1623</v>
      </c>
      <c r="B16" s="528">
        <v>510632219</v>
      </c>
      <c r="C16" s="534">
        <v>1000536757</v>
      </c>
      <c r="D16" s="56">
        <v>40182988</v>
      </c>
      <c r="E16" s="46">
        <v>0</v>
      </c>
      <c r="F16" s="46">
        <v>50000</v>
      </c>
      <c r="G16" s="284">
        <v>50000</v>
      </c>
      <c r="H16" s="297">
        <v>50000</v>
      </c>
      <c r="I16" s="46">
        <v>50000</v>
      </c>
      <c r="J16" s="46">
        <v>70000</v>
      </c>
      <c r="K16" s="46">
        <f t="shared" si="1"/>
        <v>70000</v>
      </c>
      <c r="L16" s="59">
        <v>0</v>
      </c>
      <c r="M16" s="532"/>
      <c r="N16" s="116"/>
      <c r="O16" s="288">
        <f>MATCH(B16,'42-02-31 תרבות בקהילה'!$B$5:$B$120,0)</f>
        <v>45</v>
      </c>
      <c r="P16" s="288" t="e">
        <f>MATCH(B16,'42-02-31 תרבות בקהילה'!$B$122:$B$190,0)</f>
        <v>#N/A</v>
      </c>
      <c r="Q16" s="114"/>
    </row>
    <row r="17" spans="1:100" s="42" customFormat="1" ht="46.5" customHeight="1" x14ac:dyDescent="0.2">
      <c r="A17" s="527" t="s">
        <v>1624</v>
      </c>
      <c r="B17" s="528">
        <v>510632219</v>
      </c>
      <c r="C17" s="534">
        <v>1000536824</v>
      </c>
      <c r="D17" s="56">
        <v>40182988</v>
      </c>
      <c r="E17" s="46">
        <v>50000</v>
      </c>
      <c r="F17" s="101">
        <v>68605</v>
      </c>
      <c r="G17" s="284">
        <v>50000</v>
      </c>
      <c r="H17" s="297">
        <v>70000</v>
      </c>
      <c r="I17" s="46">
        <v>50000</v>
      </c>
      <c r="J17" s="46">
        <v>50000</v>
      </c>
      <c r="K17" s="46">
        <f>J17*100%</f>
        <v>50000</v>
      </c>
      <c r="L17" s="59">
        <v>0</v>
      </c>
      <c r="M17" s="532"/>
      <c r="N17" s="116"/>
      <c r="O17" s="288">
        <f>MATCH(B17,'42-02-31 תרבות בקהילה'!$B$5:$B$120,0)</f>
        <v>45</v>
      </c>
      <c r="P17" s="288" t="e">
        <f>MATCH(B17,'42-02-31 תרבות בקהילה'!$B$122:$B$190,0)</f>
        <v>#N/A</v>
      </c>
      <c r="Q17" s="114"/>
    </row>
    <row r="18" spans="1:100" s="42" customFormat="1" ht="42.75" customHeight="1" x14ac:dyDescent="0.2">
      <c r="A18" s="317" t="s">
        <v>1625</v>
      </c>
      <c r="B18" s="548">
        <v>580350841</v>
      </c>
      <c r="C18" s="534">
        <v>1000554146</v>
      </c>
      <c r="D18" s="319">
        <v>40001704</v>
      </c>
      <c r="E18" s="46">
        <v>95000</v>
      </c>
      <c r="F18" s="101">
        <v>127000</v>
      </c>
      <c r="G18" s="284">
        <v>90000</v>
      </c>
      <c r="H18" s="119">
        <v>90000</v>
      </c>
      <c r="I18" s="46">
        <v>110654</v>
      </c>
      <c r="J18" s="46">
        <v>128497</v>
      </c>
      <c r="K18" s="46">
        <f t="shared" si="1"/>
        <v>128497</v>
      </c>
      <c r="L18" s="59">
        <v>0</v>
      </c>
      <c r="M18" s="549"/>
      <c r="N18" s="43"/>
      <c r="O18" s="288">
        <f>MATCH(B18,'42-02-31 תרבות בקהילה'!$B$5:$B$120,0)</f>
        <v>6</v>
      </c>
      <c r="P18" s="288" t="e">
        <f>MATCH(B18,'42-02-31 תרבות בקהילה'!$B$122:$B$190,0)</f>
        <v>#N/A</v>
      </c>
    </row>
    <row r="19" spans="1:100" s="316" customFormat="1" ht="36" customHeight="1" x14ac:dyDescent="0.2">
      <c r="A19" s="391" t="s">
        <v>1626</v>
      </c>
      <c r="B19" s="550">
        <v>510550759</v>
      </c>
      <c r="C19" s="534">
        <v>1000542641</v>
      </c>
      <c r="D19" s="551">
        <v>40000260</v>
      </c>
      <c r="E19" s="552">
        <v>305000</v>
      </c>
      <c r="F19" s="119">
        <v>420000</v>
      </c>
      <c r="G19" s="46">
        <v>300000</v>
      </c>
      <c r="H19" s="46">
        <v>300000</v>
      </c>
      <c r="I19" s="46">
        <v>260000</v>
      </c>
      <c r="J19" s="46">
        <v>325728</v>
      </c>
      <c r="K19" s="46">
        <f>J19*100%</f>
        <v>325728</v>
      </c>
      <c r="L19" s="59">
        <v>0</v>
      </c>
      <c r="M19" s="478"/>
      <c r="O19" s="288">
        <f>MATCH(B19,'42-02-31 תרבות בקהילה'!$B$5:$B$120,0)</f>
        <v>2</v>
      </c>
      <c r="P19" s="288" t="e">
        <f>MATCH(B19,'42-02-31 תרבות בקהילה'!$B$122:$B$190,0)</f>
        <v>#N/A</v>
      </c>
    </row>
    <row r="20" spans="1:100" s="62" customFormat="1" ht="45.75" customHeight="1" x14ac:dyDescent="0.2">
      <c r="A20" s="527" t="s">
        <v>1627</v>
      </c>
      <c r="B20" s="553">
        <v>510550759</v>
      </c>
      <c r="C20" s="534">
        <v>1000542610</v>
      </c>
      <c r="D20" s="554">
        <v>40000260</v>
      </c>
      <c r="E20" s="46">
        <v>50000</v>
      </c>
      <c r="F20" s="46">
        <v>50000</v>
      </c>
      <c r="G20" s="284">
        <v>50000</v>
      </c>
      <c r="H20" s="284">
        <v>50000</v>
      </c>
      <c r="I20" s="46">
        <v>50000</v>
      </c>
      <c r="J20" s="46">
        <v>67000</v>
      </c>
      <c r="K20" s="46">
        <f t="shared" si="1"/>
        <v>67000</v>
      </c>
      <c r="L20" s="59">
        <v>0</v>
      </c>
      <c r="M20" s="532"/>
      <c r="O20" s="288">
        <f>MATCH(B20,'42-02-31 תרבות בקהילה'!$B$5:$B$120,0)</f>
        <v>2</v>
      </c>
      <c r="P20" s="288" t="e">
        <f>MATCH(B20,'42-02-31 תרבות בקהילה'!$B$122:$B$190,0)</f>
        <v>#N/A</v>
      </c>
    </row>
    <row r="21" spans="1:100" s="388" customFormat="1" ht="42.75" customHeight="1" x14ac:dyDescent="0.2">
      <c r="A21" s="55" t="s">
        <v>1628</v>
      </c>
      <c r="B21" s="533">
        <v>580145696</v>
      </c>
      <c r="C21" s="534">
        <v>1000545392</v>
      </c>
      <c r="D21" s="535">
        <v>40000502</v>
      </c>
      <c r="E21" s="552">
        <v>250000</v>
      </c>
      <c r="F21" s="552">
        <v>270000</v>
      </c>
      <c r="G21" s="46">
        <v>270000</v>
      </c>
      <c r="H21" s="46">
        <v>270000</v>
      </c>
      <c r="I21" s="46">
        <v>190000</v>
      </c>
      <c r="J21" s="46">
        <v>152000</v>
      </c>
      <c r="K21" s="46">
        <f t="shared" si="1"/>
        <v>152000</v>
      </c>
      <c r="L21" s="59">
        <v>0</v>
      </c>
      <c r="M21" s="71"/>
      <c r="O21" s="288">
        <f>MATCH(B21,'42-02-31 תרבות בקהילה'!$B$5:$B$120,0)</f>
        <v>18</v>
      </c>
      <c r="P21" s="288" t="e">
        <f>MATCH(B21,'42-02-31 תרבות בקהילה'!$B$122:$B$190,0)</f>
        <v>#N/A</v>
      </c>
    </row>
    <row r="22" spans="1:100" s="62" customFormat="1" ht="36" customHeight="1" x14ac:dyDescent="0.2">
      <c r="A22" s="527" t="s">
        <v>1629</v>
      </c>
      <c r="B22" s="528">
        <v>510545833</v>
      </c>
      <c r="C22" s="534">
        <v>1000550666</v>
      </c>
      <c r="D22" s="530">
        <v>40000259</v>
      </c>
      <c r="E22" s="46">
        <v>70000</v>
      </c>
      <c r="F22" s="101">
        <v>84500</v>
      </c>
      <c r="G22" s="284">
        <v>85000</v>
      </c>
      <c r="H22" s="284">
        <v>85000</v>
      </c>
      <c r="I22" s="46">
        <v>90000</v>
      </c>
      <c r="J22" s="46">
        <v>90000</v>
      </c>
      <c r="K22" s="46">
        <f t="shared" si="1"/>
        <v>90000</v>
      </c>
      <c r="L22" s="59">
        <v>0</v>
      </c>
      <c r="M22" s="555"/>
      <c r="O22" s="288">
        <f>MATCH(B22,'42-02-31 תרבות בקהילה'!$B$5:$B$120,0)</f>
        <v>24</v>
      </c>
      <c r="P22" s="288" t="e">
        <f>MATCH(B22,'42-02-31 תרבות בקהילה'!$B$122:$B$190,0)</f>
        <v>#N/A</v>
      </c>
    </row>
    <row r="23" spans="1:100" s="44" customFormat="1" ht="36" customHeight="1" x14ac:dyDescent="0.2">
      <c r="A23" s="55" t="s">
        <v>1630</v>
      </c>
      <c r="B23" s="533">
        <v>510506504</v>
      </c>
      <c r="C23" s="534">
        <v>1000539165</v>
      </c>
      <c r="D23" s="535">
        <v>40000010</v>
      </c>
      <c r="E23" s="46">
        <v>94318</v>
      </c>
      <c r="F23" s="536">
        <v>90000</v>
      </c>
      <c r="G23" s="46">
        <v>90000</v>
      </c>
      <c r="H23" s="46">
        <v>104795</v>
      </c>
      <c r="I23" s="46">
        <v>110654</v>
      </c>
      <c r="J23" s="46">
        <v>150000</v>
      </c>
      <c r="K23" s="46">
        <f>J23*100%</f>
        <v>150000</v>
      </c>
      <c r="L23" s="59">
        <v>0</v>
      </c>
      <c r="M23" s="77"/>
      <c r="O23" s="288">
        <f>MATCH(B23,'42-02-31 תרבות בקהילה'!$B$5:$B$120,0)</f>
        <v>27</v>
      </c>
      <c r="P23" s="288" t="e">
        <f>MATCH(B23,'42-02-31 תרבות בקהילה'!$B$122:$B$190,0)</f>
        <v>#N/A</v>
      </c>
    </row>
    <row r="24" spans="1:100" s="42" customFormat="1" ht="58.5" customHeight="1" x14ac:dyDescent="0.2">
      <c r="A24" s="55" t="s">
        <v>1513</v>
      </c>
      <c r="B24" s="533">
        <v>580396752</v>
      </c>
      <c r="C24" s="534">
        <v>1000535185</v>
      </c>
      <c r="D24" s="48">
        <v>40216101</v>
      </c>
      <c r="E24" s="46">
        <v>51446</v>
      </c>
      <c r="F24" s="46">
        <v>45000</v>
      </c>
      <c r="G24" s="46">
        <v>45000</v>
      </c>
      <c r="H24" s="46">
        <v>52397</v>
      </c>
      <c r="I24" s="46">
        <v>55327</v>
      </c>
      <c r="J24" s="46">
        <v>65000</v>
      </c>
      <c r="K24" s="46">
        <f>J24*100%</f>
        <v>65000</v>
      </c>
      <c r="L24" s="59">
        <v>0</v>
      </c>
      <c r="M24" s="77"/>
      <c r="N24" s="116"/>
      <c r="O24" s="288">
        <f>MATCH(B24,'42-02-31 תרבות בקהילה'!$B$5:$B$120,0)</f>
        <v>60</v>
      </c>
      <c r="P24" s="288" t="e">
        <f>MATCH(B24,'42-02-31 תרבות בקהילה'!$B$122:$B$190,0)</f>
        <v>#N/A</v>
      </c>
      <c r="Q24" s="114"/>
    </row>
    <row r="25" spans="1:100" s="62" customFormat="1" ht="35.1" customHeight="1" x14ac:dyDescent="0.2">
      <c r="A25" s="317" t="s">
        <v>1631</v>
      </c>
      <c r="B25" s="548">
        <v>580234524</v>
      </c>
      <c r="C25" s="534">
        <v>1000536002</v>
      </c>
      <c r="D25" s="544">
        <v>40000190</v>
      </c>
      <c r="E25" s="46">
        <v>80000</v>
      </c>
      <c r="F25" s="101">
        <v>110000</v>
      </c>
      <c r="G25" s="284">
        <v>70000</v>
      </c>
      <c r="H25" s="119">
        <v>110000</v>
      </c>
      <c r="I25" s="119">
        <v>110654</v>
      </c>
      <c r="J25" s="46">
        <v>128497</v>
      </c>
      <c r="K25" s="46">
        <f>J25*100%</f>
        <v>128497</v>
      </c>
      <c r="L25" s="59">
        <v>0</v>
      </c>
      <c r="M25" s="81"/>
      <c r="N25" s="556"/>
      <c r="O25" s="288">
        <f>MATCH(B25,'42-02-31 תרבות בקהילה'!$B$5:$B$120,0)</f>
        <v>9</v>
      </c>
      <c r="P25" s="288" t="e">
        <f>MATCH(B25,'42-02-31 תרבות בקהילה'!$B$122:$B$190,0)</f>
        <v>#N/A</v>
      </c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</row>
    <row r="26" spans="1:100" ht="58.5" customHeight="1" x14ac:dyDescent="0.2">
      <c r="A26" s="55" t="s">
        <v>1632</v>
      </c>
      <c r="B26" s="533">
        <v>580376010</v>
      </c>
      <c r="C26" s="534">
        <v>1000551972</v>
      </c>
      <c r="D26" s="48">
        <v>40216086</v>
      </c>
      <c r="E26" s="46">
        <v>47159</v>
      </c>
      <c r="F26" s="46">
        <v>80000</v>
      </c>
      <c r="G26" s="46">
        <v>80000</v>
      </c>
      <c r="H26" s="46">
        <v>93151</v>
      </c>
      <c r="I26" s="46">
        <v>98359</v>
      </c>
      <c r="J26" s="46">
        <v>120000</v>
      </c>
      <c r="K26" s="46">
        <f>J26*100%</f>
        <v>120000</v>
      </c>
      <c r="L26" s="59">
        <v>0</v>
      </c>
      <c r="M26" s="77"/>
      <c r="O26" s="288">
        <f>MATCH(B26,'42-02-31 תרבות בקהילה'!$B$5:$B$120,0)</f>
        <v>59</v>
      </c>
      <c r="P26" s="288" t="e">
        <f>MATCH(B26,'42-02-31 תרבות בקהילה'!$B$122:$B$190,0)</f>
        <v>#N/A</v>
      </c>
    </row>
    <row r="27" spans="1:100" ht="42.75" customHeight="1" x14ac:dyDescent="0.2">
      <c r="A27" s="558" t="s">
        <v>1633</v>
      </c>
      <c r="B27" s="318">
        <v>580371045</v>
      </c>
      <c r="C27" s="534">
        <v>1000545892</v>
      </c>
      <c r="D27" s="319">
        <v>40216083</v>
      </c>
      <c r="E27" s="46">
        <v>50000</v>
      </c>
      <c r="F27" s="101">
        <v>81201</v>
      </c>
      <c r="G27" s="284">
        <v>50000</v>
      </c>
      <c r="H27" s="119">
        <v>75000</v>
      </c>
      <c r="I27" s="46">
        <v>61474</v>
      </c>
      <c r="J27" s="46">
        <v>71387</v>
      </c>
      <c r="K27" s="46">
        <v>71387</v>
      </c>
      <c r="L27" s="59">
        <v>0</v>
      </c>
      <c r="M27" s="77"/>
      <c r="O27" s="288">
        <f>MATCH(B27,'42-02-31 תרבות בקהילה'!$B$5:$B$120,0)</f>
        <v>5</v>
      </c>
      <c r="P27" s="288" t="e">
        <f>MATCH(B27,'42-02-31 תרבות בקהילה'!$B$122:$B$190,0)</f>
        <v>#N/A</v>
      </c>
    </row>
    <row r="28" spans="1:100" ht="60" customHeight="1" x14ac:dyDescent="0.2">
      <c r="A28" s="55" t="s">
        <v>1634</v>
      </c>
      <c r="B28" s="533">
        <v>580371045</v>
      </c>
      <c r="C28" s="534">
        <v>1000545823</v>
      </c>
      <c r="D28" s="48">
        <v>40216083</v>
      </c>
      <c r="E28" s="536">
        <v>200000</v>
      </c>
      <c r="F28" s="46">
        <v>217848</v>
      </c>
      <c r="G28" s="46">
        <v>180000</v>
      </c>
      <c r="H28" s="119">
        <v>180000</v>
      </c>
      <c r="I28" s="46">
        <v>180000</v>
      </c>
      <c r="J28" s="46">
        <v>180000</v>
      </c>
      <c r="K28" s="46">
        <v>207835</v>
      </c>
      <c r="L28" s="59">
        <v>0</v>
      </c>
      <c r="M28" s="75"/>
      <c r="O28" s="288">
        <f>MATCH(B28,'42-02-31 תרבות בקהילה'!$B$5:$B$120,0)</f>
        <v>5</v>
      </c>
      <c r="P28" s="288" t="e">
        <f>MATCH(B28,'42-02-31 תרבות בקהילה'!$B$122:$B$190,0)</f>
        <v>#N/A</v>
      </c>
    </row>
    <row r="29" spans="1:100" s="62" customFormat="1" ht="63" customHeight="1" x14ac:dyDescent="0.2">
      <c r="A29" s="487" t="s">
        <v>1635</v>
      </c>
      <c r="B29" s="318">
        <v>510683816</v>
      </c>
      <c r="C29" s="494">
        <v>1000536798</v>
      </c>
      <c r="D29" s="319">
        <v>40000021</v>
      </c>
      <c r="E29" s="46">
        <v>35000</v>
      </c>
      <c r="F29" s="46">
        <v>40000</v>
      </c>
      <c r="G29" s="284">
        <v>40000</v>
      </c>
      <c r="H29" s="297">
        <v>40000</v>
      </c>
      <c r="I29" s="119">
        <v>40000</v>
      </c>
      <c r="J29" s="46">
        <v>40000</v>
      </c>
      <c r="K29" s="46">
        <f t="shared" ref="K29" si="2">J29*100%</f>
        <v>40000</v>
      </c>
      <c r="L29" s="59">
        <v>0</v>
      </c>
      <c r="M29" s="559"/>
      <c r="N29" s="121"/>
      <c r="O29" s="288">
        <f>MATCH(B29,'42-02-31 תרבות בקהילה'!$B$5:$B$120,0)</f>
        <v>29</v>
      </c>
      <c r="P29" s="288" t="e">
        <f>MATCH(B29,'42-02-31 תרבות בקהילה'!$B$122:$B$190,0)</f>
        <v>#N/A</v>
      </c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</row>
    <row r="30" spans="1:100" s="62" customFormat="1" ht="35.1" customHeight="1" x14ac:dyDescent="0.2">
      <c r="A30" s="487" t="s">
        <v>1636</v>
      </c>
      <c r="B30" s="318">
        <v>510662224</v>
      </c>
      <c r="C30" s="494">
        <v>1000538315</v>
      </c>
      <c r="D30" s="319">
        <v>40000020</v>
      </c>
      <c r="E30" s="46">
        <v>25000</v>
      </c>
      <c r="F30" s="101">
        <v>26849</v>
      </c>
      <c r="G30" s="284">
        <v>25000</v>
      </c>
      <c r="H30" s="284">
        <v>25000</v>
      </c>
      <c r="I30" s="119">
        <v>30000</v>
      </c>
      <c r="J30" s="46">
        <v>30000</v>
      </c>
      <c r="K30" s="46">
        <f>J30*100%</f>
        <v>30000</v>
      </c>
      <c r="L30" s="59">
        <v>0</v>
      </c>
      <c r="M30" s="77"/>
      <c r="N30" s="121"/>
      <c r="O30" s="288">
        <f>MATCH(B30,'42-02-31 תרבות בקהילה'!$B$5:$B$120,0)</f>
        <v>15</v>
      </c>
      <c r="P30" s="288" t="e">
        <f>MATCH(B30,'42-02-31 תרבות בקהילה'!$B$122:$B$190,0)</f>
        <v>#N/A</v>
      </c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</row>
    <row r="31" spans="1:100" s="62" customFormat="1" ht="35.1" customHeight="1" x14ac:dyDescent="0.2">
      <c r="A31" s="317" t="s">
        <v>1637</v>
      </c>
      <c r="B31" s="318">
        <v>510542764</v>
      </c>
      <c r="C31" s="494">
        <v>1000543071</v>
      </c>
      <c r="D31" s="319">
        <v>40000258</v>
      </c>
      <c r="E31" s="46">
        <v>25000</v>
      </c>
      <c r="F31" s="101">
        <v>60000</v>
      </c>
      <c r="G31" s="284">
        <v>30000</v>
      </c>
      <c r="H31" s="297">
        <v>30000</v>
      </c>
      <c r="I31" s="119">
        <v>35000</v>
      </c>
      <c r="J31" s="46">
        <v>37096</v>
      </c>
      <c r="K31" s="46">
        <f t="shared" ref="K31:K34" si="3">J31*100%</f>
        <v>37096</v>
      </c>
      <c r="L31" s="59">
        <v>0</v>
      </c>
      <c r="M31" s="77"/>
      <c r="N31" s="121"/>
      <c r="O31" s="288">
        <f>MATCH(B31,'42-02-31 תרבות בקהילה'!$B$5:$B$120,0)</f>
        <v>23</v>
      </c>
      <c r="P31" s="288" t="e">
        <f>MATCH(B31,'42-02-31 תרבות בקהילה'!$B$122:$B$190,0)</f>
        <v>#N/A</v>
      </c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</row>
    <row r="32" spans="1:100" s="62" customFormat="1" ht="35.1" customHeight="1" x14ac:dyDescent="0.2">
      <c r="A32" s="317" t="s">
        <v>1638</v>
      </c>
      <c r="B32" s="560">
        <v>510542764</v>
      </c>
      <c r="C32" s="561">
        <v>1000543059</v>
      </c>
      <c r="D32" s="562">
        <v>40000258</v>
      </c>
      <c r="E32" s="194">
        <v>35000</v>
      </c>
      <c r="F32" s="194">
        <v>35000</v>
      </c>
      <c r="G32" s="308">
        <v>35000</v>
      </c>
      <c r="H32" s="284">
        <v>35000</v>
      </c>
      <c r="I32" s="119">
        <v>35000</v>
      </c>
      <c r="J32" s="46">
        <v>35000</v>
      </c>
      <c r="K32" s="46">
        <f t="shared" si="3"/>
        <v>35000</v>
      </c>
      <c r="L32" s="59">
        <v>0</v>
      </c>
      <c r="M32" s="563"/>
      <c r="N32" s="121"/>
      <c r="O32" s="288">
        <f>MATCH(B32,'42-02-31 תרבות בקהילה'!$B$5:$B$120,0)</f>
        <v>23</v>
      </c>
      <c r="P32" s="288" t="e">
        <f>MATCH(B32,'42-02-31 תרבות בקהילה'!$B$122:$B$190,0)</f>
        <v>#N/A</v>
      </c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</row>
    <row r="33" spans="1:101" s="62" customFormat="1" ht="37.5" customHeight="1" x14ac:dyDescent="0.2">
      <c r="A33" s="487" t="s">
        <v>1639</v>
      </c>
      <c r="B33" s="318">
        <v>500228002</v>
      </c>
      <c r="C33" s="494">
        <v>1000533833</v>
      </c>
      <c r="D33" s="319">
        <v>20000157</v>
      </c>
      <c r="E33" s="46">
        <v>30000</v>
      </c>
      <c r="F33" s="46">
        <v>30000</v>
      </c>
      <c r="G33" s="284">
        <v>30000</v>
      </c>
      <c r="H33" s="297">
        <v>30000</v>
      </c>
      <c r="I33" s="119">
        <v>30000</v>
      </c>
      <c r="J33" s="46">
        <v>30000</v>
      </c>
      <c r="K33" s="46">
        <f t="shared" si="3"/>
        <v>30000</v>
      </c>
      <c r="L33" s="59">
        <v>0</v>
      </c>
      <c r="M33" s="77"/>
      <c r="N33" s="121"/>
      <c r="O33" s="288" t="e">
        <f>MATCH(B33,'42-02-31 תרבות בקהילה'!$B$5:$B$120,0)</f>
        <v>#N/A</v>
      </c>
      <c r="P33" s="288">
        <f>MATCH(B33,'42-02-31 תרבות בקהילה'!$B$122:$B$190,0)</f>
        <v>16</v>
      </c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</row>
    <row r="34" spans="1:101" s="62" customFormat="1" ht="35.1" customHeight="1" x14ac:dyDescent="0.2">
      <c r="A34" s="487" t="s">
        <v>1640</v>
      </c>
      <c r="B34" s="564">
        <v>500221023</v>
      </c>
      <c r="C34" s="494">
        <v>1000535080</v>
      </c>
      <c r="D34" s="319">
        <v>20000128</v>
      </c>
      <c r="E34" s="46">
        <v>0</v>
      </c>
      <c r="F34" s="46">
        <v>25000</v>
      </c>
      <c r="G34" s="284">
        <v>25000</v>
      </c>
      <c r="H34" s="297">
        <v>25000</v>
      </c>
      <c r="I34" s="119">
        <v>30000</v>
      </c>
      <c r="J34" s="46">
        <v>30000</v>
      </c>
      <c r="K34" s="46">
        <f t="shared" si="3"/>
        <v>30000</v>
      </c>
      <c r="L34" s="59">
        <v>0</v>
      </c>
      <c r="M34" s="77"/>
      <c r="N34" s="121"/>
      <c r="O34" s="288" t="e">
        <f>MATCH(B34,'42-02-31 תרבות בקהילה'!$B$5:$B$120,0)</f>
        <v>#N/A</v>
      </c>
      <c r="P34" s="288">
        <f>MATCH(B34,'42-02-31 תרבות בקהילה'!$B$122:$B$190,0)</f>
        <v>28</v>
      </c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</row>
    <row r="35" spans="1:101" s="62" customFormat="1" ht="35.1" customHeight="1" x14ac:dyDescent="0.2">
      <c r="A35" s="487" t="s">
        <v>1641</v>
      </c>
      <c r="B35" s="318">
        <v>500290002</v>
      </c>
      <c r="C35" s="494">
        <v>1000544771</v>
      </c>
      <c r="D35" s="319">
        <v>20000254</v>
      </c>
      <c r="E35" s="46">
        <v>40000</v>
      </c>
      <c r="F35" s="46">
        <v>40000</v>
      </c>
      <c r="G35" s="284">
        <v>40000</v>
      </c>
      <c r="H35" s="119">
        <v>40000</v>
      </c>
      <c r="I35" s="119">
        <v>49179</v>
      </c>
      <c r="J35" s="46">
        <v>49179</v>
      </c>
      <c r="K35" s="46">
        <f>J35*100%</f>
        <v>49179</v>
      </c>
      <c r="L35" s="59">
        <v>0</v>
      </c>
      <c r="M35" s="565"/>
      <c r="N35" s="121"/>
      <c r="O35" s="288" t="e">
        <f>MATCH(B35,'42-02-31 תרבות בקהילה'!$B$5:$B$120,0)</f>
        <v>#N/A</v>
      </c>
      <c r="P35" s="288">
        <f>MATCH(B35,'42-02-31 תרבות בקהילה'!$B$122:$B$190,0)</f>
        <v>1</v>
      </c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</row>
    <row r="36" spans="1:101" s="62" customFormat="1" ht="35.1" customHeight="1" x14ac:dyDescent="0.2">
      <c r="A36" s="487" t="s">
        <v>1642</v>
      </c>
      <c r="B36" s="318">
        <v>500226303</v>
      </c>
      <c r="C36" s="54">
        <v>1000542604</v>
      </c>
      <c r="D36" s="319">
        <v>20000150</v>
      </c>
      <c r="E36" s="46">
        <v>0</v>
      </c>
      <c r="F36" s="101">
        <v>0</v>
      </c>
      <c r="G36" s="284">
        <v>60000</v>
      </c>
      <c r="H36" s="297">
        <v>60000</v>
      </c>
      <c r="I36" s="119">
        <v>60000</v>
      </c>
      <c r="J36" s="46">
        <v>30000</v>
      </c>
      <c r="K36" s="46">
        <f t="shared" ref="K36:K99" si="4">J36*100%</f>
        <v>30000</v>
      </c>
      <c r="L36" s="59">
        <v>0</v>
      </c>
      <c r="M36" s="77"/>
      <c r="N36" s="121"/>
      <c r="O36" s="288" t="e">
        <f>MATCH(B36,'42-02-31 תרבות בקהילה'!$B$5:$B$120,0)</f>
        <v>#N/A</v>
      </c>
      <c r="P36" s="288">
        <f>MATCH(B36,'42-02-31 תרבות בקהילה'!$B$122:$B$190,0)</f>
        <v>37</v>
      </c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</row>
    <row r="37" spans="1:101" s="62" customFormat="1" ht="35.1" customHeight="1" x14ac:dyDescent="0.2">
      <c r="A37" s="487" t="s">
        <v>1643</v>
      </c>
      <c r="B37" s="318">
        <v>500226303</v>
      </c>
      <c r="C37" s="54">
        <v>1000542626</v>
      </c>
      <c r="D37" s="319">
        <v>20000150</v>
      </c>
      <c r="E37" s="46">
        <v>0</v>
      </c>
      <c r="F37" s="101">
        <v>0</v>
      </c>
      <c r="G37" s="284">
        <v>40000</v>
      </c>
      <c r="H37" s="297">
        <v>50000</v>
      </c>
      <c r="I37" s="119">
        <v>49179</v>
      </c>
      <c r="J37" s="46">
        <v>30000</v>
      </c>
      <c r="K37" s="46">
        <f t="shared" si="4"/>
        <v>30000</v>
      </c>
      <c r="L37" s="59">
        <v>0</v>
      </c>
      <c r="M37" s="77"/>
      <c r="N37" s="121"/>
      <c r="O37" s="288" t="e">
        <f>MATCH(B37,'42-02-31 תרבות בקהילה'!$B$5:$B$120,0)</f>
        <v>#N/A</v>
      </c>
      <c r="P37" s="288">
        <f>MATCH(B37,'42-02-31 תרבות בקהילה'!$B$122:$B$190,0)</f>
        <v>37</v>
      </c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</row>
    <row r="38" spans="1:101" s="62" customFormat="1" ht="40.5" customHeight="1" x14ac:dyDescent="0.2">
      <c r="A38" s="487" t="s">
        <v>1644</v>
      </c>
      <c r="B38" s="318">
        <v>580056687</v>
      </c>
      <c r="C38" s="494">
        <v>1000543230</v>
      </c>
      <c r="D38" s="319">
        <v>40000409</v>
      </c>
      <c r="E38" s="46">
        <v>25000</v>
      </c>
      <c r="F38" s="46">
        <v>25000</v>
      </c>
      <c r="G38" s="284">
        <v>25000</v>
      </c>
      <c r="H38" s="119">
        <v>25000</v>
      </c>
      <c r="I38" s="119">
        <v>30737</v>
      </c>
      <c r="J38" s="46">
        <v>30000</v>
      </c>
      <c r="K38" s="46">
        <f t="shared" si="4"/>
        <v>30000</v>
      </c>
      <c r="L38" s="59">
        <v>0</v>
      </c>
      <c r="M38" s="77"/>
      <c r="N38" s="121"/>
      <c r="O38" s="288">
        <f>MATCH(B38,'42-02-31 תרבות בקהילה'!$B$5:$B$120,0)</f>
        <v>11</v>
      </c>
      <c r="P38" s="288" t="e">
        <f>MATCH(B38,'42-02-31 תרבות בקהילה'!$B$122:$B$190,0)</f>
        <v>#N/A</v>
      </c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</row>
    <row r="39" spans="1:101" s="62" customFormat="1" ht="35.1" customHeight="1" x14ac:dyDescent="0.2">
      <c r="A39" s="487" t="s">
        <v>1645</v>
      </c>
      <c r="B39" s="318">
        <v>580056687</v>
      </c>
      <c r="C39" s="494">
        <v>1000543231</v>
      </c>
      <c r="D39" s="319">
        <v>40000409</v>
      </c>
      <c r="E39" s="46">
        <v>35000</v>
      </c>
      <c r="F39" s="46">
        <v>35000</v>
      </c>
      <c r="G39" s="284">
        <v>35000</v>
      </c>
      <c r="H39" s="119">
        <v>35000</v>
      </c>
      <c r="I39" s="119">
        <v>35000</v>
      </c>
      <c r="J39" s="46">
        <v>35000</v>
      </c>
      <c r="K39" s="46">
        <f t="shared" si="4"/>
        <v>35000</v>
      </c>
      <c r="L39" s="59">
        <v>0</v>
      </c>
      <c r="M39" s="566"/>
      <c r="N39" s="121"/>
      <c r="O39" s="288">
        <f>MATCH(B39,'42-02-31 תרבות בקהילה'!$B$5:$B$120,0)</f>
        <v>11</v>
      </c>
      <c r="P39" s="288" t="e">
        <f>MATCH(B39,'42-02-31 תרבות בקהילה'!$B$122:$B$190,0)</f>
        <v>#N/A</v>
      </c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</row>
    <row r="40" spans="1:101" s="62" customFormat="1" ht="41.25" customHeight="1" x14ac:dyDescent="0.2">
      <c r="A40" s="487" t="s">
        <v>1646</v>
      </c>
      <c r="B40" s="318">
        <v>580056687</v>
      </c>
      <c r="C40" s="494">
        <v>1000543232</v>
      </c>
      <c r="D40" s="319">
        <v>40000409</v>
      </c>
      <c r="E40" s="46">
        <v>0</v>
      </c>
      <c r="F40" s="101">
        <v>0</v>
      </c>
      <c r="G40" s="284">
        <v>40000</v>
      </c>
      <c r="H40" s="119">
        <v>40000</v>
      </c>
      <c r="I40" s="119">
        <v>49179</v>
      </c>
      <c r="J40" s="46">
        <v>40000</v>
      </c>
      <c r="K40" s="46">
        <f t="shared" si="4"/>
        <v>40000</v>
      </c>
      <c r="L40" s="59">
        <v>0</v>
      </c>
      <c r="M40" s="77"/>
      <c r="N40" s="121"/>
      <c r="O40" s="288">
        <f>MATCH(B40,'42-02-31 תרבות בקהילה'!$B$5:$B$120,0)</f>
        <v>11</v>
      </c>
      <c r="P40" s="288" t="e">
        <f>MATCH(B40,'42-02-31 תרבות בקהילה'!$B$122:$B$190,0)</f>
        <v>#N/A</v>
      </c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</row>
    <row r="41" spans="1:101" s="62" customFormat="1" ht="35.1" customHeight="1" x14ac:dyDescent="0.2">
      <c r="A41" s="487" t="s">
        <v>1647</v>
      </c>
      <c r="B41" s="318">
        <v>510623648</v>
      </c>
      <c r="C41" s="494">
        <v>1000545508</v>
      </c>
      <c r="D41" s="319">
        <v>40000016</v>
      </c>
      <c r="E41" s="46">
        <v>35000</v>
      </c>
      <c r="F41" s="101">
        <v>50000</v>
      </c>
      <c r="G41" s="284">
        <v>36667</v>
      </c>
      <c r="H41" s="297">
        <v>51667</v>
      </c>
      <c r="I41" s="119">
        <v>49179</v>
      </c>
      <c r="J41" s="46">
        <v>40000</v>
      </c>
      <c r="K41" s="46">
        <f t="shared" si="4"/>
        <v>40000</v>
      </c>
      <c r="L41" s="59">
        <v>0</v>
      </c>
      <c r="M41" s="77"/>
      <c r="N41" s="121"/>
      <c r="O41" s="288">
        <f>MATCH(B41,'42-02-31 תרבות בקהילה'!$B$5:$B$120,0)</f>
        <v>17</v>
      </c>
      <c r="P41" s="288" t="e">
        <f>MATCH(B41,'42-02-31 תרבות בקהילה'!$B$122:$B$190,0)</f>
        <v>#N/A</v>
      </c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</row>
    <row r="42" spans="1:101" s="62" customFormat="1" ht="35.1" customHeight="1" x14ac:dyDescent="0.2">
      <c r="A42" s="317" t="s">
        <v>1648</v>
      </c>
      <c r="B42" s="318">
        <v>500223094</v>
      </c>
      <c r="C42" s="494">
        <v>1000543820</v>
      </c>
      <c r="D42" s="319">
        <v>20000136</v>
      </c>
      <c r="E42" s="46">
        <v>0</v>
      </c>
      <c r="F42" s="46">
        <v>0</v>
      </c>
      <c r="G42" s="284">
        <v>0</v>
      </c>
      <c r="H42" s="297">
        <v>0</v>
      </c>
      <c r="I42" s="119">
        <v>20000</v>
      </c>
      <c r="J42" s="46">
        <v>20500</v>
      </c>
      <c r="K42" s="46">
        <f t="shared" si="4"/>
        <v>20500</v>
      </c>
      <c r="L42" s="59">
        <v>0</v>
      </c>
      <c r="M42" s="58"/>
      <c r="N42" s="438"/>
      <c r="O42" s="288" t="e">
        <f>MATCH(B42,'42-02-31 תרבות בקהילה'!$B$5:$B$120,0)</f>
        <v>#N/A</v>
      </c>
      <c r="P42" s="288">
        <f>MATCH(B42,'42-02-31 תרבות בקהילה'!$B$122:$B$190,0)</f>
        <v>7</v>
      </c>
      <c r="Q42" s="557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</row>
    <row r="43" spans="1:101" s="62" customFormat="1" ht="35.1" customHeight="1" x14ac:dyDescent="0.2">
      <c r="A43" s="487" t="s">
        <v>1649</v>
      </c>
      <c r="B43" s="318">
        <v>580069136</v>
      </c>
      <c r="C43" s="494">
        <v>1000548765</v>
      </c>
      <c r="D43" s="319">
        <v>40005262</v>
      </c>
      <c r="E43" s="46">
        <v>20000</v>
      </c>
      <c r="F43" s="46">
        <v>20000</v>
      </c>
      <c r="G43" s="284">
        <v>20000</v>
      </c>
      <c r="H43" s="297">
        <v>20000</v>
      </c>
      <c r="I43" s="119">
        <v>20000</v>
      </c>
      <c r="J43" s="46">
        <v>20000</v>
      </c>
      <c r="K43" s="46">
        <f t="shared" si="4"/>
        <v>20000</v>
      </c>
      <c r="L43" s="59">
        <v>0</v>
      </c>
      <c r="M43" s="77"/>
      <c r="N43" s="121"/>
      <c r="O43" s="288">
        <f>MATCH(B43,'42-02-31 תרבות בקהילה'!$B$5:$B$120,0)</f>
        <v>33</v>
      </c>
      <c r="P43" s="288" t="e">
        <f>MATCH(B43,'42-02-31 תרבות בקהילה'!$B$122:$B$190,0)</f>
        <v>#N/A</v>
      </c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</row>
    <row r="44" spans="1:101" s="62" customFormat="1" ht="39" customHeight="1" x14ac:dyDescent="0.2">
      <c r="A44" s="487" t="s">
        <v>1650</v>
      </c>
      <c r="B44" s="564">
        <v>500295001</v>
      </c>
      <c r="C44" s="494">
        <v>1000547132</v>
      </c>
      <c r="D44" s="319">
        <v>20000259</v>
      </c>
      <c r="E44" s="46">
        <v>0</v>
      </c>
      <c r="F44" s="46">
        <v>25000</v>
      </c>
      <c r="G44" s="284">
        <v>25000</v>
      </c>
      <c r="H44" s="297">
        <v>25000</v>
      </c>
      <c r="I44" s="119">
        <v>25000</v>
      </c>
      <c r="J44" s="46">
        <v>25000</v>
      </c>
      <c r="K44" s="46">
        <f t="shared" si="4"/>
        <v>25000</v>
      </c>
      <c r="L44" s="59">
        <v>0</v>
      </c>
      <c r="M44" s="77"/>
      <c r="N44" s="121"/>
      <c r="O44" s="288" t="e">
        <f>MATCH(B44,'42-02-31 תרבות בקהילה'!$B$5:$B$120,0)</f>
        <v>#N/A</v>
      </c>
      <c r="P44" s="288">
        <f>MATCH(B44,'42-02-31 תרבות בקהילה'!$B$122:$B$190,0)</f>
        <v>35</v>
      </c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</row>
    <row r="45" spans="1:101" s="62" customFormat="1" ht="35.1" customHeight="1" x14ac:dyDescent="0.2">
      <c r="A45" s="487" t="s">
        <v>1651</v>
      </c>
      <c r="B45" s="318">
        <v>500221015</v>
      </c>
      <c r="C45" s="494">
        <v>1000546632</v>
      </c>
      <c r="D45" s="319">
        <v>20000127</v>
      </c>
      <c r="E45" s="46">
        <v>20000</v>
      </c>
      <c r="F45" s="101">
        <v>35000</v>
      </c>
      <c r="G45" s="284">
        <v>25000</v>
      </c>
      <c r="H45" s="297">
        <v>35000</v>
      </c>
      <c r="I45" s="119">
        <v>30737</v>
      </c>
      <c r="J45" s="46">
        <v>30000</v>
      </c>
      <c r="K45" s="46">
        <f t="shared" si="4"/>
        <v>30000</v>
      </c>
      <c r="L45" s="59">
        <v>0</v>
      </c>
      <c r="M45" s="77"/>
      <c r="N45" s="121"/>
      <c r="O45" s="288" t="e">
        <f>MATCH(B45,'42-02-31 תרבות בקהילה'!$B$5:$B$120,0)</f>
        <v>#N/A</v>
      </c>
      <c r="P45" s="288">
        <f>MATCH(B45,'42-02-31 תרבות בקהילה'!$B$122:$B$190,0)</f>
        <v>9</v>
      </c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  <c r="CO45" s="121"/>
      <c r="CP45" s="121"/>
      <c r="CQ45" s="121"/>
    </row>
    <row r="46" spans="1:101" s="62" customFormat="1" ht="35.1" customHeight="1" x14ac:dyDescent="0.2">
      <c r="A46" s="558" t="s">
        <v>1652</v>
      </c>
      <c r="B46" s="567">
        <v>510703499</v>
      </c>
      <c r="C46" s="568">
        <v>1000543617</v>
      </c>
      <c r="D46" s="569">
        <v>40000276</v>
      </c>
      <c r="E46" s="46">
        <v>0</v>
      </c>
      <c r="F46" s="101">
        <v>0</v>
      </c>
      <c r="G46" s="284">
        <v>20000</v>
      </c>
      <c r="H46" s="297">
        <v>20000</v>
      </c>
      <c r="I46" s="119">
        <v>20000</v>
      </c>
      <c r="J46" s="46">
        <v>20000</v>
      </c>
      <c r="K46" s="46">
        <f t="shared" si="4"/>
        <v>20000</v>
      </c>
      <c r="L46" s="59">
        <v>0</v>
      </c>
      <c r="M46" s="77"/>
      <c r="N46" s="121"/>
      <c r="O46" s="288">
        <f>MATCH(B46,'42-02-31 תרבות בקהילה'!$B$5:$B$120,0)</f>
        <v>14</v>
      </c>
      <c r="P46" s="288" t="e">
        <f>MATCH(B46,'42-02-31 תרבות בקהילה'!$B$122:$B$190,0)</f>
        <v>#N/A</v>
      </c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  <c r="CJ46" s="121"/>
      <c r="CK46" s="121"/>
      <c r="CL46" s="121"/>
      <c r="CM46" s="121"/>
      <c r="CN46" s="121"/>
      <c r="CO46" s="121"/>
      <c r="CP46" s="121"/>
      <c r="CQ46" s="121"/>
    </row>
    <row r="47" spans="1:101" s="62" customFormat="1" ht="35.1" customHeight="1" x14ac:dyDescent="0.2">
      <c r="A47" s="51" t="s">
        <v>1653</v>
      </c>
      <c r="B47" s="50">
        <v>580503605</v>
      </c>
      <c r="C47" s="49">
        <v>1000545504</v>
      </c>
      <c r="D47" s="48">
        <v>40821399</v>
      </c>
      <c r="E47" s="46"/>
      <c r="F47" s="46"/>
      <c r="G47" s="46"/>
      <c r="H47" s="297"/>
      <c r="I47" s="119">
        <v>0</v>
      </c>
      <c r="J47" s="46">
        <v>30000</v>
      </c>
      <c r="K47" s="46">
        <f t="shared" si="4"/>
        <v>30000</v>
      </c>
      <c r="L47" s="59">
        <v>0</v>
      </c>
      <c r="M47" s="77"/>
      <c r="N47" s="121"/>
      <c r="O47" s="288">
        <f>MATCH(B47,'42-02-31 תרבות בקהילה'!$B$5:$B$120,0)</f>
        <v>47</v>
      </c>
      <c r="P47" s="288" t="e">
        <f>MATCH(B47,'42-02-31 תרבות בקהילה'!$B$122:$B$190,0)</f>
        <v>#N/A</v>
      </c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</row>
    <row r="48" spans="1:101" s="62" customFormat="1" ht="35.1" customHeight="1" x14ac:dyDescent="0.2">
      <c r="A48" s="317" t="s">
        <v>1654</v>
      </c>
      <c r="B48" s="570">
        <v>580005270</v>
      </c>
      <c r="C48" s="494">
        <v>1000541725</v>
      </c>
      <c r="D48" s="319">
        <v>40000052</v>
      </c>
      <c r="E48" s="46">
        <v>35000</v>
      </c>
      <c r="F48" s="46">
        <v>40000</v>
      </c>
      <c r="G48" s="284">
        <v>40000</v>
      </c>
      <c r="H48" s="297">
        <v>40000</v>
      </c>
      <c r="I48" s="119">
        <v>49179</v>
      </c>
      <c r="J48" s="46">
        <v>57110</v>
      </c>
      <c r="K48" s="46">
        <f t="shared" si="4"/>
        <v>57110</v>
      </c>
      <c r="L48" s="59">
        <v>0</v>
      </c>
      <c r="M48" s="77"/>
      <c r="N48" s="121"/>
      <c r="O48" s="288">
        <f>MATCH(B48,'42-02-31 תרבות בקהילה'!$B$5:$B$120,0)</f>
        <v>30</v>
      </c>
      <c r="P48" s="288" t="e">
        <f>MATCH(B48,'42-02-31 תרבות בקהילה'!$B$122:$B$190,0)</f>
        <v>#N/A</v>
      </c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  <c r="CJ48" s="121"/>
      <c r="CK48" s="121"/>
      <c r="CL48" s="121"/>
      <c r="CM48" s="121"/>
      <c r="CN48" s="121"/>
      <c r="CO48" s="121"/>
      <c r="CP48" s="121"/>
      <c r="CQ48" s="121"/>
    </row>
    <row r="49" spans="1:97" s="62" customFormat="1" ht="35.1" customHeight="1" x14ac:dyDescent="0.2">
      <c r="A49" s="487" t="s">
        <v>1655</v>
      </c>
      <c r="B49" s="571">
        <v>510542822</v>
      </c>
      <c r="C49" s="494">
        <v>1000538326</v>
      </c>
      <c r="D49" s="319">
        <v>40000015</v>
      </c>
      <c r="E49" s="46">
        <v>25000</v>
      </c>
      <c r="F49" s="46">
        <v>25000</v>
      </c>
      <c r="G49" s="284">
        <v>25000</v>
      </c>
      <c r="H49" s="297">
        <v>25000</v>
      </c>
      <c r="I49" s="119">
        <v>30737</v>
      </c>
      <c r="J49" s="46">
        <v>38728</v>
      </c>
      <c r="K49" s="46">
        <f t="shared" si="4"/>
        <v>38728</v>
      </c>
      <c r="L49" s="59">
        <v>0</v>
      </c>
      <c r="M49" s="77"/>
      <c r="N49" s="121"/>
      <c r="O49" s="288">
        <f>MATCH(B49,'42-02-31 תרבות בקהילה'!$B$5:$B$120,0)</f>
        <v>28</v>
      </c>
      <c r="P49" s="288" t="e">
        <f>MATCH(B49,'42-02-31 תרבות בקהילה'!$B$122:$B$190,0)</f>
        <v>#N/A</v>
      </c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</row>
    <row r="50" spans="1:97" s="62" customFormat="1" ht="35.1" customHeight="1" x14ac:dyDescent="0.2">
      <c r="A50" s="487" t="s">
        <v>1656</v>
      </c>
      <c r="B50" s="571">
        <v>510542822</v>
      </c>
      <c r="C50" s="494">
        <v>1000538586</v>
      </c>
      <c r="D50" s="319">
        <v>40000015</v>
      </c>
      <c r="E50" s="46"/>
      <c r="F50" s="46"/>
      <c r="G50" s="284"/>
      <c r="H50" s="297"/>
      <c r="I50" s="119">
        <v>0</v>
      </c>
      <c r="J50" s="46">
        <v>30982</v>
      </c>
      <c r="K50" s="46">
        <f t="shared" si="4"/>
        <v>30982</v>
      </c>
      <c r="L50" s="59">
        <v>0</v>
      </c>
      <c r="M50" s="77"/>
      <c r="N50" s="121"/>
      <c r="O50" s="288">
        <f>MATCH(B50,'42-02-31 תרבות בקהילה'!$B$5:$B$120,0)</f>
        <v>28</v>
      </c>
      <c r="P50" s="288" t="e">
        <f>MATCH(B50,'42-02-31 תרבות בקהילה'!$B$122:$B$190,0)</f>
        <v>#N/A</v>
      </c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  <c r="CJ50" s="121"/>
      <c r="CK50" s="121"/>
      <c r="CL50" s="121"/>
      <c r="CM50" s="121"/>
      <c r="CN50" s="121"/>
      <c r="CO50" s="121"/>
      <c r="CP50" s="121"/>
      <c r="CQ50" s="121"/>
    </row>
    <row r="51" spans="1:97" s="62" customFormat="1" ht="35.1" customHeight="1" x14ac:dyDescent="0.2">
      <c r="A51" s="487" t="s">
        <v>1657</v>
      </c>
      <c r="B51" s="318">
        <v>510623648</v>
      </c>
      <c r="C51" s="494">
        <v>1000545509</v>
      </c>
      <c r="D51" s="319">
        <v>40000016</v>
      </c>
      <c r="E51" s="46">
        <v>25000</v>
      </c>
      <c r="F51" s="46">
        <v>30000</v>
      </c>
      <c r="G51" s="284">
        <v>27500</v>
      </c>
      <c r="H51" s="297">
        <v>27500</v>
      </c>
      <c r="I51" s="119">
        <v>36885</v>
      </c>
      <c r="J51" s="46">
        <v>40000</v>
      </c>
      <c r="K51" s="46">
        <f t="shared" si="4"/>
        <v>40000</v>
      </c>
      <c r="L51" s="59">
        <v>0</v>
      </c>
      <c r="M51" s="77"/>
      <c r="N51" s="121"/>
      <c r="O51" s="288">
        <f>MATCH(B51,'42-02-31 תרבות בקהילה'!$B$5:$B$120,0)</f>
        <v>17</v>
      </c>
      <c r="P51" s="288" t="e">
        <f>MATCH(B51,'42-02-31 תרבות בקהילה'!$B$122:$B$190,0)</f>
        <v>#N/A</v>
      </c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</row>
    <row r="52" spans="1:97" s="62" customFormat="1" ht="35.1" customHeight="1" x14ac:dyDescent="0.2">
      <c r="A52" s="487" t="s">
        <v>1658</v>
      </c>
      <c r="B52" s="318">
        <v>510662224</v>
      </c>
      <c r="C52" s="494">
        <v>1000538377</v>
      </c>
      <c r="D52" s="319">
        <v>40000020</v>
      </c>
      <c r="E52" s="46">
        <v>45000</v>
      </c>
      <c r="F52" s="101">
        <v>40274</v>
      </c>
      <c r="G52" s="284">
        <v>45000</v>
      </c>
      <c r="H52" s="284">
        <v>45000</v>
      </c>
      <c r="I52" s="119">
        <v>55327</v>
      </c>
      <c r="J52" s="46">
        <v>64248</v>
      </c>
      <c r="K52" s="46">
        <f t="shared" si="4"/>
        <v>64248</v>
      </c>
      <c r="L52" s="59">
        <v>0</v>
      </c>
      <c r="M52" s="77"/>
      <c r="N52" s="121"/>
      <c r="O52" s="288">
        <f>MATCH(B52,'42-02-31 תרבות בקהילה'!$B$5:$B$120,0)</f>
        <v>15</v>
      </c>
      <c r="P52" s="288" t="e">
        <f>MATCH(B52,'42-02-31 תרבות בקהילה'!$B$122:$B$190,0)</f>
        <v>#N/A</v>
      </c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  <c r="CJ52" s="121"/>
      <c r="CK52" s="121"/>
      <c r="CL52" s="121"/>
      <c r="CM52" s="121"/>
      <c r="CN52" s="121"/>
      <c r="CO52" s="121"/>
      <c r="CP52" s="121"/>
      <c r="CQ52" s="121"/>
    </row>
    <row r="53" spans="1:97" s="62" customFormat="1" ht="35.1" customHeight="1" x14ac:dyDescent="0.2">
      <c r="A53" s="487" t="s">
        <v>1659</v>
      </c>
      <c r="B53" s="564">
        <v>580005601</v>
      </c>
      <c r="C53" s="494">
        <v>1000531758</v>
      </c>
      <c r="D53" s="319">
        <v>40000053</v>
      </c>
      <c r="E53" s="46">
        <v>25000</v>
      </c>
      <c r="F53" s="46">
        <v>25000</v>
      </c>
      <c r="G53" s="46">
        <v>0</v>
      </c>
      <c r="H53" s="119">
        <v>41500</v>
      </c>
      <c r="I53" s="119">
        <v>36885</v>
      </c>
      <c r="J53" s="46">
        <v>42832</v>
      </c>
      <c r="K53" s="46">
        <f t="shared" si="4"/>
        <v>42832</v>
      </c>
      <c r="L53" s="59">
        <v>0</v>
      </c>
      <c r="M53" s="77"/>
      <c r="N53" s="121"/>
      <c r="O53" s="288">
        <f>MATCH(B53,'42-02-31 תרבות בקהילה'!$B$5:$B$120,0)</f>
        <v>49</v>
      </c>
      <c r="P53" s="288" t="e">
        <f>MATCH(B53,'42-02-31 תרבות בקהילה'!$B$122:$B$190,0)</f>
        <v>#N/A</v>
      </c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</row>
    <row r="54" spans="1:97" s="62" customFormat="1" ht="35.1" customHeight="1" x14ac:dyDescent="0.2">
      <c r="A54" s="487" t="s">
        <v>1660</v>
      </c>
      <c r="B54" s="318">
        <v>580019917</v>
      </c>
      <c r="C54" s="54">
        <v>1000545582</v>
      </c>
      <c r="D54" s="319">
        <v>40000070</v>
      </c>
      <c r="E54" s="46">
        <v>25000</v>
      </c>
      <c r="F54" s="46">
        <v>35000</v>
      </c>
      <c r="G54" s="284">
        <v>32083</v>
      </c>
      <c r="H54" s="284">
        <v>47096</v>
      </c>
      <c r="I54" s="119">
        <v>43032</v>
      </c>
      <c r="J54" s="46">
        <v>49971</v>
      </c>
      <c r="K54" s="46">
        <f t="shared" si="4"/>
        <v>49971</v>
      </c>
      <c r="L54" s="59">
        <v>0</v>
      </c>
      <c r="M54" s="77"/>
      <c r="N54" s="121"/>
      <c r="O54" s="288">
        <f>MATCH(B54,'42-02-31 תרבות בקהילה'!$B$5:$B$120,0)</f>
        <v>44</v>
      </c>
      <c r="P54" s="288" t="e">
        <f>MATCH(B54,'42-02-31 תרבות בקהילה'!$B$122:$B$190,0)</f>
        <v>#N/A</v>
      </c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  <c r="CJ54" s="121"/>
      <c r="CK54" s="121"/>
      <c r="CL54" s="121"/>
      <c r="CM54" s="121"/>
      <c r="CN54" s="121"/>
      <c r="CO54" s="121"/>
      <c r="CP54" s="121"/>
      <c r="CQ54" s="121"/>
    </row>
    <row r="55" spans="1:97" s="62" customFormat="1" ht="35.1" customHeight="1" x14ac:dyDescent="0.2">
      <c r="A55" s="51" t="s">
        <v>1661</v>
      </c>
      <c r="B55" s="105">
        <v>580031326</v>
      </c>
      <c r="C55" s="49">
        <v>1000538591</v>
      </c>
      <c r="D55" s="48">
        <v>40000086</v>
      </c>
      <c r="E55" s="46">
        <v>0</v>
      </c>
      <c r="F55" s="46">
        <v>0</v>
      </c>
      <c r="G55" s="284">
        <v>0</v>
      </c>
      <c r="H55" s="284">
        <v>20000</v>
      </c>
      <c r="I55" s="119">
        <v>24590</v>
      </c>
      <c r="J55" s="46">
        <v>28555</v>
      </c>
      <c r="K55" s="46">
        <f t="shared" si="4"/>
        <v>28555</v>
      </c>
      <c r="L55" s="59">
        <v>0</v>
      </c>
      <c r="M55" s="58"/>
      <c r="N55" s="121"/>
      <c r="O55" s="288">
        <f>MATCH(B55,'42-02-31 תרבות בקהילה'!$B$5:$B$120,0)</f>
        <v>67</v>
      </c>
      <c r="P55" s="288" t="e">
        <f>MATCH(B55,'42-02-31 תרבות בקהילה'!$B$122:$B$190,0)</f>
        <v>#N/A</v>
      </c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  <c r="CN55" s="121"/>
      <c r="CO55" s="121"/>
      <c r="CP55" s="121"/>
      <c r="CQ55" s="121"/>
    </row>
    <row r="56" spans="1:97" s="62" customFormat="1" ht="35.1" customHeight="1" x14ac:dyDescent="0.2">
      <c r="A56" s="487" t="s">
        <v>1662</v>
      </c>
      <c r="B56" s="572">
        <v>580280550</v>
      </c>
      <c r="C56" s="494">
        <v>1000536803</v>
      </c>
      <c r="D56" s="319">
        <v>40000211</v>
      </c>
      <c r="E56" s="46">
        <v>30000</v>
      </c>
      <c r="F56" s="46">
        <v>40000</v>
      </c>
      <c r="G56" s="284">
        <v>40000</v>
      </c>
      <c r="H56" s="297">
        <v>40000</v>
      </c>
      <c r="I56" s="119">
        <v>49179</v>
      </c>
      <c r="J56" s="46">
        <v>57110</v>
      </c>
      <c r="K56" s="46">
        <f t="shared" si="4"/>
        <v>57110</v>
      </c>
      <c r="L56" s="59">
        <v>0</v>
      </c>
      <c r="M56" s="92"/>
      <c r="N56" s="121"/>
      <c r="O56" s="288">
        <f>MATCH(B56,'42-02-31 תרבות בקהילה'!$B$5:$B$120,0)</f>
        <v>7</v>
      </c>
      <c r="P56" s="288" t="e">
        <f>MATCH(B56,'42-02-31 תרבות בקהילה'!$B$122:$B$190,0)</f>
        <v>#N/A</v>
      </c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O56" s="121"/>
      <c r="CP56" s="121"/>
      <c r="CQ56" s="121"/>
    </row>
    <row r="57" spans="1:97" s="62" customFormat="1" ht="35.1" customHeight="1" x14ac:dyDescent="0.2">
      <c r="A57" s="487" t="s">
        <v>1663</v>
      </c>
      <c r="B57" s="572">
        <v>580280550</v>
      </c>
      <c r="C57" s="494">
        <v>1000536806</v>
      </c>
      <c r="D57" s="319">
        <v>40000211</v>
      </c>
      <c r="E57" s="46">
        <v>25000</v>
      </c>
      <c r="F57" s="46">
        <v>35000</v>
      </c>
      <c r="G57" s="284">
        <v>35000</v>
      </c>
      <c r="H57" s="284">
        <v>35000</v>
      </c>
      <c r="I57" s="119">
        <v>40000</v>
      </c>
      <c r="J57" s="46">
        <v>45000</v>
      </c>
      <c r="K57" s="46">
        <f t="shared" si="4"/>
        <v>45000</v>
      </c>
      <c r="L57" s="59">
        <v>0</v>
      </c>
      <c r="M57" s="92"/>
      <c r="N57" s="121"/>
      <c r="O57" s="288">
        <f>MATCH(B57,'42-02-31 תרבות בקהילה'!$B$5:$B$120,0)</f>
        <v>7</v>
      </c>
      <c r="P57" s="288" t="e">
        <f>MATCH(B57,'42-02-31 תרבות בקהילה'!$B$122:$B$190,0)</f>
        <v>#N/A</v>
      </c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</row>
    <row r="58" spans="1:97" s="62" customFormat="1" ht="35.1" customHeight="1" x14ac:dyDescent="0.2">
      <c r="A58" s="487" t="s">
        <v>1664</v>
      </c>
      <c r="B58" s="318">
        <v>510623705</v>
      </c>
      <c r="C58" s="494">
        <v>1000546546</v>
      </c>
      <c r="D58" s="319">
        <v>40000267</v>
      </c>
      <c r="E58" s="46">
        <v>25000</v>
      </c>
      <c r="F58" s="46">
        <v>0</v>
      </c>
      <c r="G58" s="284">
        <v>20000</v>
      </c>
      <c r="H58" s="297">
        <v>30000</v>
      </c>
      <c r="I58" s="119">
        <v>24590</v>
      </c>
      <c r="J58" s="46">
        <v>30982</v>
      </c>
      <c r="K58" s="46">
        <f t="shared" si="4"/>
        <v>30982</v>
      </c>
      <c r="L58" s="59">
        <v>0</v>
      </c>
      <c r="M58" s="77"/>
      <c r="N58" s="121"/>
      <c r="O58" s="288">
        <f>MATCH(B58,'42-02-31 תרבות בקהילה'!$B$5:$B$120,0)</f>
        <v>16</v>
      </c>
      <c r="P58" s="288" t="e">
        <f>MATCH(B58,'42-02-31 תרבות בקהילה'!$B$122:$B$190,0)</f>
        <v>#N/A</v>
      </c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</row>
    <row r="59" spans="1:97" s="62" customFormat="1" ht="35.1" customHeight="1" x14ac:dyDescent="0.2">
      <c r="A59" s="487" t="s">
        <v>1665</v>
      </c>
      <c r="B59" s="318">
        <v>510623705</v>
      </c>
      <c r="C59" s="494">
        <v>1000546687</v>
      </c>
      <c r="D59" s="319">
        <v>40000267</v>
      </c>
      <c r="E59" s="46">
        <v>0</v>
      </c>
      <c r="F59" s="46">
        <v>19316</v>
      </c>
      <c r="G59" s="284">
        <v>40000</v>
      </c>
      <c r="H59" s="297">
        <v>20000</v>
      </c>
      <c r="I59" s="119">
        <v>24590</v>
      </c>
      <c r="J59" s="46">
        <v>30982</v>
      </c>
      <c r="K59" s="46">
        <f t="shared" si="4"/>
        <v>30982</v>
      </c>
      <c r="L59" s="59">
        <v>0</v>
      </c>
      <c r="M59" s="77"/>
      <c r="N59" s="121"/>
      <c r="O59" s="288">
        <f>MATCH(B59,'42-02-31 תרבות בקהילה'!$B$5:$B$120,0)</f>
        <v>16</v>
      </c>
      <c r="P59" s="288" t="e">
        <f>MATCH(B59,'42-02-31 תרבות בקהילה'!$B$122:$B$190,0)</f>
        <v>#N/A</v>
      </c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O59" s="121"/>
      <c r="CP59" s="121"/>
      <c r="CQ59" s="121"/>
    </row>
    <row r="60" spans="1:97" s="62" customFormat="1" ht="35.1" customHeight="1" x14ac:dyDescent="0.2">
      <c r="A60" s="487" t="s">
        <v>1666</v>
      </c>
      <c r="B60" s="318">
        <v>510623705</v>
      </c>
      <c r="C60" s="494">
        <v>1000546458</v>
      </c>
      <c r="D60" s="319">
        <v>40000267</v>
      </c>
      <c r="E60" s="46">
        <v>35000</v>
      </c>
      <c r="F60" s="46">
        <v>0</v>
      </c>
      <c r="G60" s="284">
        <v>0</v>
      </c>
      <c r="H60" s="297">
        <v>20000</v>
      </c>
      <c r="I60" s="119">
        <v>24590</v>
      </c>
      <c r="J60" s="46">
        <v>30982</v>
      </c>
      <c r="K60" s="46">
        <f t="shared" si="4"/>
        <v>30982</v>
      </c>
      <c r="L60" s="59">
        <v>0</v>
      </c>
      <c r="M60" s="77"/>
      <c r="N60" s="121"/>
      <c r="O60" s="288">
        <f>MATCH(B60,'42-02-31 תרבות בקהילה'!$B$5:$B$120,0)</f>
        <v>16</v>
      </c>
      <c r="P60" s="288" t="e">
        <f>MATCH(B60,'42-02-31 תרבות בקהילה'!$B$122:$B$190,0)</f>
        <v>#N/A</v>
      </c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</row>
    <row r="61" spans="1:97" s="62" customFormat="1" ht="38.25" customHeight="1" x14ac:dyDescent="0.2">
      <c r="A61" s="487" t="s">
        <v>1667</v>
      </c>
      <c r="B61" s="318">
        <v>510623705</v>
      </c>
      <c r="C61" s="494">
        <v>1000546681</v>
      </c>
      <c r="D61" s="319">
        <v>40000267</v>
      </c>
      <c r="E61" s="46">
        <v>30000</v>
      </c>
      <c r="F61" s="101">
        <v>42494</v>
      </c>
      <c r="G61" s="284">
        <v>35000</v>
      </c>
      <c r="H61" s="297">
        <v>35000</v>
      </c>
      <c r="I61" s="119">
        <v>43032</v>
      </c>
      <c r="J61" s="46">
        <v>45000</v>
      </c>
      <c r="K61" s="46">
        <f t="shared" si="4"/>
        <v>45000</v>
      </c>
      <c r="L61" s="59">
        <v>0</v>
      </c>
      <c r="M61" s="77"/>
      <c r="N61" s="121"/>
      <c r="O61" s="288">
        <f>MATCH(B61,'42-02-31 תרבות בקהילה'!$B$5:$B$120,0)</f>
        <v>16</v>
      </c>
      <c r="P61" s="288" t="e">
        <f>MATCH(B61,'42-02-31 תרבות בקהילה'!$B$122:$B$190,0)</f>
        <v>#N/A</v>
      </c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</row>
    <row r="62" spans="1:97" s="62" customFormat="1" ht="35.1" customHeight="1" x14ac:dyDescent="0.2">
      <c r="A62" s="487" t="s">
        <v>1668</v>
      </c>
      <c r="B62" s="564">
        <v>510662190</v>
      </c>
      <c r="C62" s="494">
        <v>1000544354</v>
      </c>
      <c r="D62" s="319">
        <v>40000271</v>
      </c>
      <c r="E62" s="46"/>
      <c r="F62" s="46"/>
      <c r="G62" s="284"/>
      <c r="H62" s="297">
        <v>0</v>
      </c>
      <c r="I62" s="119">
        <v>24590</v>
      </c>
      <c r="J62" s="46">
        <v>28555</v>
      </c>
      <c r="K62" s="46">
        <f t="shared" si="4"/>
        <v>28555</v>
      </c>
      <c r="L62" s="59">
        <v>0</v>
      </c>
      <c r="M62" s="58"/>
      <c r="N62" s="121"/>
      <c r="O62" s="288">
        <f>MATCH(B62,'42-02-31 תרבות בקהילה'!$B$5:$B$120,0)</f>
        <v>46</v>
      </c>
      <c r="P62" s="288" t="e">
        <f>MATCH(B62,'42-02-31 תרבות בקהילה'!$B$122:$B$190,0)</f>
        <v>#N/A</v>
      </c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O62" s="121"/>
      <c r="CP62" s="121"/>
      <c r="CQ62" s="121"/>
      <c r="CR62" s="121"/>
      <c r="CS62" s="121"/>
    </row>
    <row r="63" spans="1:97" s="62" customFormat="1" ht="35.1" customHeight="1" x14ac:dyDescent="0.2">
      <c r="A63" s="487" t="s">
        <v>1496</v>
      </c>
      <c r="B63" s="564">
        <v>510662190</v>
      </c>
      <c r="C63" s="494">
        <v>1000543975</v>
      </c>
      <c r="D63" s="319">
        <v>40000271</v>
      </c>
      <c r="E63" s="46">
        <v>25000</v>
      </c>
      <c r="F63" s="46">
        <v>35000</v>
      </c>
      <c r="G63" s="284">
        <v>32083</v>
      </c>
      <c r="H63" s="284">
        <v>35000</v>
      </c>
      <c r="I63" s="119">
        <v>40000</v>
      </c>
      <c r="J63" s="46">
        <v>49971</v>
      </c>
      <c r="K63" s="46">
        <f t="shared" si="4"/>
        <v>49971</v>
      </c>
      <c r="L63" s="59">
        <v>0</v>
      </c>
      <c r="M63" s="77"/>
      <c r="N63" s="121"/>
      <c r="O63" s="288">
        <f>MATCH(B63,'42-02-31 תרבות בקהילה'!$B$5:$B$120,0)</f>
        <v>46</v>
      </c>
      <c r="P63" s="288" t="e">
        <f>MATCH(B63,'42-02-31 תרבות בקהילה'!$B$122:$B$190,0)</f>
        <v>#N/A</v>
      </c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</row>
    <row r="64" spans="1:97" s="62" customFormat="1" ht="35.1" customHeight="1" x14ac:dyDescent="0.2">
      <c r="A64" s="487" t="s">
        <v>1669</v>
      </c>
      <c r="B64" s="564">
        <v>510662190</v>
      </c>
      <c r="C64" s="494">
        <v>1000543972</v>
      </c>
      <c r="D64" s="319">
        <v>40000271</v>
      </c>
      <c r="E64" s="46">
        <v>35000</v>
      </c>
      <c r="F64" s="46">
        <v>40000</v>
      </c>
      <c r="G64" s="284">
        <v>36667</v>
      </c>
      <c r="H64" s="297">
        <v>40000</v>
      </c>
      <c r="I64" s="119">
        <v>45000</v>
      </c>
      <c r="J64" s="46">
        <v>57110</v>
      </c>
      <c r="K64" s="46">
        <f t="shared" si="4"/>
        <v>57110</v>
      </c>
      <c r="L64" s="59">
        <v>0</v>
      </c>
      <c r="M64" s="565"/>
      <c r="N64" s="121"/>
      <c r="O64" s="288">
        <f>MATCH(B64,'42-02-31 תרבות בקהילה'!$B$5:$B$120,0)</f>
        <v>46</v>
      </c>
      <c r="P64" s="288" t="e">
        <f>MATCH(B64,'42-02-31 תרבות בקהילה'!$B$122:$B$190,0)</f>
        <v>#N/A</v>
      </c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O64" s="121"/>
      <c r="CP64" s="121"/>
      <c r="CQ64" s="121"/>
    </row>
    <row r="65" spans="1:95" s="62" customFormat="1" ht="35.1" customHeight="1" x14ac:dyDescent="0.2">
      <c r="A65" s="487" t="s">
        <v>1670</v>
      </c>
      <c r="B65" s="564">
        <v>510662190</v>
      </c>
      <c r="C65" s="494">
        <v>1000544022</v>
      </c>
      <c r="D65" s="319">
        <v>40000271</v>
      </c>
      <c r="E65" s="46">
        <v>0</v>
      </c>
      <c r="F65" s="46">
        <v>0</v>
      </c>
      <c r="G65" s="284">
        <v>18333</v>
      </c>
      <c r="H65" s="297">
        <v>20000</v>
      </c>
      <c r="I65" s="119">
        <v>24590</v>
      </c>
      <c r="J65" s="46">
        <v>28555</v>
      </c>
      <c r="K65" s="46">
        <f t="shared" si="4"/>
        <v>28555</v>
      </c>
      <c r="L65" s="59">
        <v>0</v>
      </c>
      <c r="M65" s="565"/>
      <c r="N65" s="121"/>
      <c r="O65" s="288">
        <f>MATCH(B65,'42-02-31 תרבות בקהילה'!$B$5:$B$120,0)</f>
        <v>46</v>
      </c>
      <c r="P65" s="288" t="e">
        <f>MATCH(B65,'42-02-31 תרבות בקהילה'!$B$122:$B$190,0)</f>
        <v>#N/A</v>
      </c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1"/>
      <c r="BR65" s="121"/>
      <c r="BS65" s="121"/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  <c r="CJ65" s="121"/>
      <c r="CK65" s="121"/>
      <c r="CL65" s="121"/>
      <c r="CM65" s="121"/>
      <c r="CN65" s="121"/>
      <c r="CO65" s="121"/>
      <c r="CP65" s="121"/>
      <c r="CQ65" s="121"/>
    </row>
    <row r="66" spans="1:95" s="62" customFormat="1" ht="35.1" customHeight="1" x14ac:dyDescent="0.2">
      <c r="A66" s="487" t="s">
        <v>1671</v>
      </c>
      <c r="B66" s="567">
        <v>510703499</v>
      </c>
      <c r="C66" s="568">
        <v>1000543563</v>
      </c>
      <c r="D66" s="569">
        <v>40000276</v>
      </c>
      <c r="E66" s="119">
        <v>35000</v>
      </c>
      <c r="F66" s="382">
        <v>55000</v>
      </c>
      <c r="G66" s="284">
        <v>35000</v>
      </c>
      <c r="H66" s="297">
        <v>35000</v>
      </c>
      <c r="I66" s="119">
        <v>43032</v>
      </c>
      <c r="J66" s="46">
        <v>49971</v>
      </c>
      <c r="K66" s="46">
        <f t="shared" si="4"/>
        <v>49971</v>
      </c>
      <c r="L66" s="59">
        <v>0</v>
      </c>
      <c r="M66" s="478"/>
      <c r="N66" s="121"/>
      <c r="O66" s="288">
        <f>MATCH(B66,'42-02-31 תרבות בקהילה'!$B$5:$B$120,0)</f>
        <v>14</v>
      </c>
      <c r="P66" s="288" t="e">
        <f>MATCH(B66,'42-02-31 תרבות בקהילה'!$B$122:$B$190,0)</f>
        <v>#N/A</v>
      </c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  <c r="CJ66" s="121"/>
      <c r="CK66" s="121"/>
      <c r="CL66" s="121"/>
      <c r="CM66" s="121"/>
      <c r="CN66" s="121"/>
      <c r="CO66" s="121"/>
      <c r="CP66" s="121"/>
      <c r="CQ66" s="121"/>
    </row>
    <row r="67" spans="1:95" s="62" customFormat="1" ht="35.1" customHeight="1" x14ac:dyDescent="0.2">
      <c r="A67" s="487" t="s">
        <v>1672</v>
      </c>
      <c r="B67" s="318">
        <v>510703499</v>
      </c>
      <c r="C67" s="494">
        <v>1000543653</v>
      </c>
      <c r="D67" s="319">
        <v>40000276</v>
      </c>
      <c r="E67" s="46">
        <v>0</v>
      </c>
      <c r="F67" s="101">
        <v>45000</v>
      </c>
      <c r="G67" s="284">
        <v>25000</v>
      </c>
      <c r="H67" s="297">
        <v>40000</v>
      </c>
      <c r="I67" s="46">
        <v>30737</v>
      </c>
      <c r="J67" s="46">
        <v>35693</v>
      </c>
      <c r="K67" s="46">
        <f t="shared" si="4"/>
        <v>35693</v>
      </c>
      <c r="L67" s="59">
        <v>0</v>
      </c>
      <c r="M67" s="77"/>
      <c r="N67" s="121"/>
      <c r="O67" s="288">
        <f>MATCH(B67,'42-02-31 תרבות בקהילה'!$B$5:$B$120,0)</f>
        <v>14</v>
      </c>
      <c r="P67" s="288" t="e">
        <f>MATCH(B67,'42-02-31 תרבות בקהילה'!$B$122:$B$190,0)</f>
        <v>#N/A</v>
      </c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O67" s="121"/>
      <c r="CP67" s="121"/>
      <c r="CQ67" s="121"/>
    </row>
    <row r="68" spans="1:95" s="62" customFormat="1" ht="35.1" customHeight="1" x14ac:dyDescent="0.2">
      <c r="A68" s="558" t="s">
        <v>1673</v>
      </c>
      <c r="B68" s="318">
        <v>510703499</v>
      </c>
      <c r="C68" s="494">
        <v>1000543662</v>
      </c>
      <c r="D68" s="319">
        <v>40000276</v>
      </c>
      <c r="E68" s="46">
        <v>25000</v>
      </c>
      <c r="F68" s="46">
        <v>25000</v>
      </c>
      <c r="G68" s="284">
        <v>25000</v>
      </c>
      <c r="H68" s="284">
        <v>25000</v>
      </c>
      <c r="I68" s="119">
        <v>30737</v>
      </c>
      <c r="J68" s="46">
        <v>35693</v>
      </c>
      <c r="K68" s="46">
        <f t="shared" si="4"/>
        <v>35693</v>
      </c>
      <c r="L68" s="59">
        <v>0</v>
      </c>
      <c r="M68" s="77"/>
      <c r="N68" s="121"/>
      <c r="O68" s="288">
        <f>MATCH(B68,'42-02-31 תרבות בקהילה'!$B$5:$B$120,0)</f>
        <v>14</v>
      </c>
      <c r="P68" s="288" t="e">
        <f>MATCH(B68,'42-02-31 תרבות בקהילה'!$B$122:$B$190,0)</f>
        <v>#N/A</v>
      </c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1"/>
      <c r="AD68" s="121"/>
      <c r="AE68" s="121"/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1"/>
      <c r="BR68" s="121"/>
      <c r="BS68" s="121"/>
      <c r="BT68" s="121"/>
      <c r="BU68" s="121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  <c r="CJ68" s="121"/>
      <c r="CK68" s="121"/>
      <c r="CL68" s="121"/>
      <c r="CM68" s="121"/>
      <c r="CN68" s="121"/>
      <c r="CO68" s="121"/>
      <c r="CP68" s="121"/>
      <c r="CQ68" s="121"/>
    </row>
    <row r="69" spans="1:95" s="62" customFormat="1" ht="35.1" customHeight="1" x14ac:dyDescent="0.2">
      <c r="A69" s="487" t="s">
        <v>1674</v>
      </c>
      <c r="B69" s="318">
        <v>510703499</v>
      </c>
      <c r="C69" s="494">
        <v>1000543690</v>
      </c>
      <c r="D69" s="319">
        <v>40000276</v>
      </c>
      <c r="E69" s="46">
        <v>0</v>
      </c>
      <c r="F69" s="101">
        <v>0</v>
      </c>
      <c r="G69" s="284">
        <v>25000</v>
      </c>
      <c r="H69" s="284">
        <v>25000</v>
      </c>
      <c r="I69" s="119">
        <v>30737</v>
      </c>
      <c r="J69" s="46">
        <v>35693</v>
      </c>
      <c r="K69" s="46">
        <f t="shared" si="4"/>
        <v>35693</v>
      </c>
      <c r="L69" s="59">
        <v>0</v>
      </c>
      <c r="M69" s="77"/>
      <c r="N69" s="121"/>
      <c r="O69" s="288">
        <f>MATCH(B69,'42-02-31 תרבות בקהילה'!$B$5:$B$120,0)</f>
        <v>14</v>
      </c>
      <c r="P69" s="288" t="e">
        <f>MATCH(B69,'42-02-31 תרבות בקהילה'!$B$122:$B$190,0)</f>
        <v>#N/A</v>
      </c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  <c r="AC69" s="121"/>
      <c r="AD69" s="121"/>
      <c r="AE69" s="121"/>
      <c r="AF69" s="121"/>
      <c r="AG69" s="121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1"/>
      <c r="BR69" s="121"/>
      <c r="BS69" s="121"/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121"/>
      <c r="CM69" s="121"/>
      <c r="CN69" s="121"/>
      <c r="CO69" s="121"/>
      <c r="CP69" s="121"/>
      <c r="CQ69" s="121"/>
    </row>
    <row r="70" spans="1:95" s="62" customFormat="1" ht="35.1" customHeight="1" x14ac:dyDescent="0.2">
      <c r="A70" s="487" t="s">
        <v>1675</v>
      </c>
      <c r="B70" s="318">
        <v>510703499</v>
      </c>
      <c r="C70" s="494">
        <v>1000543612</v>
      </c>
      <c r="D70" s="319">
        <v>40000276</v>
      </c>
      <c r="E70" s="46">
        <v>25000</v>
      </c>
      <c r="F70" s="46">
        <v>30000</v>
      </c>
      <c r="G70" s="284">
        <v>30000</v>
      </c>
      <c r="H70" s="297">
        <v>30000</v>
      </c>
      <c r="I70" s="119">
        <v>36885</v>
      </c>
      <c r="J70" s="46">
        <v>42832</v>
      </c>
      <c r="K70" s="46">
        <f t="shared" si="4"/>
        <v>42832</v>
      </c>
      <c r="L70" s="59">
        <v>0</v>
      </c>
      <c r="M70" s="77"/>
      <c r="N70" s="121"/>
      <c r="O70" s="288">
        <f>MATCH(B70,'42-02-31 תרבות בקהילה'!$B$5:$B$120,0)</f>
        <v>14</v>
      </c>
      <c r="P70" s="288" t="e">
        <f>MATCH(B70,'42-02-31 תרבות בקהילה'!$B$122:$B$190,0)</f>
        <v>#N/A</v>
      </c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1"/>
      <c r="AB70" s="121"/>
      <c r="AC70" s="121"/>
      <c r="AD70" s="121"/>
      <c r="AE70" s="121"/>
      <c r="AF70" s="121"/>
      <c r="AG70" s="121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O70" s="121"/>
      <c r="CP70" s="121"/>
      <c r="CQ70" s="121"/>
    </row>
    <row r="71" spans="1:95" s="62" customFormat="1" ht="35.1" customHeight="1" x14ac:dyDescent="0.2">
      <c r="A71" s="487" t="s">
        <v>1676</v>
      </c>
      <c r="B71" s="318">
        <v>510766389</v>
      </c>
      <c r="C71" s="494">
        <v>1000550930</v>
      </c>
      <c r="D71" s="319">
        <v>40000279</v>
      </c>
      <c r="E71" s="46">
        <v>20000</v>
      </c>
      <c r="F71" s="101">
        <v>32480</v>
      </c>
      <c r="G71" s="284">
        <v>20000</v>
      </c>
      <c r="H71" s="297">
        <v>20000</v>
      </c>
      <c r="I71" s="119">
        <v>0</v>
      </c>
      <c r="J71" s="46">
        <v>25000</v>
      </c>
      <c r="K71" s="46">
        <f t="shared" si="4"/>
        <v>25000</v>
      </c>
      <c r="L71" s="59">
        <v>0</v>
      </c>
      <c r="M71" s="77"/>
      <c r="N71" s="121"/>
      <c r="O71" s="288">
        <f>MATCH(B71,'42-02-31 תרבות בקהילה'!$B$5:$B$120,0)</f>
        <v>41</v>
      </c>
      <c r="P71" s="288" t="e">
        <f>MATCH(B71,'42-02-31 תרבות בקהילה'!$B$122:$B$190,0)</f>
        <v>#N/A</v>
      </c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1"/>
      <c r="AB71" s="121"/>
      <c r="AC71" s="121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O71" s="121"/>
      <c r="CP71" s="121"/>
      <c r="CQ71" s="121"/>
    </row>
    <row r="72" spans="1:95" s="62" customFormat="1" ht="35.1" customHeight="1" x14ac:dyDescent="0.2">
      <c r="A72" s="487" t="s">
        <v>1677</v>
      </c>
      <c r="B72" s="318">
        <v>510766389</v>
      </c>
      <c r="C72" s="494">
        <v>1000550990</v>
      </c>
      <c r="D72" s="319">
        <v>40000279</v>
      </c>
      <c r="E72" s="46">
        <v>25000</v>
      </c>
      <c r="F72" s="101">
        <v>36053</v>
      </c>
      <c r="G72" s="284">
        <v>25000</v>
      </c>
      <c r="H72" s="297">
        <v>25000</v>
      </c>
      <c r="I72" s="119">
        <v>0</v>
      </c>
      <c r="J72" s="46">
        <v>35693</v>
      </c>
      <c r="K72" s="46">
        <f t="shared" si="4"/>
        <v>35693</v>
      </c>
      <c r="L72" s="59">
        <v>0</v>
      </c>
      <c r="M72" s="77"/>
      <c r="N72" s="121"/>
      <c r="O72" s="288">
        <f>MATCH(B72,'42-02-31 תרבות בקהילה'!$B$5:$B$120,0)</f>
        <v>41</v>
      </c>
      <c r="P72" s="288" t="e">
        <f>MATCH(B72,'42-02-31 תרבות בקהילה'!$B$122:$B$190,0)</f>
        <v>#N/A</v>
      </c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O72" s="121"/>
      <c r="CP72" s="121"/>
      <c r="CQ72" s="121"/>
    </row>
    <row r="73" spans="1:95" s="62" customFormat="1" ht="40.5" customHeight="1" x14ac:dyDescent="0.2">
      <c r="A73" s="51" t="s">
        <v>1678</v>
      </c>
      <c r="B73" s="50">
        <v>511757114</v>
      </c>
      <c r="C73" s="49">
        <v>1000540739</v>
      </c>
      <c r="D73" s="48">
        <v>40000291</v>
      </c>
      <c r="E73" s="46">
        <v>0</v>
      </c>
      <c r="F73" s="101">
        <v>0</v>
      </c>
      <c r="G73" s="46">
        <v>0</v>
      </c>
      <c r="H73" s="297">
        <v>20000</v>
      </c>
      <c r="I73" s="119">
        <v>24590</v>
      </c>
      <c r="J73" s="46">
        <v>30982</v>
      </c>
      <c r="K73" s="46">
        <f t="shared" si="4"/>
        <v>30982</v>
      </c>
      <c r="L73" s="59">
        <v>0</v>
      </c>
      <c r="M73" s="77"/>
      <c r="N73" s="121"/>
      <c r="O73" s="288">
        <f>MATCH(B73,'42-02-31 תרבות בקהילה'!$B$5:$B$120,0)</f>
        <v>68</v>
      </c>
      <c r="P73" s="288" t="e">
        <f>MATCH(B73,'42-02-31 תרבות בקהילה'!$B$122:$B$190,0)</f>
        <v>#N/A</v>
      </c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  <c r="AC73" s="121"/>
      <c r="AD73" s="121"/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1"/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  <c r="CJ73" s="121"/>
      <c r="CK73" s="121"/>
      <c r="CL73" s="121"/>
      <c r="CM73" s="121"/>
      <c r="CN73" s="121"/>
      <c r="CO73" s="121"/>
      <c r="CP73" s="121"/>
      <c r="CQ73" s="121"/>
    </row>
    <row r="74" spans="1:95" s="62" customFormat="1" ht="37.5" customHeight="1" x14ac:dyDescent="0.2">
      <c r="A74" s="51" t="s">
        <v>1679</v>
      </c>
      <c r="B74" s="50">
        <v>511757114</v>
      </c>
      <c r="C74" s="49">
        <v>1000540780</v>
      </c>
      <c r="D74" s="48">
        <v>40000291</v>
      </c>
      <c r="E74" s="46">
        <v>0</v>
      </c>
      <c r="F74" s="101">
        <v>0</v>
      </c>
      <c r="G74" s="46">
        <v>0</v>
      </c>
      <c r="H74" s="297">
        <v>30000</v>
      </c>
      <c r="I74" s="119">
        <v>24590</v>
      </c>
      <c r="J74" s="46">
        <v>30982</v>
      </c>
      <c r="K74" s="46">
        <f t="shared" si="4"/>
        <v>30982</v>
      </c>
      <c r="L74" s="59">
        <v>0</v>
      </c>
      <c r="M74" s="77"/>
      <c r="N74" s="121"/>
      <c r="O74" s="288">
        <f>MATCH(B74,'42-02-31 תרבות בקהילה'!$B$5:$B$120,0)</f>
        <v>68</v>
      </c>
      <c r="P74" s="288" t="e">
        <f>MATCH(B74,'42-02-31 תרבות בקהילה'!$B$122:$B$190,0)</f>
        <v>#N/A</v>
      </c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O74" s="121"/>
      <c r="CP74" s="121"/>
      <c r="CQ74" s="121"/>
    </row>
    <row r="75" spans="1:95" s="62" customFormat="1" ht="42.75" customHeight="1" x14ac:dyDescent="0.2">
      <c r="A75" s="51" t="s">
        <v>1680</v>
      </c>
      <c r="B75" s="50">
        <v>511757114</v>
      </c>
      <c r="C75" s="49">
        <v>1000539639</v>
      </c>
      <c r="D75" s="48">
        <v>40000291</v>
      </c>
      <c r="E75" s="46">
        <v>0</v>
      </c>
      <c r="F75" s="101">
        <v>0</v>
      </c>
      <c r="G75" s="46">
        <v>0</v>
      </c>
      <c r="H75" s="297">
        <v>40000</v>
      </c>
      <c r="I75" s="119">
        <v>49179</v>
      </c>
      <c r="J75" s="46">
        <v>61965</v>
      </c>
      <c r="K75" s="46">
        <f t="shared" si="4"/>
        <v>61965</v>
      </c>
      <c r="L75" s="59">
        <v>0</v>
      </c>
      <c r="M75" s="77"/>
      <c r="N75" s="121"/>
      <c r="O75" s="288">
        <f>MATCH(B75,'42-02-31 תרבות בקהילה'!$B$5:$B$120,0)</f>
        <v>68</v>
      </c>
      <c r="P75" s="288" t="e">
        <f>MATCH(B75,'42-02-31 תרבות בקהילה'!$B$122:$B$190,0)</f>
        <v>#N/A</v>
      </c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1"/>
      <c r="AB75" s="121"/>
      <c r="AC75" s="121"/>
      <c r="AD75" s="121"/>
      <c r="AE75" s="121"/>
      <c r="AF75" s="121"/>
      <c r="AG75" s="121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O75" s="121"/>
      <c r="CP75" s="121"/>
      <c r="CQ75" s="121"/>
    </row>
    <row r="76" spans="1:95" s="62" customFormat="1" ht="35.1" customHeight="1" x14ac:dyDescent="0.2">
      <c r="A76" s="317" t="s">
        <v>1681</v>
      </c>
      <c r="B76" s="570">
        <v>580017580</v>
      </c>
      <c r="C76" s="494">
        <v>1000542713</v>
      </c>
      <c r="D76" s="319">
        <v>40000347</v>
      </c>
      <c r="E76" s="46">
        <v>25000</v>
      </c>
      <c r="F76" s="46">
        <v>30000</v>
      </c>
      <c r="G76" s="284">
        <v>30000</v>
      </c>
      <c r="H76" s="284">
        <v>30000</v>
      </c>
      <c r="I76" s="119">
        <v>36885</v>
      </c>
      <c r="J76" s="46">
        <v>40000</v>
      </c>
      <c r="K76" s="46">
        <f t="shared" si="4"/>
        <v>40000</v>
      </c>
      <c r="L76" s="59">
        <v>0</v>
      </c>
      <c r="M76" s="77"/>
      <c r="N76" s="121"/>
      <c r="O76" s="288">
        <f>MATCH(B76,'42-02-31 תרבות בקהילה'!$B$5:$B$120,0)</f>
        <v>36</v>
      </c>
      <c r="P76" s="288" t="e">
        <f>MATCH(B76,'42-02-31 תרבות בקהילה'!$B$122:$B$190,0)</f>
        <v>#N/A</v>
      </c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1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O76" s="121"/>
      <c r="CP76" s="121"/>
      <c r="CQ76" s="121"/>
    </row>
    <row r="77" spans="1:95" s="62" customFormat="1" ht="35.1" customHeight="1" x14ac:dyDescent="0.2">
      <c r="A77" s="317" t="s">
        <v>1682</v>
      </c>
      <c r="B77" s="318">
        <v>580020287</v>
      </c>
      <c r="C77" s="494">
        <v>1000548315</v>
      </c>
      <c r="D77" s="319">
        <v>40000351</v>
      </c>
      <c r="E77" s="46">
        <v>25000</v>
      </c>
      <c r="F77" s="101">
        <v>40601</v>
      </c>
      <c r="G77" s="284">
        <v>25000</v>
      </c>
      <c r="H77" s="284">
        <v>25000</v>
      </c>
      <c r="I77" s="119">
        <v>30737</v>
      </c>
      <c r="J77" s="46">
        <v>35693</v>
      </c>
      <c r="K77" s="46">
        <f t="shared" si="4"/>
        <v>35693</v>
      </c>
      <c r="L77" s="59">
        <v>0</v>
      </c>
      <c r="M77" s="77"/>
      <c r="N77" s="121"/>
      <c r="O77" s="288">
        <f>MATCH(B77,'42-02-31 תרבות בקהילה'!$B$5:$B$120,0)</f>
        <v>13</v>
      </c>
      <c r="P77" s="288" t="e">
        <f>MATCH(B77,'42-02-31 תרבות בקהילה'!$B$122:$B$190,0)</f>
        <v>#N/A</v>
      </c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O77" s="121"/>
      <c r="CP77" s="121"/>
      <c r="CQ77" s="121"/>
    </row>
    <row r="78" spans="1:95" s="62" customFormat="1" ht="35.25" customHeight="1" x14ac:dyDescent="0.2">
      <c r="A78" s="55" t="s">
        <v>1683</v>
      </c>
      <c r="B78" s="50">
        <v>580052363</v>
      </c>
      <c r="C78" s="49">
        <v>1000551837</v>
      </c>
      <c r="D78" s="48">
        <v>40000403</v>
      </c>
      <c r="E78" s="46">
        <v>20000</v>
      </c>
      <c r="F78" s="46">
        <v>20000</v>
      </c>
      <c r="G78" s="284">
        <v>20000</v>
      </c>
      <c r="H78" s="297">
        <v>20000</v>
      </c>
      <c r="I78" s="119">
        <v>24590</v>
      </c>
      <c r="J78" s="46">
        <v>30982</v>
      </c>
      <c r="K78" s="46">
        <f t="shared" si="4"/>
        <v>30982</v>
      </c>
      <c r="L78" s="59">
        <v>0</v>
      </c>
      <c r="M78" s="77"/>
      <c r="N78" s="121"/>
      <c r="O78" s="288">
        <f>MATCH(B78,'42-02-31 תרבות בקהילה'!$B$5:$B$120,0)</f>
        <v>56</v>
      </c>
      <c r="P78" s="288" t="e">
        <f>MATCH(B78,'42-02-31 תרבות בקהילה'!$B$122:$B$190,0)</f>
        <v>#N/A</v>
      </c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1"/>
      <c r="BR78" s="121"/>
      <c r="BS78" s="121"/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O78" s="121"/>
      <c r="CP78" s="121"/>
      <c r="CQ78" s="121"/>
    </row>
    <row r="79" spans="1:95" s="62" customFormat="1" ht="35.1" customHeight="1" x14ac:dyDescent="0.2">
      <c r="A79" s="487" t="s">
        <v>1684</v>
      </c>
      <c r="B79" s="318">
        <v>580056687</v>
      </c>
      <c r="C79" s="494">
        <v>1000543221</v>
      </c>
      <c r="D79" s="319">
        <v>40000409</v>
      </c>
      <c r="E79" s="46">
        <v>20000</v>
      </c>
      <c r="F79" s="101">
        <v>25000</v>
      </c>
      <c r="G79" s="284">
        <v>20000</v>
      </c>
      <c r="H79" s="119">
        <v>20000</v>
      </c>
      <c r="I79" s="119">
        <v>24590</v>
      </c>
      <c r="J79" s="46">
        <v>25000</v>
      </c>
      <c r="K79" s="46">
        <f t="shared" si="4"/>
        <v>25000</v>
      </c>
      <c r="L79" s="59">
        <v>0</v>
      </c>
      <c r="M79" s="77"/>
      <c r="N79" s="121"/>
      <c r="O79" s="288">
        <f>MATCH(B79,'42-02-31 תרבות בקהילה'!$B$5:$B$120,0)</f>
        <v>11</v>
      </c>
      <c r="P79" s="288" t="e">
        <f>MATCH(B79,'42-02-31 תרבות בקהילה'!$B$122:$B$190,0)</f>
        <v>#N/A</v>
      </c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O79" s="121"/>
      <c r="CP79" s="121"/>
      <c r="CQ79" s="121"/>
    </row>
    <row r="80" spans="1:95" s="62" customFormat="1" ht="35.1" customHeight="1" x14ac:dyDescent="0.2">
      <c r="A80" s="317" t="s">
        <v>1685</v>
      </c>
      <c r="B80" s="318">
        <v>580082824</v>
      </c>
      <c r="C80" s="573">
        <v>1000533817</v>
      </c>
      <c r="D80" s="319">
        <v>40000448</v>
      </c>
      <c r="E80" s="46">
        <v>40000</v>
      </c>
      <c r="F80" s="46">
        <v>40000</v>
      </c>
      <c r="G80" s="284">
        <v>40000</v>
      </c>
      <c r="H80" s="297">
        <v>40000</v>
      </c>
      <c r="I80" s="119">
        <v>49179</v>
      </c>
      <c r="J80" s="46">
        <v>57110</v>
      </c>
      <c r="K80" s="46">
        <f t="shared" si="4"/>
        <v>57110</v>
      </c>
      <c r="L80" s="59">
        <v>0</v>
      </c>
      <c r="M80" s="77"/>
      <c r="N80" s="121"/>
      <c r="O80" s="288">
        <f>MATCH(B80,'42-02-31 תרבות בקהילה'!$B$5:$B$120,0)</f>
        <v>39</v>
      </c>
      <c r="P80" s="288" t="e">
        <f>MATCH(B80,'42-02-31 תרבות בקהילה'!$B$122:$B$190,0)</f>
        <v>#N/A</v>
      </c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1"/>
      <c r="BR80" s="121"/>
      <c r="BS80" s="121"/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O80" s="121"/>
      <c r="CP80" s="121"/>
      <c r="CQ80" s="121"/>
    </row>
    <row r="81" spans="1:95" s="62" customFormat="1" ht="41.25" customHeight="1" x14ac:dyDescent="0.2">
      <c r="A81" s="487" t="s">
        <v>1686</v>
      </c>
      <c r="B81" s="318">
        <v>580146850</v>
      </c>
      <c r="C81" s="494">
        <v>1000546908</v>
      </c>
      <c r="D81" s="319">
        <v>40000505</v>
      </c>
      <c r="E81" s="46">
        <v>25000</v>
      </c>
      <c r="F81" s="101">
        <v>40000</v>
      </c>
      <c r="G81" s="284">
        <v>35000</v>
      </c>
      <c r="H81" s="297">
        <v>45000</v>
      </c>
      <c r="I81" s="119">
        <v>43032</v>
      </c>
      <c r="J81" s="46">
        <v>50000</v>
      </c>
      <c r="K81" s="46">
        <f t="shared" si="4"/>
        <v>50000</v>
      </c>
      <c r="L81" s="59">
        <v>0</v>
      </c>
      <c r="M81" s="77"/>
      <c r="N81" s="121"/>
      <c r="O81" s="288">
        <f>MATCH(B81,'42-02-31 תרבות בקהילה'!$B$5:$B$120,0)</f>
        <v>22</v>
      </c>
      <c r="P81" s="288" t="e">
        <f>MATCH(B81,'42-02-31 תרבות בקהילה'!$B$122:$B$190,0)</f>
        <v>#N/A</v>
      </c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1"/>
      <c r="BR81" s="121"/>
      <c r="BS81" s="121"/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O81" s="121"/>
      <c r="CP81" s="121"/>
      <c r="CQ81" s="121"/>
    </row>
    <row r="82" spans="1:95" s="62" customFormat="1" ht="38.25" customHeight="1" x14ac:dyDescent="0.2">
      <c r="A82" s="487" t="s">
        <v>1687</v>
      </c>
      <c r="B82" s="318">
        <v>580146850</v>
      </c>
      <c r="C82" s="494">
        <v>1000546961</v>
      </c>
      <c r="D82" s="319">
        <v>40000505</v>
      </c>
      <c r="E82" s="46">
        <v>0</v>
      </c>
      <c r="F82" s="101">
        <v>0</v>
      </c>
      <c r="G82" s="284">
        <v>20000</v>
      </c>
      <c r="H82" s="284">
        <v>30000</v>
      </c>
      <c r="I82" s="119">
        <v>36885</v>
      </c>
      <c r="J82" s="46">
        <v>45000</v>
      </c>
      <c r="K82" s="46">
        <f t="shared" si="4"/>
        <v>45000</v>
      </c>
      <c r="L82" s="59">
        <v>0</v>
      </c>
      <c r="M82" s="77"/>
      <c r="N82" s="121"/>
      <c r="O82" s="288">
        <f>MATCH(B82,'42-02-31 תרבות בקהילה'!$B$5:$B$120,0)</f>
        <v>22</v>
      </c>
      <c r="P82" s="288" t="e">
        <f>MATCH(B82,'42-02-31 תרבות בקהילה'!$B$122:$B$190,0)</f>
        <v>#N/A</v>
      </c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O82" s="121"/>
      <c r="CP82" s="121"/>
      <c r="CQ82" s="121"/>
    </row>
    <row r="83" spans="1:95" s="62" customFormat="1" ht="41.25" customHeight="1" x14ac:dyDescent="0.2">
      <c r="A83" s="487" t="s">
        <v>1688</v>
      </c>
      <c r="B83" s="318">
        <v>580146850</v>
      </c>
      <c r="C83" s="494">
        <v>1000546960</v>
      </c>
      <c r="D83" s="319">
        <v>40000505</v>
      </c>
      <c r="E83" s="46">
        <v>25000</v>
      </c>
      <c r="F83" s="101">
        <v>35000</v>
      </c>
      <c r="G83" s="284">
        <v>30000</v>
      </c>
      <c r="H83" s="297">
        <v>30000</v>
      </c>
      <c r="I83" s="119">
        <v>36885</v>
      </c>
      <c r="J83" s="46">
        <v>45000</v>
      </c>
      <c r="K83" s="46">
        <f t="shared" si="4"/>
        <v>45000</v>
      </c>
      <c r="L83" s="59">
        <v>0</v>
      </c>
      <c r="M83" s="77"/>
      <c r="N83" s="121"/>
      <c r="O83" s="288">
        <f>MATCH(B83,'42-02-31 תרבות בקהילה'!$B$5:$B$120,0)</f>
        <v>22</v>
      </c>
      <c r="P83" s="288" t="e">
        <f>MATCH(B83,'42-02-31 תרבות בקהילה'!$B$122:$B$190,0)</f>
        <v>#N/A</v>
      </c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O83" s="121"/>
      <c r="CP83" s="121"/>
      <c r="CQ83" s="121"/>
    </row>
    <row r="84" spans="1:95" s="62" customFormat="1" ht="35.1" customHeight="1" x14ac:dyDescent="0.2">
      <c r="A84" s="487" t="s">
        <v>1689</v>
      </c>
      <c r="B84" s="318">
        <v>589227148</v>
      </c>
      <c r="C84" s="494">
        <v>1000549949</v>
      </c>
      <c r="D84" s="319">
        <v>40000578</v>
      </c>
      <c r="E84" s="46">
        <v>40000</v>
      </c>
      <c r="F84" s="46">
        <v>40000</v>
      </c>
      <c r="G84" s="284">
        <v>40000</v>
      </c>
      <c r="H84" s="297">
        <v>40000</v>
      </c>
      <c r="I84" s="119">
        <v>49179</v>
      </c>
      <c r="J84" s="46">
        <v>50000</v>
      </c>
      <c r="K84" s="46">
        <f t="shared" si="4"/>
        <v>50000</v>
      </c>
      <c r="L84" s="59">
        <v>0</v>
      </c>
      <c r="M84" s="77"/>
      <c r="N84" s="121"/>
      <c r="O84" s="288">
        <f>MATCH(B84,'42-02-31 תרבות בקהילה'!$B$5:$B$120,0)</f>
        <v>1</v>
      </c>
      <c r="P84" s="288" t="e">
        <f>MATCH(B84,'42-02-31 תרבות בקהילה'!$B$122:$B$190,0)</f>
        <v>#N/A</v>
      </c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O84" s="121"/>
      <c r="CP84" s="121"/>
      <c r="CQ84" s="121"/>
    </row>
    <row r="85" spans="1:95" s="62" customFormat="1" ht="38.25" customHeight="1" x14ac:dyDescent="0.2">
      <c r="A85" s="487" t="s">
        <v>1690</v>
      </c>
      <c r="B85" s="318">
        <v>580238699</v>
      </c>
      <c r="C85" s="494">
        <v>1000545491</v>
      </c>
      <c r="D85" s="319">
        <v>40000594</v>
      </c>
      <c r="E85" s="46">
        <v>40000</v>
      </c>
      <c r="F85" s="101">
        <v>58520</v>
      </c>
      <c r="G85" s="284">
        <v>40000</v>
      </c>
      <c r="H85" s="297">
        <v>50000</v>
      </c>
      <c r="I85" s="119">
        <v>49179</v>
      </c>
      <c r="J85" s="46">
        <v>57110</v>
      </c>
      <c r="K85" s="46">
        <f t="shared" si="4"/>
        <v>57110</v>
      </c>
      <c r="L85" s="59">
        <v>0</v>
      </c>
      <c r="M85" s="77"/>
      <c r="N85" s="121"/>
      <c r="O85" s="288">
        <f>MATCH(B85,'42-02-31 תרבות בקהילה'!$B$5:$B$120,0)</f>
        <v>34</v>
      </c>
      <c r="P85" s="288" t="e">
        <f>MATCH(B85,'42-02-31 תרבות בקהילה'!$B$122:$B$190,0)</f>
        <v>#N/A</v>
      </c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O85" s="121"/>
      <c r="CP85" s="121"/>
      <c r="CQ85" s="121"/>
    </row>
    <row r="86" spans="1:95" s="62" customFormat="1" ht="35.1" customHeight="1" x14ac:dyDescent="0.2">
      <c r="A86" s="487" t="s">
        <v>1691</v>
      </c>
      <c r="B86" s="318">
        <v>580192391</v>
      </c>
      <c r="C86" s="494">
        <v>1000542558</v>
      </c>
      <c r="D86" s="319">
        <v>40016752</v>
      </c>
      <c r="E86" s="46"/>
      <c r="F86" s="46"/>
      <c r="G86" s="284"/>
      <c r="H86" s="297">
        <v>0</v>
      </c>
      <c r="I86" s="119">
        <v>24590</v>
      </c>
      <c r="J86" s="46">
        <v>28555</v>
      </c>
      <c r="K86" s="46">
        <f t="shared" si="4"/>
        <v>28555</v>
      </c>
      <c r="L86" s="59">
        <v>0</v>
      </c>
      <c r="M86" s="77"/>
      <c r="N86" s="121"/>
      <c r="O86" s="288">
        <f>MATCH(B86,'42-02-31 תרבות בקהילה'!$B$5:$B$120,0)</f>
        <v>63</v>
      </c>
      <c r="P86" s="288" t="e">
        <f>MATCH(B86,'42-02-31 תרבות בקהילה'!$B$122:$B$190,0)</f>
        <v>#N/A</v>
      </c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O86" s="121"/>
      <c r="CP86" s="121"/>
      <c r="CQ86" s="121"/>
    </row>
    <row r="87" spans="1:95" s="62" customFormat="1" ht="35.1" customHeight="1" x14ac:dyDescent="0.2">
      <c r="A87" s="487" t="s">
        <v>1692</v>
      </c>
      <c r="B87" s="572">
        <v>580243590</v>
      </c>
      <c r="C87" s="494">
        <v>1000537265</v>
      </c>
      <c r="D87" s="319">
        <v>40019261</v>
      </c>
      <c r="E87" s="46">
        <v>25000</v>
      </c>
      <c r="F87" s="46">
        <v>30000</v>
      </c>
      <c r="G87" s="284">
        <v>30000</v>
      </c>
      <c r="H87" s="46">
        <v>30000</v>
      </c>
      <c r="I87" s="119">
        <v>36885</v>
      </c>
      <c r="J87" s="46">
        <v>42832</v>
      </c>
      <c r="K87" s="46">
        <f t="shared" si="4"/>
        <v>42832</v>
      </c>
      <c r="L87" s="59">
        <v>0</v>
      </c>
      <c r="M87" s="77"/>
      <c r="N87" s="121"/>
      <c r="O87" s="288">
        <f>MATCH(B87,'42-02-31 תרבות בקהילה'!$B$5:$B$120,0)</f>
        <v>37</v>
      </c>
      <c r="P87" s="288" t="e">
        <f>MATCH(B87,'42-02-31 תרבות בקהילה'!$B$122:$B$190,0)</f>
        <v>#N/A</v>
      </c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O87" s="121"/>
      <c r="CP87" s="121"/>
      <c r="CQ87" s="121"/>
    </row>
    <row r="88" spans="1:95" s="62" customFormat="1" ht="35.1" customHeight="1" x14ac:dyDescent="0.2">
      <c r="A88" s="487" t="s">
        <v>1693</v>
      </c>
      <c r="B88" s="572">
        <v>580243590</v>
      </c>
      <c r="C88" s="494">
        <v>1000546757</v>
      </c>
      <c r="D88" s="319">
        <v>40019261</v>
      </c>
      <c r="E88" s="46">
        <v>40000</v>
      </c>
      <c r="F88" s="46">
        <v>40000</v>
      </c>
      <c r="G88" s="284">
        <v>40000</v>
      </c>
      <c r="H88" s="46">
        <v>40000</v>
      </c>
      <c r="I88" s="119">
        <v>49179</v>
      </c>
      <c r="J88" s="46">
        <v>55000</v>
      </c>
      <c r="K88" s="46">
        <f t="shared" si="4"/>
        <v>55000</v>
      </c>
      <c r="L88" s="59">
        <v>0</v>
      </c>
      <c r="M88" s="77"/>
      <c r="N88" s="121"/>
      <c r="O88" s="288">
        <f>MATCH(B88,'42-02-31 תרבות בקהילה'!$B$5:$B$120,0)</f>
        <v>37</v>
      </c>
      <c r="P88" s="288" t="e">
        <f>MATCH(B88,'42-02-31 תרבות בקהילה'!$B$122:$B$190,0)</f>
        <v>#N/A</v>
      </c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O88" s="121"/>
      <c r="CP88" s="121"/>
      <c r="CQ88" s="121"/>
    </row>
    <row r="89" spans="1:95" s="62" customFormat="1" ht="35.1" customHeight="1" x14ac:dyDescent="0.2">
      <c r="A89" s="51" t="s">
        <v>1694</v>
      </c>
      <c r="B89" s="50">
        <v>580238327</v>
      </c>
      <c r="C89" s="49">
        <v>1000545982</v>
      </c>
      <c r="D89" s="48">
        <v>40371501</v>
      </c>
      <c r="E89" s="46">
        <v>0</v>
      </c>
      <c r="F89" s="46">
        <v>0</v>
      </c>
      <c r="G89" s="46">
        <v>0</v>
      </c>
      <c r="H89" s="297">
        <v>0</v>
      </c>
      <c r="I89" s="119">
        <v>24590</v>
      </c>
      <c r="J89" s="46">
        <v>28555</v>
      </c>
      <c r="K89" s="46">
        <f t="shared" si="4"/>
        <v>28555</v>
      </c>
      <c r="L89" s="59">
        <v>0</v>
      </c>
      <c r="M89" s="77"/>
      <c r="N89" s="121"/>
      <c r="O89" s="288">
        <f>MATCH(B89,'42-02-31 תרבות בקהילה'!$B$5:$B$120,0)</f>
        <v>57</v>
      </c>
      <c r="P89" s="288" t="e">
        <f>MATCH(B89,'42-02-31 תרבות בקהילה'!$B$122:$B$190,0)</f>
        <v>#N/A</v>
      </c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O89" s="121"/>
      <c r="CP89" s="121"/>
      <c r="CQ89" s="121"/>
    </row>
    <row r="90" spans="1:95" s="62" customFormat="1" ht="35.1" customHeight="1" x14ac:dyDescent="0.2">
      <c r="A90" s="487" t="s">
        <v>1695</v>
      </c>
      <c r="B90" s="318">
        <v>580492593</v>
      </c>
      <c r="C90" s="54">
        <v>1000545390</v>
      </c>
      <c r="D90" s="319">
        <v>40461777</v>
      </c>
      <c r="E90" s="46">
        <v>0</v>
      </c>
      <c r="F90" s="46">
        <v>0</v>
      </c>
      <c r="G90" s="284">
        <v>32083</v>
      </c>
      <c r="H90" s="297">
        <v>43373</v>
      </c>
      <c r="I90" s="119">
        <v>27693</v>
      </c>
      <c r="J90" s="46">
        <v>42886</v>
      </c>
      <c r="K90" s="46">
        <f t="shared" si="4"/>
        <v>42886</v>
      </c>
      <c r="L90" s="59">
        <v>0</v>
      </c>
      <c r="M90" s="77"/>
      <c r="N90" s="121"/>
      <c r="O90" s="288">
        <f>MATCH(B90,'42-02-31 תרבות בקהילה'!$B$5:$B$120,0)</f>
        <v>65</v>
      </c>
      <c r="P90" s="288" t="e">
        <f>MATCH(B90,'42-02-31 תרבות בקהילה'!$B$122:$B$190,0)</f>
        <v>#N/A</v>
      </c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O90" s="121"/>
      <c r="CP90" s="121"/>
      <c r="CQ90" s="121"/>
    </row>
    <row r="91" spans="1:95" s="62" customFormat="1" ht="35.1" customHeight="1" x14ac:dyDescent="0.2">
      <c r="A91" s="487" t="s">
        <v>1696</v>
      </c>
      <c r="B91" s="318">
        <v>580373959</v>
      </c>
      <c r="C91" s="494">
        <v>1000542694</v>
      </c>
      <c r="D91" s="319">
        <v>20000006</v>
      </c>
      <c r="E91" s="46">
        <v>30000</v>
      </c>
      <c r="F91" s="46">
        <v>30000</v>
      </c>
      <c r="G91" s="284">
        <v>30000</v>
      </c>
      <c r="H91" s="297">
        <v>30000</v>
      </c>
      <c r="I91" s="119">
        <v>36885</v>
      </c>
      <c r="J91" s="46">
        <v>40000</v>
      </c>
      <c r="K91" s="46">
        <f t="shared" si="4"/>
        <v>40000</v>
      </c>
      <c r="L91" s="59">
        <v>0</v>
      </c>
      <c r="M91" s="77"/>
      <c r="N91" s="121"/>
      <c r="O91" s="288" t="e">
        <f>MATCH(B91,'42-02-31 תרבות בקהילה'!$B$5:$B$120,0)</f>
        <v>#N/A</v>
      </c>
      <c r="P91" s="288" t="e">
        <f>MATCH(B91,'42-02-31 תרבות בקהילה'!$B$122:$B$190,0)</f>
        <v>#N/A</v>
      </c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O91" s="121"/>
      <c r="CP91" s="121"/>
      <c r="CQ91" s="121"/>
    </row>
    <row r="92" spans="1:95" s="62" customFormat="1" ht="35.1" customHeight="1" x14ac:dyDescent="0.2">
      <c r="A92" s="487" t="s">
        <v>1697</v>
      </c>
      <c r="B92" s="318">
        <v>500210265</v>
      </c>
      <c r="C92" s="494">
        <v>1000538652</v>
      </c>
      <c r="D92" s="319">
        <v>20000095</v>
      </c>
      <c r="E92" s="46">
        <v>70000</v>
      </c>
      <c r="F92" s="46">
        <v>70000</v>
      </c>
      <c r="G92" s="284">
        <v>0</v>
      </c>
      <c r="H92" s="297">
        <v>60000</v>
      </c>
      <c r="I92" s="119">
        <v>73769</v>
      </c>
      <c r="J92" s="46">
        <v>75168</v>
      </c>
      <c r="K92" s="46">
        <f t="shared" si="4"/>
        <v>75168</v>
      </c>
      <c r="L92" s="59">
        <v>0</v>
      </c>
      <c r="M92" s="77"/>
      <c r="N92" s="121"/>
      <c r="O92" s="288" t="e">
        <f>MATCH(B92,'42-02-31 תרבות בקהילה'!$B$5:$B$120,0)</f>
        <v>#N/A</v>
      </c>
      <c r="P92" s="288">
        <f>MATCH(B92,'42-02-31 תרבות בקהילה'!$B$122:$B$190,0)</f>
        <v>11</v>
      </c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O92" s="121"/>
      <c r="CP92" s="121"/>
      <c r="CQ92" s="121"/>
    </row>
    <row r="93" spans="1:95" s="62" customFormat="1" ht="35.1" customHeight="1" x14ac:dyDescent="0.2">
      <c r="A93" s="487" t="s">
        <v>1698</v>
      </c>
      <c r="B93" s="318">
        <v>500221015</v>
      </c>
      <c r="C93" s="494">
        <v>1000545682</v>
      </c>
      <c r="D93" s="319">
        <v>20000127</v>
      </c>
      <c r="E93" s="46">
        <v>20000</v>
      </c>
      <c r="F93" s="101">
        <v>30000</v>
      </c>
      <c r="G93" s="284">
        <v>20000</v>
      </c>
      <c r="H93" s="297">
        <v>20000</v>
      </c>
      <c r="I93" s="119">
        <v>24590</v>
      </c>
      <c r="J93" s="46">
        <v>28555</v>
      </c>
      <c r="K93" s="46">
        <f t="shared" si="4"/>
        <v>28555</v>
      </c>
      <c r="L93" s="59">
        <v>0</v>
      </c>
      <c r="M93" s="77"/>
      <c r="N93" s="121"/>
      <c r="O93" s="288" t="e">
        <f>MATCH(B93,'42-02-31 תרבות בקהילה'!$B$5:$B$120,0)</f>
        <v>#N/A</v>
      </c>
      <c r="P93" s="288">
        <f>MATCH(B93,'42-02-31 תרבות בקהילה'!$B$122:$B$190,0)</f>
        <v>9</v>
      </c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O93" s="121"/>
      <c r="CP93" s="121"/>
      <c r="CQ93" s="121"/>
    </row>
    <row r="94" spans="1:95" s="62" customFormat="1" ht="35.1" customHeight="1" x14ac:dyDescent="0.2">
      <c r="A94" s="487" t="s">
        <v>1699</v>
      </c>
      <c r="B94" s="564">
        <v>500221023</v>
      </c>
      <c r="C94" s="494">
        <v>1000535084</v>
      </c>
      <c r="D94" s="319">
        <v>20000128</v>
      </c>
      <c r="E94" s="46">
        <v>0</v>
      </c>
      <c r="F94" s="46">
        <v>0</v>
      </c>
      <c r="G94" s="284">
        <v>0</v>
      </c>
      <c r="H94" s="297">
        <v>20000</v>
      </c>
      <c r="I94" s="119">
        <v>24590</v>
      </c>
      <c r="J94" s="46">
        <v>28555</v>
      </c>
      <c r="K94" s="46">
        <f t="shared" si="4"/>
        <v>28555</v>
      </c>
      <c r="L94" s="59">
        <v>0</v>
      </c>
      <c r="M94" s="77"/>
      <c r="N94" s="121"/>
      <c r="O94" s="288" t="e">
        <f>MATCH(B94,'42-02-31 תרבות בקהילה'!$B$5:$B$120,0)</f>
        <v>#N/A</v>
      </c>
      <c r="P94" s="288">
        <f>MATCH(B94,'42-02-31 תרבות בקהילה'!$B$122:$B$190,0)</f>
        <v>28</v>
      </c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</row>
    <row r="95" spans="1:95" s="62" customFormat="1" ht="35.1" customHeight="1" x14ac:dyDescent="0.2">
      <c r="A95" s="487" t="s">
        <v>1700</v>
      </c>
      <c r="B95" s="564">
        <v>500221023</v>
      </c>
      <c r="C95" s="494">
        <v>1000545836</v>
      </c>
      <c r="D95" s="319">
        <v>20000128</v>
      </c>
      <c r="E95" s="46">
        <v>0</v>
      </c>
      <c r="F95" s="46">
        <v>20000</v>
      </c>
      <c r="G95" s="284">
        <v>20000</v>
      </c>
      <c r="H95" s="297">
        <v>20000</v>
      </c>
      <c r="I95" s="119">
        <v>24590</v>
      </c>
      <c r="J95" s="46">
        <v>28555</v>
      </c>
      <c r="K95" s="46">
        <f t="shared" si="4"/>
        <v>28555</v>
      </c>
      <c r="L95" s="59">
        <v>0</v>
      </c>
      <c r="M95" s="77"/>
      <c r="N95" s="121"/>
      <c r="O95" s="288" t="e">
        <f>MATCH(B95,'42-02-31 תרבות בקהילה'!$B$5:$B$120,0)</f>
        <v>#N/A</v>
      </c>
      <c r="P95" s="288">
        <f>MATCH(B95,'42-02-31 תרבות בקהילה'!$B$122:$B$190,0)</f>
        <v>28</v>
      </c>
      <c r="Q95" s="121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</row>
    <row r="96" spans="1:95" s="62" customFormat="1" ht="38.25" customHeight="1" x14ac:dyDescent="0.2">
      <c r="A96" s="574" t="s">
        <v>1701</v>
      </c>
      <c r="B96" s="575">
        <v>500222039</v>
      </c>
      <c r="C96" s="576">
        <v>1000545344</v>
      </c>
      <c r="D96" s="577">
        <v>20000131</v>
      </c>
      <c r="E96" s="46">
        <v>0</v>
      </c>
      <c r="F96" s="46">
        <v>0</v>
      </c>
      <c r="G96" s="284">
        <v>0</v>
      </c>
      <c r="H96" s="119">
        <v>0</v>
      </c>
      <c r="I96" s="119">
        <v>24590</v>
      </c>
      <c r="J96" s="46">
        <v>28555</v>
      </c>
      <c r="K96" s="46">
        <f t="shared" si="4"/>
        <v>28555</v>
      </c>
      <c r="L96" s="59">
        <v>0</v>
      </c>
      <c r="M96" s="77"/>
      <c r="N96" s="121"/>
      <c r="O96" s="288" t="e">
        <f>MATCH(B96,'42-02-31 תרבות בקהילה'!$B$5:$B$120,0)</f>
        <v>#N/A</v>
      </c>
      <c r="P96" s="288">
        <f>MATCH(B96,'42-02-31 תרבות בקהילה'!$B$122:$B$190,0)</f>
        <v>40</v>
      </c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21"/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</row>
    <row r="97" spans="1:101" s="62" customFormat="1" ht="35.1" customHeight="1" x14ac:dyDescent="0.2">
      <c r="A97" s="487" t="s">
        <v>1702</v>
      </c>
      <c r="B97" s="570">
        <v>500223078</v>
      </c>
      <c r="C97" s="494">
        <v>1000546081</v>
      </c>
      <c r="D97" s="319">
        <v>20000134</v>
      </c>
      <c r="E97" s="46">
        <v>25000</v>
      </c>
      <c r="F97" s="46">
        <v>25000</v>
      </c>
      <c r="G97" s="284">
        <v>25000</v>
      </c>
      <c r="H97" s="297">
        <v>40000</v>
      </c>
      <c r="I97" s="119">
        <v>49179</v>
      </c>
      <c r="J97" s="46">
        <v>57110</v>
      </c>
      <c r="K97" s="46">
        <f t="shared" si="4"/>
        <v>57110</v>
      </c>
      <c r="L97" s="59">
        <v>0</v>
      </c>
      <c r="M97" s="77"/>
      <c r="N97" s="121"/>
      <c r="O97" s="288" t="e">
        <f>MATCH(B97,'42-02-31 תרבות בקהילה'!$B$5:$B$120,0)</f>
        <v>#N/A</v>
      </c>
      <c r="P97" s="288">
        <f>MATCH(B97,'42-02-31 תרבות בקהילה'!$B$122:$B$190,0)</f>
        <v>14</v>
      </c>
      <c r="Q97" s="121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1"/>
      <c r="BR97" s="121"/>
      <c r="BS97" s="121"/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O97" s="121"/>
      <c r="CP97" s="121"/>
      <c r="CQ97" s="121"/>
    </row>
    <row r="98" spans="1:101" s="62" customFormat="1" ht="35.1" customHeight="1" x14ac:dyDescent="0.2">
      <c r="A98" s="317" t="s">
        <v>1703</v>
      </c>
      <c r="B98" s="570">
        <v>500223078</v>
      </c>
      <c r="C98" s="494">
        <v>1000546073</v>
      </c>
      <c r="D98" s="319">
        <v>20000134</v>
      </c>
      <c r="E98" s="46">
        <v>25000</v>
      </c>
      <c r="F98" s="46">
        <v>40000</v>
      </c>
      <c r="G98" s="284">
        <v>40000</v>
      </c>
      <c r="H98" s="297">
        <v>40000</v>
      </c>
      <c r="I98" s="119">
        <v>30737</v>
      </c>
      <c r="J98" s="46">
        <v>35693</v>
      </c>
      <c r="K98" s="46">
        <f t="shared" si="4"/>
        <v>35693</v>
      </c>
      <c r="L98" s="59">
        <v>0</v>
      </c>
      <c r="M98" s="77"/>
      <c r="N98" s="121"/>
      <c r="O98" s="288" t="e">
        <f>MATCH(B98,'42-02-31 תרבות בקהילה'!$B$5:$B$120,0)</f>
        <v>#N/A</v>
      </c>
      <c r="P98" s="288">
        <f>MATCH(B98,'42-02-31 תרבות בקהילה'!$B$122:$B$190,0)</f>
        <v>14</v>
      </c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1"/>
      <c r="BR98" s="121"/>
      <c r="BS98" s="121"/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</row>
    <row r="99" spans="1:101" s="62" customFormat="1" ht="35.1" customHeight="1" x14ac:dyDescent="0.2">
      <c r="A99" s="317" t="s">
        <v>1704</v>
      </c>
      <c r="B99" s="318">
        <v>500223094</v>
      </c>
      <c r="C99" s="494">
        <v>1000543194</v>
      </c>
      <c r="D99" s="319">
        <v>20000136</v>
      </c>
      <c r="E99" s="46">
        <v>0</v>
      </c>
      <c r="F99" s="46">
        <v>15000</v>
      </c>
      <c r="G99" s="284">
        <v>20000</v>
      </c>
      <c r="H99" s="119">
        <v>20000</v>
      </c>
      <c r="I99" s="119">
        <v>24590</v>
      </c>
      <c r="J99" s="46">
        <v>28555</v>
      </c>
      <c r="K99" s="46">
        <f t="shared" si="4"/>
        <v>28555</v>
      </c>
      <c r="L99" s="59">
        <v>0</v>
      </c>
      <c r="M99" s="77"/>
      <c r="N99" s="121"/>
      <c r="O99" s="288" t="e">
        <f>MATCH(B99,'42-02-31 תרבות בקהילה'!$B$5:$B$120,0)</f>
        <v>#N/A</v>
      </c>
      <c r="P99" s="288">
        <f>MATCH(B99,'42-02-31 תרבות בקהילה'!$B$122:$B$190,0)</f>
        <v>7</v>
      </c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  <c r="CJ99" s="121"/>
      <c r="CK99" s="121"/>
      <c r="CL99" s="121"/>
      <c r="CM99" s="121"/>
      <c r="CN99" s="121"/>
      <c r="CO99" s="121"/>
      <c r="CP99" s="121"/>
      <c r="CQ99" s="121"/>
    </row>
    <row r="100" spans="1:101" s="62" customFormat="1" ht="35.1" customHeight="1" x14ac:dyDescent="0.2">
      <c r="A100" s="317" t="s">
        <v>1705</v>
      </c>
      <c r="B100" s="318">
        <v>500223094</v>
      </c>
      <c r="C100" s="494">
        <v>1000543191</v>
      </c>
      <c r="D100" s="319">
        <v>20000136</v>
      </c>
      <c r="E100" s="46">
        <v>20000</v>
      </c>
      <c r="F100" s="46">
        <v>20000</v>
      </c>
      <c r="G100" s="284">
        <v>20000</v>
      </c>
      <c r="H100" s="119">
        <v>20000</v>
      </c>
      <c r="I100" s="119">
        <v>24590</v>
      </c>
      <c r="J100" s="46">
        <v>28555</v>
      </c>
      <c r="K100" s="46">
        <f t="shared" ref="K100:K163" si="5">J100*100%</f>
        <v>28555</v>
      </c>
      <c r="L100" s="59">
        <v>0</v>
      </c>
      <c r="M100" s="77"/>
      <c r="N100" s="121"/>
      <c r="O100" s="288" t="e">
        <f>MATCH(B100,'42-02-31 תרבות בקהילה'!$B$5:$B$120,0)</f>
        <v>#N/A</v>
      </c>
      <c r="P100" s="288">
        <f>MATCH(B100,'42-02-31 תרבות בקהילה'!$B$122:$B$190,0)</f>
        <v>7</v>
      </c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  <c r="CJ100" s="121"/>
      <c r="CK100" s="121"/>
      <c r="CL100" s="121"/>
      <c r="CM100" s="121"/>
      <c r="CN100" s="121"/>
      <c r="CO100" s="121"/>
      <c r="CP100" s="121"/>
      <c r="CQ100" s="121"/>
    </row>
    <row r="101" spans="1:101" s="62" customFormat="1" ht="35.1" customHeight="1" x14ac:dyDescent="0.2">
      <c r="A101" s="317" t="s">
        <v>1706</v>
      </c>
      <c r="B101" s="318">
        <v>500223094</v>
      </c>
      <c r="C101" s="494">
        <v>1000543744</v>
      </c>
      <c r="D101" s="319">
        <v>20000136</v>
      </c>
      <c r="E101" s="46">
        <v>0</v>
      </c>
      <c r="F101" s="46">
        <v>30000</v>
      </c>
      <c r="G101" s="284">
        <v>30000</v>
      </c>
      <c r="H101" s="297">
        <v>30000</v>
      </c>
      <c r="I101" s="119">
        <v>36885</v>
      </c>
      <c r="J101" s="46">
        <v>42832</v>
      </c>
      <c r="K101" s="46">
        <f t="shared" si="5"/>
        <v>42832</v>
      </c>
      <c r="L101" s="59">
        <v>0</v>
      </c>
      <c r="M101" s="77"/>
      <c r="N101" s="121"/>
      <c r="O101" s="288" t="e">
        <f>MATCH(B101,'42-02-31 תרבות בקהילה'!$B$5:$B$120,0)</f>
        <v>#N/A</v>
      </c>
      <c r="P101" s="288">
        <f>MATCH(B101,'42-02-31 תרבות בקהילה'!$B$122:$B$190,0)</f>
        <v>7</v>
      </c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  <c r="CJ101" s="121"/>
      <c r="CK101" s="121"/>
      <c r="CL101" s="121"/>
      <c r="CM101" s="121"/>
      <c r="CN101" s="121"/>
      <c r="CO101" s="121"/>
      <c r="CP101" s="121"/>
      <c r="CQ101" s="121"/>
    </row>
    <row r="102" spans="1:101" s="62" customFormat="1" ht="35.1" customHeight="1" x14ac:dyDescent="0.2">
      <c r="A102" s="487" t="s">
        <v>1707</v>
      </c>
      <c r="B102" s="318">
        <v>500223136</v>
      </c>
      <c r="C102" s="494">
        <v>1000540635</v>
      </c>
      <c r="D102" s="319">
        <v>20000137</v>
      </c>
      <c r="E102" s="46">
        <v>20000</v>
      </c>
      <c r="F102" s="46">
        <v>20000</v>
      </c>
      <c r="G102" s="284">
        <v>20000</v>
      </c>
      <c r="H102" s="297">
        <v>20000</v>
      </c>
      <c r="I102" s="119">
        <v>24590</v>
      </c>
      <c r="J102" s="46">
        <v>28555</v>
      </c>
      <c r="K102" s="46">
        <f t="shared" si="5"/>
        <v>28555</v>
      </c>
      <c r="L102" s="59">
        <v>0</v>
      </c>
      <c r="M102" s="77"/>
      <c r="N102" s="121"/>
      <c r="O102" s="288" t="e">
        <f>MATCH(B102,'42-02-31 תרבות בקהילה'!$B$5:$B$120,0)</f>
        <v>#N/A</v>
      </c>
      <c r="P102" s="288">
        <f>MATCH(B102,'42-02-31 תרבות בקהילה'!$B$122:$B$190,0)</f>
        <v>18</v>
      </c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  <c r="CJ102" s="121"/>
      <c r="CK102" s="121"/>
      <c r="CL102" s="121"/>
      <c r="CM102" s="121"/>
      <c r="CN102" s="121"/>
      <c r="CO102" s="121"/>
      <c r="CP102" s="121"/>
      <c r="CQ102" s="121"/>
    </row>
    <row r="103" spans="1:101" s="62" customFormat="1" ht="35.1" customHeight="1" x14ac:dyDescent="0.2">
      <c r="A103" s="487" t="s">
        <v>1708</v>
      </c>
      <c r="B103" s="318">
        <v>500223136</v>
      </c>
      <c r="C103" s="494">
        <v>1000540617</v>
      </c>
      <c r="D103" s="319">
        <v>20000137</v>
      </c>
      <c r="E103" s="46">
        <v>0</v>
      </c>
      <c r="F103" s="46">
        <v>20000</v>
      </c>
      <c r="G103" s="284">
        <v>20000</v>
      </c>
      <c r="H103" s="297">
        <v>20000</v>
      </c>
      <c r="I103" s="119">
        <v>24590</v>
      </c>
      <c r="J103" s="46">
        <v>28555</v>
      </c>
      <c r="K103" s="46">
        <f t="shared" si="5"/>
        <v>28555</v>
      </c>
      <c r="L103" s="59">
        <v>0</v>
      </c>
      <c r="M103" s="77"/>
      <c r="N103" s="121"/>
      <c r="O103" s="288" t="e">
        <f>MATCH(B103,'42-02-31 תרבות בקהילה'!$B$5:$B$120,0)</f>
        <v>#N/A</v>
      </c>
      <c r="P103" s="288">
        <f>MATCH(B103,'42-02-31 תרבות בקהילה'!$B$122:$B$190,0)</f>
        <v>18</v>
      </c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  <c r="BS103" s="121"/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  <c r="CJ103" s="121"/>
      <c r="CK103" s="121"/>
      <c r="CL103" s="121"/>
      <c r="CM103" s="121"/>
      <c r="CN103" s="121"/>
      <c r="CO103" s="121"/>
      <c r="CP103" s="121"/>
      <c r="CQ103" s="121"/>
    </row>
    <row r="104" spans="1:101" s="62" customFormat="1" ht="35.1" customHeight="1" x14ac:dyDescent="0.2">
      <c r="A104" s="55" t="s">
        <v>1709</v>
      </c>
      <c r="B104" s="50">
        <v>500223136</v>
      </c>
      <c r="C104" s="49">
        <v>1000540585</v>
      </c>
      <c r="D104" s="48">
        <v>20000137</v>
      </c>
      <c r="E104" s="46">
        <v>0</v>
      </c>
      <c r="F104" s="46">
        <v>0</v>
      </c>
      <c r="G104" s="284">
        <v>20000</v>
      </c>
      <c r="H104" s="284">
        <v>20000</v>
      </c>
      <c r="I104" s="119">
        <v>24590</v>
      </c>
      <c r="J104" s="46">
        <v>28555</v>
      </c>
      <c r="K104" s="46">
        <f t="shared" si="5"/>
        <v>28555</v>
      </c>
      <c r="L104" s="59">
        <v>0</v>
      </c>
      <c r="M104" s="77"/>
      <c r="N104" s="121"/>
      <c r="O104" s="288" t="e">
        <f>MATCH(B104,'42-02-31 תרבות בקהילה'!$B$5:$B$120,0)</f>
        <v>#N/A</v>
      </c>
      <c r="P104" s="288">
        <f>MATCH(B104,'42-02-31 תרבות בקהילה'!$B$122:$B$190,0)</f>
        <v>18</v>
      </c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</row>
    <row r="105" spans="1:101" s="62" customFormat="1" ht="35.1" customHeight="1" x14ac:dyDescent="0.2">
      <c r="A105" s="487" t="s">
        <v>1710</v>
      </c>
      <c r="B105" s="318">
        <v>500226303</v>
      </c>
      <c r="C105" s="54">
        <v>1000542630</v>
      </c>
      <c r="D105" s="319">
        <v>20000150</v>
      </c>
      <c r="E105" s="46"/>
      <c r="F105" s="101"/>
      <c r="G105" s="284"/>
      <c r="H105" s="297"/>
      <c r="I105" s="119">
        <v>60000</v>
      </c>
      <c r="J105" s="46">
        <v>30600</v>
      </c>
      <c r="K105" s="46">
        <f t="shared" si="5"/>
        <v>30600</v>
      </c>
      <c r="L105" s="59">
        <v>0</v>
      </c>
      <c r="M105" s="77"/>
      <c r="N105" s="121"/>
      <c r="O105" s="288" t="e">
        <f>MATCH(B105,'42-02-31 תרבות בקהילה'!$B$5:$B$120,0)</f>
        <v>#N/A</v>
      </c>
      <c r="P105" s="288">
        <f>MATCH(B105,'42-02-31 תרבות בקהילה'!$B$122:$B$190,0)</f>
        <v>37</v>
      </c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  <c r="BS105" s="121"/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  <c r="CJ105" s="121"/>
      <c r="CK105" s="121"/>
      <c r="CL105" s="121"/>
      <c r="CM105" s="121"/>
      <c r="CN105" s="121"/>
      <c r="CO105" s="121"/>
      <c r="CP105" s="121"/>
      <c r="CQ105" s="121"/>
    </row>
    <row r="106" spans="1:101" s="62" customFormat="1" ht="35.1" customHeight="1" x14ac:dyDescent="0.2">
      <c r="A106" s="487" t="s">
        <v>1711</v>
      </c>
      <c r="B106" s="318">
        <v>500226303</v>
      </c>
      <c r="C106" s="54">
        <v>1000542639</v>
      </c>
      <c r="D106" s="319">
        <v>20000150</v>
      </c>
      <c r="E106" s="46"/>
      <c r="F106" s="101"/>
      <c r="G106" s="284"/>
      <c r="H106" s="297"/>
      <c r="I106" s="119">
        <v>60000</v>
      </c>
      <c r="J106" s="46">
        <v>30000</v>
      </c>
      <c r="K106" s="46">
        <f t="shared" si="5"/>
        <v>30000</v>
      </c>
      <c r="L106" s="59">
        <v>0</v>
      </c>
      <c r="M106" s="77"/>
      <c r="N106" s="121"/>
      <c r="O106" s="288" t="e">
        <f>MATCH(B106,'42-02-31 תרבות בקהילה'!$B$5:$B$120,0)</f>
        <v>#N/A</v>
      </c>
      <c r="P106" s="288">
        <f>MATCH(B106,'42-02-31 תרבות בקהילה'!$B$122:$B$190,0)</f>
        <v>37</v>
      </c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  <c r="CJ106" s="121"/>
      <c r="CK106" s="121"/>
      <c r="CL106" s="121"/>
      <c r="CM106" s="121"/>
      <c r="CN106" s="121"/>
      <c r="CO106" s="121"/>
      <c r="CP106" s="121"/>
      <c r="CQ106" s="121"/>
    </row>
    <row r="107" spans="1:101" s="62" customFormat="1" ht="35.1" customHeight="1" x14ac:dyDescent="0.2">
      <c r="A107" s="55" t="s">
        <v>1712</v>
      </c>
      <c r="B107" s="50">
        <v>500231121</v>
      </c>
      <c r="C107" s="49">
        <v>1000537535</v>
      </c>
      <c r="D107" s="48">
        <v>20000160</v>
      </c>
      <c r="E107" s="46">
        <v>0</v>
      </c>
      <c r="F107" s="101">
        <v>0</v>
      </c>
      <c r="G107" s="284">
        <v>0</v>
      </c>
      <c r="H107" s="284">
        <v>0</v>
      </c>
      <c r="I107" s="119">
        <v>24590</v>
      </c>
      <c r="J107" s="46">
        <v>28555</v>
      </c>
      <c r="K107" s="46">
        <f t="shared" si="5"/>
        <v>28555</v>
      </c>
      <c r="L107" s="59">
        <v>0</v>
      </c>
      <c r="M107" s="77"/>
      <c r="N107" s="438"/>
      <c r="O107" s="288" t="e">
        <f>MATCH(B107,'42-02-31 תרבות בקהילה'!$B$5:$B$120,0)</f>
        <v>#N/A</v>
      </c>
      <c r="P107" s="288">
        <f>MATCH(B107,'42-02-31 תרבות בקהילה'!$B$122:$B$190,0)</f>
        <v>23</v>
      </c>
      <c r="Q107" s="557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1"/>
      <c r="BR107" s="121"/>
      <c r="BS107" s="121"/>
      <c r="BT107" s="121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  <c r="CJ107" s="121"/>
      <c r="CK107" s="121"/>
      <c r="CL107" s="121"/>
      <c r="CM107" s="121"/>
      <c r="CN107" s="121"/>
      <c r="CO107" s="121"/>
      <c r="CP107" s="121"/>
      <c r="CQ107" s="121"/>
      <c r="CR107" s="121"/>
      <c r="CS107" s="121"/>
      <c r="CT107" s="121"/>
      <c r="CU107" s="121"/>
      <c r="CV107" s="121"/>
      <c r="CW107" s="121"/>
    </row>
    <row r="108" spans="1:101" s="62" customFormat="1" ht="35.1" customHeight="1" x14ac:dyDescent="0.2">
      <c r="A108" s="55" t="s">
        <v>1713</v>
      </c>
      <c r="B108" s="50">
        <v>500231121</v>
      </c>
      <c r="C108" s="49">
        <v>1000537642</v>
      </c>
      <c r="D108" s="48">
        <v>20000160</v>
      </c>
      <c r="E108" s="46">
        <v>20000</v>
      </c>
      <c r="F108" s="46">
        <v>20000</v>
      </c>
      <c r="G108" s="284">
        <v>20000</v>
      </c>
      <c r="H108" s="284">
        <v>20000</v>
      </c>
      <c r="I108" s="119">
        <v>20000</v>
      </c>
      <c r="J108" s="46">
        <v>28555</v>
      </c>
      <c r="K108" s="46">
        <f t="shared" si="5"/>
        <v>28555</v>
      </c>
      <c r="L108" s="59">
        <v>0</v>
      </c>
      <c r="M108" s="578"/>
      <c r="N108" s="121"/>
      <c r="O108" s="288" t="e">
        <f>MATCH(B108,'42-02-31 תרבות בקהילה'!$B$5:$B$120,0)</f>
        <v>#N/A</v>
      </c>
      <c r="P108" s="288">
        <f>MATCH(B108,'42-02-31 תרבות בקהילה'!$B$122:$B$190,0)</f>
        <v>23</v>
      </c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  <c r="CJ108" s="121"/>
      <c r="CK108" s="121"/>
      <c r="CL108" s="121"/>
      <c r="CM108" s="121"/>
      <c r="CN108" s="121"/>
      <c r="CO108" s="121"/>
      <c r="CP108" s="121"/>
      <c r="CQ108" s="121"/>
    </row>
    <row r="109" spans="1:101" s="62" customFormat="1" ht="35.1" customHeight="1" x14ac:dyDescent="0.2">
      <c r="A109" s="487" t="s">
        <v>1714</v>
      </c>
      <c r="B109" s="318">
        <v>500235742</v>
      </c>
      <c r="C109" s="494">
        <v>1000546183</v>
      </c>
      <c r="D109" s="319">
        <v>20000168</v>
      </c>
      <c r="E109" s="46">
        <v>0</v>
      </c>
      <c r="F109" s="46">
        <v>0</v>
      </c>
      <c r="G109" s="284">
        <v>0</v>
      </c>
      <c r="H109" s="297">
        <v>0</v>
      </c>
      <c r="I109" s="119">
        <v>24590</v>
      </c>
      <c r="J109" s="46">
        <v>28555</v>
      </c>
      <c r="K109" s="46">
        <f t="shared" si="5"/>
        <v>28555</v>
      </c>
      <c r="L109" s="59">
        <v>0</v>
      </c>
      <c r="M109" s="565"/>
      <c r="N109" s="121"/>
      <c r="O109" s="288" t="e">
        <f>MATCH(B109,'42-02-31 תרבות בקהילה'!$B$5:$B$120,0)</f>
        <v>#N/A</v>
      </c>
      <c r="P109" s="288">
        <f>MATCH(B109,'42-02-31 תרבות בקהילה'!$B$122:$B$190,0)</f>
        <v>50</v>
      </c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  <c r="CJ109" s="121"/>
      <c r="CK109" s="121"/>
      <c r="CL109" s="121"/>
      <c r="CM109" s="121"/>
      <c r="CN109" s="121"/>
      <c r="CO109" s="121"/>
      <c r="CP109" s="121"/>
      <c r="CQ109" s="121"/>
    </row>
    <row r="110" spans="1:101" s="62" customFormat="1" ht="35.1" customHeight="1" x14ac:dyDescent="0.2">
      <c r="A110" s="487" t="s">
        <v>1579</v>
      </c>
      <c r="B110" s="564">
        <v>500236500</v>
      </c>
      <c r="C110" s="494">
        <v>1000553892</v>
      </c>
      <c r="D110" s="319">
        <v>20000173</v>
      </c>
      <c r="E110" s="46">
        <v>0</v>
      </c>
      <c r="F110" s="46">
        <v>20000</v>
      </c>
      <c r="G110" s="284">
        <v>0</v>
      </c>
      <c r="H110" s="297">
        <v>20000</v>
      </c>
      <c r="I110" s="119">
        <v>24590</v>
      </c>
      <c r="J110" s="46">
        <v>28555</v>
      </c>
      <c r="K110" s="46">
        <f t="shared" si="5"/>
        <v>28555</v>
      </c>
      <c r="L110" s="59">
        <v>0</v>
      </c>
      <c r="M110" s="77"/>
      <c r="N110" s="121"/>
      <c r="O110" s="288" t="e">
        <f>MATCH(B110,'42-02-31 תרבות בקהילה'!$B$5:$B$120,0)</f>
        <v>#N/A</v>
      </c>
      <c r="P110" s="288">
        <f>MATCH(B110,'42-02-31 תרבות בקהילה'!$B$122:$B$190,0)</f>
        <v>32</v>
      </c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  <c r="CJ110" s="121"/>
      <c r="CK110" s="121"/>
      <c r="CL110" s="121"/>
      <c r="CM110" s="121"/>
      <c r="CN110" s="121"/>
      <c r="CO110" s="121"/>
      <c r="CP110" s="121"/>
      <c r="CQ110" s="121"/>
    </row>
    <row r="111" spans="1:101" s="62" customFormat="1" ht="35.1" customHeight="1" x14ac:dyDescent="0.2">
      <c r="A111" s="487" t="s">
        <v>1715</v>
      </c>
      <c r="B111" s="564">
        <v>500236500</v>
      </c>
      <c r="C111" s="494">
        <v>1000554564</v>
      </c>
      <c r="D111" s="319">
        <v>20000173</v>
      </c>
      <c r="E111" s="46"/>
      <c r="F111" s="46"/>
      <c r="G111" s="284"/>
      <c r="H111" s="297"/>
      <c r="I111" s="119">
        <v>0</v>
      </c>
      <c r="J111" s="46">
        <v>28555</v>
      </c>
      <c r="K111" s="46">
        <f t="shared" si="5"/>
        <v>28555</v>
      </c>
      <c r="L111" s="59">
        <v>0</v>
      </c>
      <c r="M111" s="77"/>
      <c r="N111" s="121"/>
      <c r="O111" s="288" t="e">
        <f>MATCH(B111,'42-02-31 תרבות בקהילה'!$B$5:$B$120,0)</f>
        <v>#N/A</v>
      </c>
      <c r="P111" s="288">
        <f>MATCH(B111,'42-02-31 תרבות בקהילה'!$B$122:$B$190,0)</f>
        <v>32</v>
      </c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</row>
    <row r="112" spans="1:101" s="62" customFormat="1" ht="35.1" customHeight="1" x14ac:dyDescent="0.2">
      <c r="A112" s="55" t="s">
        <v>1716</v>
      </c>
      <c r="B112" s="50">
        <v>500250006</v>
      </c>
      <c r="C112" s="49">
        <v>1000545799</v>
      </c>
      <c r="D112" s="48">
        <v>20000201</v>
      </c>
      <c r="E112" s="46">
        <v>0</v>
      </c>
      <c r="F112" s="101">
        <v>31665</v>
      </c>
      <c r="G112" s="284">
        <v>20000</v>
      </c>
      <c r="H112" s="284">
        <v>20000</v>
      </c>
      <c r="I112" s="119">
        <v>24590</v>
      </c>
      <c r="J112" s="46">
        <v>28555</v>
      </c>
      <c r="K112" s="46">
        <f t="shared" si="5"/>
        <v>28555</v>
      </c>
      <c r="L112" s="59">
        <v>0</v>
      </c>
      <c r="M112" s="75"/>
      <c r="N112" s="121"/>
      <c r="O112" s="288" t="e">
        <f>MATCH(B112,'42-02-31 תרבות בקהילה'!$B$5:$B$120,0)</f>
        <v>#N/A</v>
      </c>
      <c r="P112" s="288">
        <f>MATCH(B112,'42-02-31 תרבות בקהילה'!$B$122:$B$190,0)</f>
        <v>4</v>
      </c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  <c r="CJ112" s="121"/>
      <c r="CK112" s="121"/>
      <c r="CL112" s="121"/>
      <c r="CM112" s="121"/>
      <c r="CN112" s="121"/>
      <c r="CO112" s="121"/>
      <c r="CP112" s="121"/>
      <c r="CQ112" s="121"/>
    </row>
    <row r="113" spans="1:101" s="62" customFormat="1" ht="35.1" customHeight="1" x14ac:dyDescent="0.2">
      <c r="A113" s="55" t="s">
        <v>1717</v>
      </c>
      <c r="B113" s="50">
        <v>500250006</v>
      </c>
      <c r="C113" s="49">
        <v>1000545236</v>
      </c>
      <c r="D113" s="48">
        <v>20000201</v>
      </c>
      <c r="E113" s="46">
        <v>0</v>
      </c>
      <c r="F113" s="101">
        <v>47498</v>
      </c>
      <c r="G113" s="284">
        <v>30000</v>
      </c>
      <c r="H113" s="297">
        <v>30000</v>
      </c>
      <c r="I113" s="119">
        <v>36885</v>
      </c>
      <c r="J113" s="46">
        <v>42832</v>
      </c>
      <c r="K113" s="46">
        <f t="shared" si="5"/>
        <v>42832</v>
      </c>
      <c r="L113" s="59">
        <v>0</v>
      </c>
      <c r="M113" s="75"/>
      <c r="N113" s="121"/>
      <c r="O113" s="288" t="e">
        <f>MATCH(B113,'42-02-31 תרבות בקהילה'!$B$5:$B$120,0)</f>
        <v>#N/A</v>
      </c>
      <c r="P113" s="288">
        <f>MATCH(B113,'42-02-31 תרבות בקהילה'!$B$122:$B$190,0)</f>
        <v>4</v>
      </c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  <c r="CJ113" s="121"/>
      <c r="CK113" s="121"/>
      <c r="CL113" s="121"/>
      <c r="CM113" s="121"/>
      <c r="CN113" s="121"/>
      <c r="CO113" s="121"/>
      <c r="CP113" s="121"/>
      <c r="CQ113" s="121"/>
    </row>
    <row r="114" spans="1:101" s="62" customFormat="1" ht="35.1" customHeight="1" x14ac:dyDescent="0.2">
      <c r="A114" s="55" t="s">
        <v>1718</v>
      </c>
      <c r="B114" s="50">
        <v>500250006</v>
      </c>
      <c r="C114" s="49">
        <v>1000545242</v>
      </c>
      <c r="D114" s="48">
        <v>20000201</v>
      </c>
      <c r="E114" s="46">
        <v>0</v>
      </c>
      <c r="F114" s="101">
        <v>0</v>
      </c>
      <c r="G114" s="284">
        <v>0</v>
      </c>
      <c r="H114" s="284">
        <v>0</v>
      </c>
      <c r="I114" s="119">
        <v>24590</v>
      </c>
      <c r="J114" s="46">
        <v>28555</v>
      </c>
      <c r="K114" s="46">
        <f t="shared" si="5"/>
        <v>28555</v>
      </c>
      <c r="L114" s="59">
        <v>0</v>
      </c>
      <c r="M114" s="77"/>
      <c r="N114" s="438"/>
      <c r="O114" s="288" t="e">
        <f>MATCH(B114,'42-02-31 תרבות בקהילה'!$B$5:$B$120,0)</f>
        <v>#N/A</v>
      </c>
      <c r="P114" s="288">
        <f>MATCH(B114,'42-02-31 תרבות בקהילה'!$B$122:$B$190,0)</f>
        <v>4</v>
      </c>
      <c r="Q114" s="557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  <c r="CJ114" s="121"/>
      <c r="CK114" s="121"/>
      <c r="CL114" s="121"/>
      <c r="CM114" s="121"/>
      <c r="CN114" s="121"/>
      <c r="CO114" s="121"/>
      <c r="CP114" s="121"/>
      <c r="CQ114" s="121"/>
      <c r="CR114" s="121"/>
      <c r="CS114" s="121"/>
      <c r="CT114" s="121"/>
      <c r="CU114" s="121"/>
      <c r="CV114" s="121"/>
      <c r="CW114" s="121"/>
    </row>
    <row r="115" spans="1:101" s="62" customFormat="1" ht="35.1" customHeight="1" x14ac:dyDescent="0.2">
      <c r="A115" s="487" t="s">
        <v>1719</v>
      </c>
      <c r="B115" s="564">
        <v>500261367</v>
      </c>
      <c r="C115" s="494">
        <v>1000531313</v>
      </c>
      <c r="D115" s="319">
        <v>20000208</v>
      </c>
      <c r="E115" s="46">
        <v>0</v>
      </c>
      <c r="F115" s="101">
        <v>35000</v>
      </c>
      <c r="G115" s="284">
        <v>25000</v>
      </c>
      <c r="H115" s="297">
        <v>35000</v>
      </c>
      <c r="I115" s="119">
        <v>30737</v>
      </c>
      <c r="J115" s="46">
        <v>36000</v>
      </c>
      <c r="K115" s="46">
        <f t="shared" si="5"/>
        <v>36000</v>
      </c>
      <c r="L115" s="59">
        <v>0</v>
      </c>
      <c r="M115" s="579"/>
      <c r="N115" s="121"/>
      <c r="O115" s="288" t="e">
        <f>MATCH(B115,'42-02-31 תרבות בקהילה'!$B$5:$B$120,0)</f>
        <v>#N/A</v>
      </c>
      <c r="P115" s="288">
        <f>MATCH(B115,'42-02-31 תרבות בקהילה'!$B$122:$B$190,0)</f>
        <v>34</v>
      </c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  <c r="CJ115" s="121"/>
      <c r="CK115" s="121"/>
      <c r="CL115" s="121"/>
      <c r="CM115" s="121"/>
      <c r="CN115" s="121"/>
      <c r="CO115" s="121"/>
      <c r="CP115" s="121"/>
      <c r="CQ115" s="121"/>
    </row>
    <row r="116" spans="1:101" s="62" customFormat="1" ht="35.1" customHeight="1" x14ac:dyDescent="0.2">
      <c r="A116" s="487" t="s">
        <v>1720</v>
      </c>
      <c r="B116" s="564">
        <v>500261367</v>
      </c>
      <c r="C116" s="494">
        <v>1000531198</v>
      </c>
      <c r="D116" s="319">
        <v>20000208</v>
      </c>
      <c r="E116" s="46">
        <v>0</v>
      </c>
      <c r="F116" s="46">
        <v>20000</v>
      </c>
      <c r="G116" s="284">
        <v>20000</v>
      </c>
      <c r="H116" s="297">
        <v>20000</v>
      </c>
      <c r="I116" s="119">
        <v>23000</v>
      </c>
      <c r="J116" s="46">
        <v>25000</v>
      </c>
      <c r="K116" s="46">
        <f t="shared" si="5"/>
        <v>25000</v>
      </c>
      <c r="L116" s="59">
        <v>0</v>
      </c>
      <c r="M116" s="579"/>
      <c r="N116" s="121"/>
      <c r="O116" s="288" t="e">
        <f>MATCH(B116,'42-02-31 תרבות בקהילה'!$B$5:$B$120,0)</f>
        <v>#N/A</v>
      </c>
      <c r="P116" s="288">
        <f>MATCH(B116,'42-02-31 תרבות בקהילה'!$B$122:$B$190,0)</f>
        <v>34</v>
      </c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  <c r="CJ116" s="121"/>
      <c r="CK116" s="121"/>
      <c r="CL116" s="121"/>
      <c r="CM116" s="121"/>
      <c r="CN116" s="121"/>
      <c r="CO116" s="121"/>
      <c r="CP116" s="121"/>
      <c r="CQ116" s="121"/>
    </row>
    <row r="117" spans="1:101" s="62" customFormat="1" ht="35.1" customHeight="1" x14ac:dyDescent="0.2">
      <c r="A117" s="317" t="s">
        <v>1721</v>
      </c>
      <c r="B117" s="318">
        <v>500262381</v>
      </c>
      <c r="C117" s="494">
        <v>1000545549</v>
      </c>
      <c r="D117" s="319">
        <v>20000212</v>
      </c>
      <c r="E117" s="46">
        <v>0</v>
      </c>
      <c r="F117" s="46">
        <v>0</v>
      </c>
      <c r="G117" s="284">
        <v>20000</v>
      </c>
      <c r="H117" s="297">
        <v>30000</v>
      </c>
      <c r="I117" s="119">
        <v>24590</v>
      </c>
      <c r="J117" s="46">
        <v>30982</v>
      </c>
      <c r="K117" s="46">
        <f t="shared" si="5"/>
        <v>30982</v>
      </c>
      <c r="L117" s="59">
        <v>0</v>
      </c>
      <c r="M117" s="77"/>
      <c r="N117" s="121"/>
      <c r="O117" s="288" t="e">
        <f>MATCH(B117,'42-02-31 תרבות בקהילה'!$B$5:$B$120,0)</f>
        <v>#N/A</v>
      </c>
      <c r="P117" s="288">
        <f>MATCH(B117,'42-02-31 תרבות בקהילה'!$B$122:$B$190,0)</f>
        <v>10</v>
      </c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  <c r="CJ117" s="121"/>
      <c r="CK117" s="121"/>
      <c r="CL117" s="121"/>
      <c r="CM117" s="121"/>
      <c r="CN117" s="121"/>
      <c r="CO117" s="121"/>
      <c r="CP117" s="121"/>
      <c r="CQ117" s="121"/>
    </row>
    <row r="118" spans="1:101" s="62" customFormat="1" ht="35.1" customHeight="1" x14ac:dyDescent="0.2">
      <c r="A118" s="317" t="s">
        <v>1722</v>
      </c>
      <c r="B118" s="318">
        <v>500262381</v>
      </c>
      <c r="C118" s="494">
        <v>1000545644</v>
      </c>
      <c r="D118" s="319">
        <v>20000212</v>
      </c>
      <c r="E118" s="46">
        <v>30000</v>
      </c>
      <c r="F118" s="46">
        <v>35000</v>
      </c>
      <c r="G118" s="284">
        <v>35000</v>
      </c>
      <c r="H118" s="297">
        <v>35000</v>
      </c>
      <c r="I118" s="119">
        <v>43032</v>
      </c>
      <c r="J118" s="46">
        <v>50000</v>
      </c>
      <c r="K118" s="46">
        <f t="shared" si="5"/>
        <v>50000</v>
      </c>
      <c r="L118" s="59">
        <v>0</v>
      </c>
      <c r="M118" s="77"/>
      <c r="N118" s="121"/>
      <c r="O118" s="288" t="e">
        <f>MATCH(B118,'42-02-31 תרבות בקהילה'!$B$5:$B$120,0)</f>
        <v>#N/A</v>
      </c>
      <c r="P118" s="288">
        <f>MATCH(B118,'42-02-31 תרבות בקהילה'!$B$122:$B$190,0)</f>
        <v>10</v>
      </c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  <c r="CJ118" s="121"/>
      <c r="CK118" s="121"/>
      <c r="CL118" s="121"/>
      <c r="CM118" s="121"/>
      <c r="CN118" s="121"/>
      <c r="CO118" s="121"/>
      <c r="CP118" s="121"/>
      <c r="CQ118" s="121"/>
    </row>
    <row r="119" spans="1:101" s="62" customFormat="1" ht="35.1" customHeight="1" x14ac:dyDescent="0.2">
      <c r="A119" s="317" t="s">
        <v>1723</v>
      </c>
      <c r="B119" s="318">
        <v>500262399</v>
      </c>
      <c r="C119" s="494">
        <v>1000544167</v>
      </c>
      <c r="D119" s="319">
        <v>20000213</v>
      </c>
      <c r="E119" s="46"/>
      <c r="F119" s="46"/>
      <c r="G119" s="284"/>
      <c r="H119" s="297"/>
      <c r="I119" s="119">
        <v>0</v>
      </c>
      <c r="J119" s="46">
        <v>30982</v>
      </c>
      <c r="K119" s="46">
        <f t="shared" si="5"/>
        <v>30982</v>
      </c>
      <c r="L119" s="59">
        <v>0</v>
      </c>
      <c r="M119" s="77"/>
      <c r="N119" s="121"/>
      <c r="O119" s="288" t="e">
        <f>MATCH(B119,'42-02-31 תרבות בקהילה'!$B$5:$B$120,0)</f>
        <v>#N/A</v>
      </c>
      <c r="P119" s="288">
        <f>MATCH(B119,'42-02-31 תרבות בקהילה'!$B$122:$B$190,0)</f>
        <v>51</v>
      </c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</row>
    <row r="120" spans="1:101" s="62" customFormat="1" ht="35.1" customHeight="1" x14ac:dyDescent="0.2">
      <c r="A120" s="487" t="s">
        <v>1724</v>
      </c>
      <c r="B120" s="564">
        <v>500262530</v>
      </c>
      <c r="C120" s="494">
        <v>1000553043</v>
      </c>
      <c r="D120" s="319">
        <v>20000219</v>
      </c>
      <c r="E120" s="46">
        <v>0</v>
      </c>
      <c r="F120" s="46">
        <v>0</v>
      </c>
      <c r="G120" s="284">
        <v>0</v>
      </c>
      <c r="H120" s="297">
        <v>24000</v>
      </c>
      <c r="I120" s="119">
        <v>29508</v>
      </c>
      <c r="J120" s="46">
        <v>34266</v>
      </c>
      <c r="K120" s="46">
        <f t="shared" si="5"/>
        <v>34266</v>
      </c>
      <c r="L120" s="59">
        <v>0</v>
      </c>
      <c r="M120" s="77"/>
      <c r="N120" s="121"/>
      <c r="O120" s="288" t="e">
        <f>MATCH(B120,'42-02-31 תרבות בקהילה'!$B$5:$B$120,0)</f>
        <v>#N/A</v>
      </c>
      <c r="P120" s="288">
        <f>MATCH(B120,'42-02-31 תרבות בקהילה'!$B$122:$B$190,0)</f>
        <v>41</v>
      </c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  <c r="CJ120" s="121"/>
      <c r="CK120" s="121"/>
      <c r="CL120" s="121"/>
      <c r="CM120" s="121"/>
      <c r="CN120" s="121"/>
      <c r="CO120" s="121"/>
      <c r="CP120" s="121"/>
      <c r="CQ120" s="121"/>
    </row>
    <row r="121" spans="1:101" s="62" customFormat="1" ht="35.1" customHeight="1" x14ac:dyDescent="0.2">
      <c r="A121" s="487" t="s">
        <v>1725</v>
      </c>
      <c r="B121" s="318">
        <v>500265004</v>
      </c>
      <c r="C121" s="494">
        <v>1000535533</v>
      </c>
      <c r="D121" s="319">
        <v>20000223</v>
      </c>
      <c r="E121" s="46">
        <v>25000</v>
      </c>
      <c r="F121" s="46">
        <v>40000</v>
      </c>
      <c r="G121" s="284">
        <v>40000</v>
      </c>
      <c r="H121" s="297">
        <v>40000</v>
      </c>
      <c r="I121" s="119">
        <v>49179</v>
      </c>
      <c r="J121" s="46">
        <v>57110</v>
      </c>
      <c r="K121" s="46">
        <f t="shared" si="5"/>
        <v>57110</v>
      </c>
      <c r="L121" s="59">
        <v>0</v>
      </c>
      <c r="M121" s="77"/>
      <c r="N121" s="121"/>
      <c r="O121" s="288" t="e">
        <f>MATCH(B121,'42-02-31 תרבות בקהילה'!$B$5:$B$120,0)</f>
        <v>#N/A</v>
      </c>
      <c r="P121" s="288">
        <f>MATCH(B121,'42-02-31 תרבות בקהילה'!$B$122:$B$190,0)</f>
        <v>24</v>
      </c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</row>
    <row r="122" spans="1:101" s="62" customFormat="1" ht="35.1" customHeight="1" x14ac:dyDescent="0.2">
      <c r="A122" s="487" t="s">
        <v>1726</v>
      </c>
      <c r="B122" s="564">
        <v>500268008</v>
      </c>
      <c r="C122" s="494">
        <v>1000543360</v>
      </c>
      <c r="D122" s="319">
        <v>20000226</v>
      </c>
      <c r="E122" s="46">
        <v>0</v>
      </c>
      <c r="F122" s="46">
        <v>0</v>
      </c>
      <c r="G122" s="284">
        <v>0</v>
      </c>
      <c r="H122" s="297">
        <v>30000</v>
      </c>
      <c r="I122" s="119">
        <v>36885</v>
      </c>
      <c r="J122" s="46">
        <v>42832</v>
      </c>
      <c r="K122" s="46">
        <f t="shared" si="5"/>
        <v>42832</v>
      </c>
      <c r="L122" s="59">
        <v>0</v>
      </c>
      <c r="M122" s="77"/>
      <c r="N122" s="121"/>
      <c r="O122" s="288" t="e">
        <f>MATCH(B122,'42-02-31 תרבות בקהילה'!$B$5:$B$120,0)</f>
        <v>#N/A</v>
      </c>
      <c r="P122" s="288">
        <f>MATCH(B122,'42-02-31 תרבות בקהילה'!$B$122:$B$190,0)</f>
        <v>43</v>
      </c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</row>
    <row r="123" spans="1:101" s="62" customFormat="1" ht="35.1" customHeight="1" x14ac:dyDescent="0.2">
      <c r="A123" s="487" t="s">
        <v>1727</v>
      </c>
      <c r="B123" s="564">
        <v>500268008</v>
      </c>
      <c r="C123" s="494">
        <v>1000543011</v>
      </c>
      <c r="D123" s="319">
        <v>20000226</v>
      </c>
      <c r="E123" s="46">
        <v>0</v>
      </c>
      <c r="F123" s="46">
        <v>0</v>
      </c>
      <c r="G123" s="284">
        <v>0</v>
      </c>
      <c r="H123" s="297">
        <v>20000</v>
      </c>
      <c r="I123" s="119">
        <v>24590</v>
      </c>
      <c r="J123" s="46">
        <v>28555</v>
      </c>
      <c r="K123" s="46">
        <f t="shared" si="5"/>
        <v>28555</v>
      </c>
      <c r="L123" s="59">
        <v>0</v>
      </c>
      <c r="M123" s="77"/>
      <c r="N123" s="121"/>
      <c r="O123" s="288" t="e">
        <f>MATCH(B123,'42-02-31 תרבות בקהילה'!$B$5:$B$120,0)</f>
        <v>#N/A</v>
      </c>
      <c r="P123" s="288">
        <f>MATCH(B123,'42-02-31 תרבות בקהילה'!$B$122:$B$190,0)</f>
        <v>43</v>
      </c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  <c r="CJ123" s="121"/>
      <c r="CK123" s="121"/>
      <c r="CL123" s="121"/>
      <c r="CM123" s="121"/>
      <c r="CN123" s="121"/>
      <c r="CO123" s="121"/>
      <c r="CP123" s="121"/>
      <c r="CQ123" s="121"/>
    </row>
    <row r="124" spans="1:101" s="62" customFormat="1" ht="35.1" customHeight="1" x14ac:dyDescent="0.2">
      <c r="A124" s="487" t="s">
        <v>1728</v>
      </c>
      <c r="B124" s="564">
        <v>500268008</v>
      </c>
      <c r="C124" s="494">
        <v>1000543345</v>
      </c>
      <c r="D124" s="319">
        <v>20000226</v>
      </c>
      <c r="E124" s="46">
        <v>0</v>
      </c>
      <c r="F124" s="46">
        <v>0</v>
      </c>
      <c r="G124" s="284">
        <v>0</v>
      </c>
      <c r="H124" s="297">
        <v>20000</v>
      </c>
      <c r="I124" s="119">
        <v>24590</v>
      </c>
      <c r="J124" s="46">
        <v>28555</v>
      </c>
      <c r="K124" s="46">
        <f t="shared" si="5"/>
        <v>28555</v>
      </c>
      <c r="L124" s="59">
        <v>0</v>
      </c>
      <c r="M124" s="77"/>
      <c r="N124" s="121"/>
      <c r="O124" s="288" t="e">
        <f>MATCH(B124,'42-02-31 תרבות בקהילה'!$B$5:$B$120,0)</f>
        <v>#N/A</v>
      </c>
      <c r="P124" s="288">
        <f>MATCH(B124,'42-02-31 תרבות בקהילה'!$B$122:$B$190,0)</f>
        <v>43</v>
      </c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121"/>
      <c r="CL124" s="121"/>
      <c r="CM124" s="121"/>
      <c r="CN124" s="121"/>
      <c r="CO124" s="121"/>
      <c r="CP124" s="121"/>
      <c r="CQ124" s="121"/>
    </row>
    <row r="125" spans="1:101" s="62" customFormat="1" ht="35.1" customHeight="1" x14ac:dyDescent="0.2">
      <c r="A125" s="317" t="s">
        <v>1729</v>
      </c>
      <c r="B125" s="318">
        <v>500273727</v>
      </c>
      <c r="C125" s="54">
        <v>1000553418</v>
      </c>
      <c r="D125" s="319">
        <v>20000232</v>
      </c>
      <c r="E125" s="46">
        <v>100000</v>
      </c>
      <c r="F125" s="101">
        <v>125000</v>
      </c>
      <c r="G125" s="284">
        <v>100000</v>
      </c>
      <c r="H125" s="297">
        <v>125000</v>
      </c>
      <c r="I125" s="119">
        <v>122949</v>
      </c>
      <c r="J125" s="46">
        <v>142744</v>
      </c>
      <c r="K125" s="46">
        <f t="shared" si="5"/>
        <v>142744</v>
      </c>
      <c r="L125" s="59">
        <v>0</v>
      </c>
      <c r="M125" s="565"/>
      <c r="N125" s="121"/>
      <c r="O125" s="288" t="e">
        <f>MATCH(B125,'42-02-31 תרבות בקהילה'!$B$5:$B$120,0)</f>
        <v>#N/A</v>
      </c>
      <c r="P125" s="288">
        <f>MATCH(B125,'42-02-31 תרבות בקהילה'!$B$122:$B$190,0)</f>
        <v>17</v>
      </c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  <c r="CJ125" s="121"/>
      <c r="CK125" s="121"/>
      <c r="CL125" s="121"/>
      <c r="CM125" s="121"/>
      <c r="CN125" s="121"/>
      <c r="CO125" s="121"/>
      <c r="CP125" s="121"/>
      <c r="CQ125" s="121"/>
    </row>
    <row r="126" spans="1:101" s="62" customFormat="1" ht="35.1" customHeight="1" x14ac:dyDescent="0.2">
      <c r="A126" s="487" t="s">
        <v>1730</v>
      </c>
      <c r="B126" s="564">
        <v>500285002</v>
      </c>
      <c r="C126" s="494">
        <v>1000549109</v>
      </c>
      <c r="D126" s="319">
        <v>20000249</v>
      </c>
      <c r="E126" s="46">
        <v>0</v>
      </c>
      <c r="F126" s="46">
        <v>0</v>
      </c>
      <c r="G126" s="284">
        <v>0</v>
      </c>
      <c r="H126" s="297">
        <v>70000</v>
      </c>
      <c r="I126" s="119">
        <v>73769</v>
      </c>
      <c r="J126" s="46">
        <v>75000</v>
      </c>
      <c r="K126" s="46">
        <f t="shared" si="5"/>
        <v>75000</v>
      </c>
      <c r="L126" s="59">
        <v>0</v>
      </c>
      <c r="M126" s="77"/>
      <c r="N126" s="121"/>
      <c r="O126" s="288" t="e">
        <f>MATCH(B126,'42-02-31 תרבות בקהילה'!$B$5:$B$120,0)</f>
        <v>#N/A</v>
      </c>
      <c r="P126" s="288">
        <f>MATCH(B126,'42-02-31 תרבות בקהילה'!$B$122:$B$190,0)</f>
        <v>46</v>
      </c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</row>
    <row r="127" spans="1:101" s="62" customFormat="1" ht="35.1" customHeight="1" x14ac:dyDescent="0.2">
      <c r="A127" s="487" t="s">
        <v>1731</v>
      </c>
      <c r="B127" s="564">
        <v>500285002</v>
      </c>
      <c r="C127" s="494">
        <v>1000553120</v>
      </c>
      <c r="D127" s="319">
        <v>20000249</v>
      </c>
      <c r="E127" s="46">
        <v>0</v>
      </c>
      <c r="F127" s="46">
        <v>0</v>
      </c>
      <c r="G127" s="284">
        <v>0</v>
      </c>
      <c r="H127" s="297">
        <v>25000</v>
      </c>
      <c r="I127" s="119">
        <v>30737</v>
      </c>
      <c r="J127" s="46">
        <v>35000</v>
      </c>
      <c r="K127" s="46">
        <f t="shared" si="5"/>
        <v>35000</v>
      </c>
      <c r="L127" s="59">
        <v>0</v>
      </c>
      <c r="M127" s="77"/>
      <c r="N127" s="121"/>
      <c r="O127" s="288" t="e">
        <f>MATCH(B127,'42-02-31 תרבות בקהילה'!$B$5:$B$120,0)</f>
        <v>#N/A</v>
      </c>
      <c r="P127" s="288">
        <f>MATCH(B127,'42-02-31 תרבות בקהילה'!$B$122:$B$190,0)</f>
        <v>46</v>
      </c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  <c r="CJ127" s="121"/>
      <c r="CK127" s="121"/>
      <c r="CL127" s="121"/>
      <c r="CM127" s="121"/>
      <c r="CN127" s="121"/>
      <c r="CO127" s="121"/>
      <c r="CP127" s="121"/>
      <c r="CQ127" s="121"/>
    </row>
    <row r="128" spans="1:101" s="62" customFormat="1" ht="35.1" customHeight="1" x14ac:dyDescent="0.2">
      <c r="A128" s="487" t="s">
        <v>1732</v>
      </c>
      <c r="B128" s="564">
        <v>500285002</v>
      </c>
      <c r="C128" s="494">
        <v>1000553079</v>
      </c>
      <c r="D128" s="319">
        <v>20000249</v>
      </c>
      <c r="E128" s="46">
        <v>0</v>
      </c>
      <c r="F128" s="46">
        <v>0</v>
      </c>
      <c r="G128" s="284">
        <v>0</v>
      </c>
      <c r="H128" s="297">
        <v>20000</v>
      </c>
      <c r="I128" s="119">
        <v>24590</v>
      </c>
      <c r="J128" s="46">
        <v>28555</v>
      </c>
      <c r="K128" s="46">
        <f t="shared" si="5"/>
        <v>28555</v>
      </c>
      <c r="L128" s="59">
        <v>0</v>
      </c>
      <c r="M128" s="77"/>
      <c r="N128" s="121"/>
      <c r="O128" s="288" t="e">
        <f>MATCH(B128,'42-02-31 תרבות בקהילה'!$B$5:$B$120,0)</f>
        <v>#N/A</v>
      </c>
      <c r="P128" s="288">
        <f>MATCH(B128,'42-02-31 תרבות בקהילה'!$B$122:$B$190,0)</f>
        <v>46</v>
      </c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  <c r="CJ128" s="121"/>
      <c r="CK128" s="121"/>
      <c r="CL128" s="121"/>
      <c r="CM128" s="121"/>
      <c r="CN128" s="121"/>
      <c r="CO128" s="121"/>
      <c r="CP128" s="121"/>
      <c r="CQ128" s="121"/>
    </row>
    <row r="129" spans="1:99" s="62" customFormat="1" ht="35.1" customHeight="1" x14ac:dyDescent="0.2">
      <c r="A129" s="487" t="s">
        <v>1733</v>
      </c>
      <c r="B129" s="318">
        <v>500241005</v>
      </c>
      <c r="C129" s="494">
        <v>1000535076</v>
      </c>
      <c r="D129" s="319">
        <v>20000184</v>
      </c>
      <c r="E129" s="46">
        <v>0</v>
      </c>
      <c r="F129" s="101">
        <v>0</v>
      </c>
      <c r="G129" s="284">
        <v>20000</v>
      </c>
      <c r="H129" s="297">
        <v>30000</v>
      </c>
      <c r="I129" s="119">
        <v>24590</v>
      </c>
      <c r="J129" s="46">
        <v>28555</v>
      </c>
      <c r="K129" s="46">
        <f t="shared" si="5"/>
        <v>28555</v>
      </c>
      <c r="L129" s="59">
        <v>0</v>
      </c>
      <c r="M129" s="77"/>
      <c r="N129" s="121"/>
      <c r="O129" s="288" t="e">
        <f>MATCH(B129,'42-02-31 תרבות בקהילה'!$B$5:$B$120,0)</f>
        <v>#N/A</v>
      </c>
      <c r="P129" s="288">
        <f>MATCH(B129,'42-02-31 תרבות בקהילה'!$B$122:$B$190,0)</f>
        <v>38</v>
      </c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</row>
    <row r="130" spans="1:99" s="62" customFormat="1" ht="35.1" customHeight="1" x14ac:dyDescent="0.2">
      <c r="A130" s="487" t="s">
        <v>1734</v>
      </c>
      <c r="B130" s="318">
        <v>500241005</v>
      </c>
      <c r="C130" s="494">
        <v>1000539764</v>
      </c>
      <c r="D130" s="319">
        <v>20000184</v>
      </c>
      <c r="E130" s="46">
        <v>0</v>
      </c>
      <c r="F130" s="101">
        <v>20000</v>
      </c>
      <c r="G130" s="284">
        <v>20000</v>
      </c>
      <c r="H130" s="297">
        <v>20000</v>
      </c>
      <c r="I130" s="119">
        <v>24590</v>
      </c>
      <c r="J130" s="46">
        <v>28555</v>
      </c>
      <c r="K130" s="46">
        <f t="shared" si="5"/>
        <v>28555</v>
      </c>
      <c r="L130" s="59">
        <v>0</v>
      </c>
      <c r="M130" s="77"/>
      <c r="N130" s="121"/>
      <c r="O130" s="288" t="e">
        <f>MATCH(B130,'42-02-31 תרבות בקהילה'!$B$5:$B$120,0)</f>
        <v>#N/A</v>
      </c>
      <c r="P130" s="288">
        <f>MATCH(B130,'42-02-31 תרבות בקהילה'!$B$122:$B$190,0)</f>
        <v>38</v>
      </c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  <c r="CJ130" s="121"/>
      <c r="CK130" s="121"/>
      <c r="CL130" s="121"/>
      <c r="CM130" s="121"/>
      <c r="CN130" s="121"/>
      <c r="CO130" s="121"/>
      <c r="CP130" s="121"/>
      <c r="CQ130" s="121"/>
    </row>
    <row r="131" spans="1:99" s="62" customFormat="1" ht="35.1" customHeight="1" x14ac:dyDescent="0.2">
      <c r="A131" s="487" t="s">
        <v>1735</v>
      </c>
      <c r="B131" s="318">
        <v>580030831</v>
      </c>
      <c r="C131" s="494">
        <v>1000539850</v>
      </c>
      <c r="D131" s="319">
        <v>20000184</v>
      </c>
      <c r="E131" s="46">
        <v>0</v>
      </c>
      <c r="F131" s="101">
        <v>20000</v>
      </c>
      <c r="G131" s="284">
        <v>0</v>
      </c>
      <c r="H131" s="297">
        <v>20000</v>
      </c>
      <c r="I131" s="119">
        <v>24590</v>
      </c>
      <c r="J131" s="46">
        <v>28555</v>
      </c>
      <c r="K131" s="46">
        <f t="shared" si="5"/>
        <v>28555</v>
      </c>
      <c r="L131" s="59">
        <v>0</v>
      </c>
      <c r="M131" s="77"/>
      <c r="N131" s="121"/>
      <c r="O131" s="288" t="e">
        <f>MATCH(B131,'42-02-31 תרבות בקהילה'!$B$5:$B$120,0)</f>
        <v>#N/A</v>
      </c>
      <c r="P131" s="288" t="e">
        <f>MATCH(B131,'42-02-31 תרבות בקהילה'!$B$122:$B$190,0)</f>
        <v>#N/A</v>
      </c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  <c r="CD131" s="121"/>
      <c r="CE131" s="121"/>
      <c r="CF131" s="121"/>
      <c r="CG131" s="121"/>
      <c r="CH131" s="121"/>
      <c r="CI131" s="121"/>
      <c r="CJ131" s="121"/>
      <c r="CK131" s="121"/>
      <c r="CL131" s="121"/>
      <c r="CM131" s="121"/>
      <c r="CN131" s="121"/>
      <c r="CO131" s="121"/>
      <c r="CP131" s="121"/>
      <c r="CQ131" s="121"/>
    </row>
    <row r="132" spans="1:99" s="62" customFormat="1" ht="35.1" customHeight="1" x14ac:dyDescent="0.2">
      <c r="A132" s="317" t="s">
        <v>1736</v>
      </c>
      <c r="B132" s="318">
        <v>510542764</v>
      </c>
      <c r="C132" s="494">
        <v>1000543024</v>
      </c>
      <c r="D132" s="319">
        <v>40000258</v>
      </c>
      <c r="E132" s="46">
        <v>25000</v>
      </c>
      <c r="F132" s="101">
        <v>45000</v>
      </c>
      <c r="G132" s="284">
        <v>25000</v>
      </c>
      <c r="H132" s="284">
        <v>25000</v>
      </c>
      <c r="I132" s="119">
        <v>30000</v>
      </c>
      <c r="J132" s="46">
        <v>35693</v>
      </c>
      <c r="K132" s="46">
        <f t="shared" si="5"/>
        <v>35693</v>
      </c>
      <c r="L132" s="59">
        <v>0</v>
      </c>
      <c r="M132" s="77"/>
      <c r="N132" s="121"/>
      <c r="O132" s="288">
        <f>MATCH(B132,'42-02-31 תרבות בקהילה'!$B$5:$B$120,0)</f>
        <v>23</v>
      </c>
      <c r="P132" s="288" t="e">
        <f>MATCH(B132,'42-02-31 תרבות בקהילה'!$B$122:$B$190,0)</f>
        <v>#N/A</v>
      </c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/>
      <c r="CJ132" s="121"/>
      <c r="CK132" s="121"/>
      <c r="CL132" s="121"/>
      <c r="CM132" s="121"/>
      <c r="CN132" s="121"/>
      <c r="CO132" s="121"/>
      <c r="CP132" s="121"/>
      <c r="CQ132" s="121"/>
    </row>
    <row r="133" spans="1:99" s="62" customFormat="1" ht="35.1" customHeight="1" x14ac:dyDescent="0.2">
      <c r="A133" s="317" t="s">
        <v>1737</v>
      </c>
      <c r="B133" s="318">
        <v>510542764</v>
      </c>
      <c r="C133" s="494">
        <v>1000543090</v>
      </c>
      <c r="D133" s="319">
        <v>40000258</v>
      </c>
      <c r="E133" s="46">
        <v>35000</v>
      </c>
      <c r="F133" s="119">
        <v>35000</v>
      </c>
      <c r="G133" s="284">
        <v>35000</v>
      </c>
      <c r="H133" s="297">
        <v>35000</v>
      </c>
      <c r="I133" s="119">
        <v>40000</v>
      </c>
      <c r="J133" s="46">
        <v>49971</v>
      </c>
      <c r="K133" s="46">
        <f t="shared" si="5"/>
        <v>49971</v>
      </c>
      <c r="L133" s="59">
        <v>0</v>
      </c>
      <c r="M133" s="394"/>
      <c r="N133" s="121"/>
      <c r="O133" s="288">
        <f>MATCH(B133,'42-02-31 תרבות בקהילה'!$B$5:$B$120,0)</f>
        <v>23</v>
      </c>
      <c r="P133" s="288" t="e">
        <f>MATCH(B133,'42-02-31 תרבות בקהילה'!$B$122:$B$190,0)</f>
        <v>#N/A</v>
      </c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</row>
    <row r="134" spans="1:99" s="62" customFormat="1" ht="35.1" customHeight="1" x14ac:dyDescent="0.2">
      <c r="A134" s="487" t="s">
        <v>1738</v>
      </c>
      <c r="B134" s="580">
        <v>500210349</v>
      </c>
      <c r="C134" s="568">
        <v>1000546452</v>
      </c>
      <c r="D134" s="569">
        <v>20000097</v>
      </c>
      <c r="E134" s="119">
        <v>0</v>
      </c>
      <c r="F134" s="382">
        <v>0</v>
      </c>
      <c r="G134" s="284">
        <v>30000</v>
      </c>
      <c r="H134" s="297">
        <v>30000</v>
      </c>
      <c r="I134" s="119">
        <v>36885</v>
      </c>
      <c r="J134" s="46">
        <v>46474</v>
      </c>
      <c r="K134" s="46">
        <f t="shared" si="5"/>
        <v>46474</v>
      </c>
      <c r="L134" s="59">
        <v>0</v>
      </c>
      <c r="M134" s="478"/>
      <c r="N134" s="121"/>
      <c r="O134" s="288" t="e">
        <f>MATCH(B134,'42-02-31 תרבות בקהילה'!$B$5:$B$120,0)</f>
        <v>#N/A</v>
      </c>
      <c r="P134" s="288">
        <f>MATCH(B134,'42-02-31 תרבות בקהילה'!$B$122:$B$190,0)</f>
        <v>25</v>
      </c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21"/>
      <c r="BS134" s="121"/>
      <c r="BT134" s="121"/>
      <c r="BU134" s="121"/>
      <c r="BV134" s="121"/>
      <c r="BW134" s="121"/>
      <c r="BX134" s="121"/>
      <c r="BY134" s="121"/>
      <c r="BZ134" s="121"/>
      <c r="CA134" s="121"/>
      <c r="CB134" s="121"/>
      <c r="CC134" s="121"/>
      <c r="CD134" s="121"/>
      <c r="CE134" s="121"/>
      <c r="CF134" s="121"/>
      <c r="CG134" s="121"/>
      <c r="CH134" s="121"/>
      <c r="CI134" s="121"/>
      <c r="CJ134" s="121"/>
      <c r="CK134" s="121"/>
      <c r="CL134" s="121"/>
      <c r="CM134" s="121"/>
      <c r="CN134" s="121"/>
      <c r="CO134" s="121"/>
      <c r="CP134" s="121"/>
      <c r="CQ134" s="121"/>
    </row>
    <row r="135" spans="1:99" s="62" customFormat="1" ht="35.1" customHeight="1" x14ac:dyDescent="0.2">
      <c r="A135" s="487" t="s">
        <v>1739</v>
      </c>
      <c r="B135" s="564">
        <v>500210349</v>
      </c>
      <c r="C135" s="494">
        <v>1000546439</v>
      </c>
      <c r="D135" s="319">
        <v>20000097</v>
      </c>
      <c r="E135" s="46">
        <v>0</v>
      </c>
      <c r="F135" s="101">
        <v>82479</v>
      </c>
      <c r="G135" s="284">
        <v>30000</v>
      </c>
      <c r="H135" s="297">
        <v>30000</v>
      </c>
      <c r="I135" s="119">
        <v>36885</v>
      </c>
      <c r="J135" s="46">
        <v>38000</v>
      </c>
      <c r="K135" s="46">
        <f t="shared" si="5"/>
        <v>38000</v>
      </c>
      <c r="L135" s="59">
        <v>0</v>
      </c>
      <c r="M135" s="77"/>
      <c r="N135" s="121"/>
      <c r="O135" s="288" t="e">
        <f>MATCH(B135,'42-02-31 תרבות בקהילה'!$B$5:$B$120,0)</f>
        <v>#N/A</v>
      </c>
      <c r="P135" s="288">
        <f>MATCH(B135,'42-02-31 תרבות בקהילה'!$B$122:$B$190,0)</f>
        <v>25</v>
      </c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1"/>
      <c r="BA135" s="121"/>
      <c r="BB135" s="121"/>
      <c r="BC135" s="121"/>
      <c r="BD135" s="121"/>
      <c r="BE135" s="121"/>
      <c r="BF135" s="121"/>
      <c r="BG135" s="121"/>
      <c r="BH135" s="121"/>
      <c r="BI135" s="121"/>
      <c r="BJ135" s="121"/>
      <c r="BK135" s="121"/>
      <c r="BL135" s="121"/>
      <c r="BM135" s="121"/>
      <c r="BN135" s="121"/>
      <c r="BO135" s="121"/>
      <c r="BP135" s="121"/>
      <c r="BQ135" s="121"/>
      <c r="BR135" s="121"/>
      <c r="BS135" s="121"/>
      <c r="BT135" s="121"/>
      <c r="BU135" s="121"/>
      <c r="BV135" s="121"/>
      <c r="BW135" s="121"/>
      <c r="BX135" s="121"/>
      <c r="BY135" s="121"/>
      <c r="BZ135" s="121"/>
      <c r="CA135" s="121"/>
      <c r="CB135" s="121"/>
      <c r="CC135" s="121"/>
      <c r="CD135" s="121"/>
      <c r="CE135" s="121"/>
      <c r="CF135" s="121"/>
      <c r="CG135" s="121"/>
      <c r="CH135" s="121"/>
      <c r="CI135" s="121"/>
      <c r="CJ135" s="121"/>
      <c r="CK135" s="121"/>
      <c r="CL135" s="121"/>
      <c r="CM135" s="121"/>
      <c r="CN135" s="121"/>
      <c r="CO135" s="121"/>
      <c r="CP135" s="121"/>
      <c r="CQ135" s="121"/>
    </row>
    <row r="136" spans="1:99" s="62" customFormat="1" ht="35.1" customHeight="1" x14ac:dyDescent="0.2">
      <c r="A136" s="487" t="s">
        <v>1740</v>
      </c>
      <c r="B136" s="564">
        <v>500210349</v>
      </c>
      <c r="C136" s="494">
        <v>1000546405</v>
      </c>
      <c r="D136" s="319">
        <v>20000097</v>
      </c>
      <c r="E136" s="46">
        <v>0</v>
      </c>
      <c r="F136" s="101">
        <v>0</v>
      </c>
      <c r="G136" s="284">
        <v>20000</v>
      </c>
      <c r="H136" s="297">
        <v>20000</v>
      </c>
      <c r="I136" s="119">
        <v>24590</v>
      </c>
      <c r="J136" s="46">
        <v>30982</v>
      </c>
      <c r="K136" s="46">
        <f t="shared" si="5"/>
        <v>30982</v>
      </c>
      <c r="L136" s="59">
        <v>0</v>
      </c>
      <c r="M136" s="77"/>
      <c r="N136" s="121"/>
      <c r="O136" s="288" t="e">
        <f>MATCH(B136,'42-02-31 תרבות בקהילה'!$B$5:$B$120,0)</f>
        <v>#N/A</v>
      </c>
      <c r="P136" s="288">
        <f>MATCH(B136,'42-02-31 תרבות בקהילה'!$B$122:$B$190,0)</f>
        <v>25</v>
      </c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</row>
    <row r="137" spans="1:99" s="62" customFormat="1" ht="35.1" customHeight="1" x14ac:dyDescent="0.2">
      <c r="A137" s="487" t="s">
        <v>1741</v>
      </c>
      <c r="B137" s="564">
        <v>500210349</v>
      </c>
      <c r="C137" s="494">
        <v>1000546450</v>
      </c>
      <c r="D137" s="319">
        <v>20000097</v>
      </c>
      <c r="E137" s="46">
        <v>0</v>
      </c>
      <c r="F137" s="101">
        <v>0</v>
      </c>
      <c r="G137" s="284">
        <v>25000</v>
      </c>
      <c r="H137" s="297">
        <v>25000</v>
      </c>
      <c r="I137" s="119">
        <v>30737</v>
      </c>
      <c r="J137" s="46">
        <v>38000</v>
      </c>
      <c r="K137" s="46">
        <f t="shared" si="5"/>
        <v>38000</v>
      </c>
      <c r="L137" s="59">
        <v>0</v>
      </c>
      <c r="M137" s="77"/>
      <c r="N137" s="121"/>
      <c r="O137" s="288" t="e">
        <f>MATCH(B137,'42-02-31 תרבות בקהילה'!$B$5:$B$120,0)</f>
        <v>#N/A</v>
      </c>
      <c r="P137" s="288">
        <f>MATCH(B137,'42-02-31 תרבות בקהילה'!$B$122:$B$190,0)</f>
        <v>25</v>
      </c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1"/>
      <c r="BR137" s="121"/>
      <c r="BS137" s="121"/>
      <c r="BT137" s="121"/>
      <c r="BU137" s="121"/>
      <c r="BV137" s="121"/>
      <c r="BW137" s="121"/>
      <c r="BX137" s="121"/>
      <c r="BY137" s="121"/>
      <c r="BZ137" s="121"/>
      <c r="CA137" s="121"/>
      <c r="CB137" s="121"/>
      <c r="CC137" s="121"/>
      <c r="CD137" s="121"/>
      <c r="CE137" s="121"/>
      <c r="CF137" s="121"/>
      <c r="CG137" s="121"/>
      <c r="CH137" s="121"/>
      <c r="CI137" s="121"/>
      <c r="CJ137" s="121"/>
      <c r="CK137" s="121"/>
      <c r="CL137" s="121"/>
      <c r="CM137" s="121"/>
      <c r="CN137" s="121"/>
      <c r="CO137" s="121"/>
      <c r="CP137" s="121"/>
      <c r="CQ137" s="121"/>
    </row>
    <row r="138" spans="1:99" s="62" customFormat="1" ht="35.1" customHeight="1" x14ac:dyDescent="0.2">
      <c r="A138" s="487" t="s">
        <v>1742</v>
      </c>
      <c r="B138" s="564">
        <v>500210349</v>
      </c>
      <c r="C138" s="494">
        <v>1000546451</v>
      </c>
      <c r="D138" s="319">
        <v>20000097</v>
      </c>
      <c r="E138" s="46">
        <v>0</v>
      </c>
      <c r="F138" s="101">
        <v>0</v>
      </c>
      <c r="G138" s="284">
        <v>20000</v>
      </c>
      <c r="H138" s="297">
        <v>30000</v>
      </c>
      <c r="I138" s="119">
        <v>24590</v>
      </c>
      <c r="J138" s="46">
        <v>30982</v>
      </c>
      <c r="K138" s="46">
        <f t="shared" si="5"/>
        <v>30982</v>
      </c>
      <c r="L138" s="59">
        <v>0</v>
      </c>
      <c r="M138" s="77"/>
      <c r="N138" s="121"/>
      <c r="O138" s="288" t="e">
        <f>MATCH(B138,'42-02-31 תרבות בקהילה'!$B$5:$B$120,0)</f>
        <v>#N/A</v>
      </c>
      <c r="P138" s="288">
        <f>MATCH(B138,'42-02-31 תרבות בקהילה'!$B$122:$B$190,0)</f>
        <v>25</v>
      </c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1"/>
      <c r="BR138" s="121"/>
      <c r="BS138" s="121"/>
      <c r="BT138" s="121"/>
      <c r="BU138" s="121"/>
      <c r="BV138" s="121"/>
      <c r="BW138" s="121"/>
      <c r="BX138" s="121"/>
      <c r="BY138" s="121"/>
      <c r="BZ138" s="121"/>
      <c r="CA138" s="121"/>
      <c r="CB138" s="121"/>
      <c r="CC138" s="121"/>
      <c r="CD138" s="121"/>
      <c r="CE138" s="121"/>
      <c r="CF138" s="121"/>
      <c r="CG138" s="121"/>
      <c r="CH138" s="121"/>
      <c r="CI138" s="121"/>
      <c r="CJ138" s="121"/>
      <c r="CK138" s="121"/>
      <c r="CL138" s="121"/>
      <c r="CM138" s="121"/>
      <c r="CN138" s="121"/>
      <c r="CO138" s="121"/>
      <c r="CP138" s="121"/>
      <c r="CQ138" s="121"/>
    </row>
    <row r="139" spans="1:99" s="62" customFormat="1" ht="35.1" customHeight="1" x14ac:dyDescent="0.2">
      <c r="A139" s="574" t="s">
        <v>1743</v>
      </c>
      <c r="B139" s="575">
        <v>500210638</v>
      </c>
      <c r="C139" s="576">
        <v>1000536786</v>
      </c>
      <c r="D139" s="577">
        <v>20000102</v>
      </c>
      <c r="E139" s="46">
        <v>0</v>
      </c>
      <c r="F139" s="46">
        <v>0</v>
      </c>
      <c r="G139" s="284">
        <v>40000</v>
      </c>
      <c r="H139" s="297">
        <v>40000</v>
      </c>
      <c r="I139" s="119">
        <v>49179</v>
      </c>
      <c r="J139" s="46">
        <v>57110</v>
      </c>
      <c r="K139" s="46">
        <f t="shared" si="5"/>
        <v>57110</v>
      </c>
      <c r="L139" s="59">
        <v>0</v>
      </c>
      <c r="M139" s="77"/>
      <c r="N139" s="121"/>
      <c r="O139" s="288" t="e">
        <f>MATCH(B139,'42-02-31 תרבות בקהילה'!$B$5:$B$120,0)</f>
        <v>#N/A</v>
      </c>
      <c r="P139" s="288">
        <f>MATCH(B139,'42-02-31 תרבות בקהילה'!$B$122:$B$190,0)</f>
        <v>26</v>
      </c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1"/>
      <c r="BR139" s="121"/>
      <c r="BS139" s="121"/>
      <c r="BT139" s="121"/>
      <c r="BU139" s="121"/>
      <c r="BV139" s="121"/>
      <c r="BW139" s="121"/>
      <c r="BX139" s="121"/>
      <c r="BY139" s="121"/>
      <c r="BZ139" s="121"/>
      <c r="CA139" s="121"/>
      <c r="CB139" s="121"/>
      <c r="CC139" s="121"/>
      <c r="CD139" s="121"/>
      <c r="CE139" s="121"/>
      <c r="CF139" s="121"/>
      <c r="CG139" s="121"/>
      <c r="CH139" s="121"/>
      <c r="CI139" s="121"/>
      <c r="CJ139" s="121"/>
      <c r="CK139" s="121"/>
      <c r="CL139" s="121"/>
      <c r="CM139" s="121"/>
      <c r="CN139" s="121"/>
      <c r="CO139" s="121"/>
      <c r="CP139" s="121"/>
      <c r="CQ139" s="121"/>
    </row>
    <row r="140" spans="1:99" s="62" customFormat="1" ht="35.1" customHeight="1" x14ac:dyDescent="0.2">
      <c r="A140" s="574" t="s">
        <v>1744</v>
      </c>
      <c r="B140" s="575">
        <v>500210638</v>
      </c>
      <c r="C140" s="576">
        <v>1000536759</v>
      </c>
      <c r="D140" s="577">
        <v>20000102</v>
      </c>
      <c r="E140" s="46">
        <v>0</v>
      </c>
      <c r="F140" s="46">
        <v>0</v>
      </c>
      <c r="G140" s="284">
        <v>0</v>
      </c>
      <c r="H140" s="297">
        <v>0</v>
      </c>
      <c r="I140" s="119">
        <v>50000</v>
      </c>
      <c r="J140" s="46">
        <v>71387</v>
      </c>
      <c r="K140" s="46">
        <f t="shared" si="5"/>
        <v>71387</v>
      </c>
      <c r="L140" s="59">
        <v>0</v>
      </c>
      <c r="M140" s="58"/>
      <c r="N140" s="556"/>
      <c r="O140" s="288" t="e">
        <f>MATCH(B140,'42-02-31 תרבות בקהילה'!$B$5:$B$120,0)</f>
        <v>#N/A</v>
      </c>
      <c r="P140" s="288">
        <f>MATCH(B140,'42-02-31 תרבות בקהילה'!$B$122:$B$190,0)</f>
        <v>26</v>
      </c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</row>
    <row r="141" spans="1:99" s="62" customFormat="1" ht="35.1" customHeight="1" x14ac:dyDescent="0.2">
      <c r="A141" s="574" t="s">
        <v>1745</v>
      </c>
      <c r="B141" s="575">
        <v>500210638</v>
      </c>
      <c r="C141" s="576">
        <v>1000544496</v>
      </c>
      <c r="D141" s="577">
        <v>20000102</v>
      </c>
      <c r="E141" s="46">
        <v>90000</v>
      </c>
      <c r="F141" s="46">
        <v>80000</v>
      </c>
      <c r="G141" s="284">
        <v>0</v>
      </c>
      <c r="H141" s="297">
        <v>40000</v>
      </c>
      <c r="I141" s="119">
        <v>0</v>
      </c>
      <c r="J141" s="46">
        <v>57110</v>
      </c>
      <c r="K141" s="46">
        <f t="shared" si="5"/>
        <v>57110</v>
      </c>
      <c r="L141" s="59">
        <v>0</v>
      </c>
      <c r="M141" s="77"/>
      <c r="N141" s="121"/>
      <c r="O141" s="288" t="e">
        <f>MATCH(B141,'42-02-31 תרבות בקהילה'!$B$5:$B$120,0)</f>
        <v>#N/A</v>
      </c>
      <c r="P141" s="288">
        <f>MATCH(B141,'42-02-31 תרבות בקהילה'!$B$122:$B$190,0)</f>
        <v>26</v>
      </c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</row>
    <row r="142" spans="1:99" s="62" customFormat="1" ht="35.1" customHeight="1" x14ac:dyDescent="0.2">
      <c r="A142" s="72" t="s">
        <v>1746</v>
      </c>
      <c r="B142" s="53">
        <v>580392280</v>
      </c>
      <c r="C142" s="49">
        <v>1000534410</v>
      </c>
      <c r="D142" s="48">
        <v>40309074</v>
      </c>
      <c r="E142" s="46">
        <v>0</v>
      </c>
      <c r="F142" s="101">
        <v>0</v>
      </c>
      <c r="G142" s="284">
        <v>20000</v>
      </c>
      <c r="H142" s="297">
        <v>20000</v>
      </c>
      <c r="I142" s="119">
        <v>24590</v>
      </c>
      <c r="J142" s="46">
        <v>30982</v>
      </c>
      <c r="K142" s="46">
        <f t="shared" si="5"/>
        <v>30982</v>
      </c>
      <c r="L142" s="59">
        <v>0</v>
      </c>
      <c r="M142" s="77"/>
      <c r="N142" s="121"/>
      <c r="O142" s="288">
        <f>MATCH(B142,'42-02-31 תרבות בקהילה'!$B$5:$B$120,0)</f>
        <v>64</v>
      </c>
      <c r="P142" s="288" t="e">
        <f>MATCH(B142,'42-02-31 תרבות בקהילה'!$B$122:$B$190,0)</f>
        <v>#N/A</v>
      </c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1"/>
      <c r="BR142" s="121"/>
      <c r="BS142" s="121"/>
      <c r="BT142" s="121"/>
      <c r="BU142" s="121"/>
      <c r="BV142" s="121"/>
      <c r="BW142" s="121"/>
      <c r="BX142" s="121"/>
      <c r="BY142" s="121"/>
      <c r="BZ142" s="121"/>
      <c r="CA142" s="121"/>
      <c r="CB142" s="121"/>
      <c r="CC142" s="121"/>
      <c r="CD142" s="121"/>
      <c r="CE142" s="121"/>
      <c r="CF142" s="121"/>
      <c r="CG142" s="121"/>
      <c r="CH142" s="121"/>
      <c r="CI142" s="121"/>
      <c r="CJ142" s="121"/>
      <c r="CK142" s="121"/>
      <c r="CL142" s="121"/>
      <c r="CM142" s="121"/>
      <c r="CN142" s="121"/>
      <c r="CO142" s="121"/>
      <c r="CP142" s="121"/>
      <c r="CQ142" s="121"/>
    </row>
    <row r="143" spans="1:99" s="62" customFormat="1" ht="35.1" customHeight="1" x14ac:dyDescent="0.2">
      <c r="A143" s="487" t="s">
        <v>1747</v>
      </c>
      <c r="B143" s="564">
        <v>500222062</v>
      </c>
      <c r="C143" s="494">
        <v>1000543372</v>
      </c>
      <c r="D143" s="319">
        <v>20000132</v>
      </c>
      <c r="E143" s="46">
        <v>25000</v>
      </c>
      <c r="F143" s="46">
        <v>25000</v>
      </c>
      <c r="G143" s="284">
        <v>25000</v>
      </c>
      <c r="H143" s="297">
        <v>25000</v>
      </c>
      <c r="I143" s="119">
        <v>30737</v>
      </c>
      <c r="J143" s="46">
        <v>35693</v>
      </c>
      <c r="K143" s="46">
        <f t="shared" si="5"/>
        <v>35693</v>
      </c>
      <c r="L143" s="59">
        <v>0</v>
      </c>
      <c r="M143" s="77"/>
      <c r="N143" s="121"/>
      <c r="O143" s="288" t="e">
        <f>MATCH(B143,'42-02-31 תרבות בקהילה'!$B$5:$B$120,0)</f>
        <v>#N/A</v>
      </c>
      <c r="P143" s="288">
        <f>MATCH(B143,'42-02-31 תרבות בקהילה'!$B$122:$B$190,0)</f>
        <v>8</v>
      </c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1"/>
      <c r="BR143" s="121"/>
      <c r="BS143" s="121"/>
      <c r="BT143" s="121"/>
      <c r="BU143" s="121"/>
      <c r="BV143" s="121"/>
      <c r="BW143" s="121"/>
      <c r="BX143" s="121"/>
      <c r="BY143" s="121"/>
      <c r="BZ143" s="121"/>
      <c r="CA143" s="121"/>
      <c r="CB143" s="121"/>
      <c r="CC143" s="121"/>
      <c r="CD143" s="121"/>
      <c r="CE143" s="121"/>
      <c r="CF143" s="121"/>
      <c r="CG143" s="121"/>
      <c r="CH143" s="121"/>
      <c r="CI143" s="121"/>
      <c r="CJ143" s="121"/>
      <c r="CK143" s="121"/>
      <c r="CL143" s="121"/>
      <c r="CM143" s="121"/>
      <c r="CN143" s="121"/>
      <c r="CO143" s="121"/>
      <c r="CP143" s="121"/>
      <c r="CQ143" s="121"/>
    </row>
    <row r="144" spans="1:99" s="62" customFormat="1" ht="35.1" customHeight="1" x14ac:dyDescent="0.2">
      <c r="A144" s="487" t="s">
        <v>1748</v>
      </c>
      <c r="B144" s="564">
        <v>500222062</v>
      </c>
      <c r="C144" s="494">
        <v>1000543218</v>
      </c>
      <c r="D144" s="319">
        <v>20000132</v>
      </c>
      <c r="E144" s="46">
        <v>0</v>
      </c>
      <c r="F144" s="101">
        <v>30000</v>
      </c>
      <c r="G144" s="284">
        <v>20000</v>
      </c>
      <c r="H144" s="284">
        <v>30000</v>
      </c>
      <c r="I144" s="119">
        <v>20000</v>
      </c>
      <c r="J144" s="46">
        <v>25000</v>
      </c>
      <c r="K144" s="46">
        <f t="shared" si="5"/>
        <v>25000</v>
      </c>
      <c r="L144" s="59">
        <v>0</v>
      </c>
      <c r="M144" s="77"/>
      <c r="N144" s="121"/>
      <c r="O144" s="288" t="e">
        <f>MATCH(B144,'42-02-31 תרבות בקהילה'!$B$5:$B$120,0)</f>
        <v>#N/A</v>
      </c>
      <c r="P144" s="288">
        <f>MATCH(B144,'42-02-31 תרבות בקהילה'!$B$122:$B$190,0)</f>
        <v>8</v>
      </c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1"/>
      <c r="BR144" s="121"/>
      <c r="BS144" s="121"/>
      <c r="BT144" s="121"/>
      <c r="BU144" s="121"/>
      <c r="BV144" s="121"/>
      <c r="BW144" s="121"/>
      <c r="BX144" s="121"/>
      <c r="BY144" s="121"/>
      <c r="BZ144" s="121"/>
      <c r="CA144" s="121"/>
      <c r="CB144" s="121"/>
      <c r="CC144" s="121"/>
      <c r="CD144" s="121"/>
      <c r="CE144" s="121"/>
      <c r="CF144" s="121"/>
      <c r="CG144" s="121"/>
      <c r="CH144" s="121"/>
      <c r="CI144" s="121"/>
      <c r="CJ144" s="121"/>
      <c r="CK144" s="121"/>
      <c r="CL144" s="121"/>
      <c r="CM144" s="121"/>
      <c r="CN144" s="121"/>
      <c r="CO144" s="121"/>
      <c r="CP144" s="121"/>
      <c r="CQ144" s="121"/>
    </row>
    <row r="145" spans="1:101" s="62" customFormat="1" ht="35.1" customHeight="1" x14ac:dyDescent="0.2">
      <c r="A145" s="487" t="s">
        <v>1749</v>
      </c>
      <c r="B145" s="564">
        <v>500222062</v>
      </c>
      <c r="C145" s="494">
        <v>1000543385</v>
      </c>
      <c r="D145" s="319">
        <v>20000132</v>
      </c>
      <c r="E145" s="46">
        <v>0</v>
      </c>
      <c r="F145" s="46">
        <v>20000</v>
      </c>
      <c r="G145" s="284">
        <v>20000</v>
      </c>
      <c r="H145" s="297">
        <v>20000</v>
      </c>
      <c r="I145" s="119">
        <v>20000</v>
      </c>
      <c r="J145" s="46">
        <v>28555</v>
      </c>
      <c r="K145" s="46">
        <f t="shared" si="5"/>
        <v>28555</v>
      </c>
      <c r="L145" s="59">
        <v>0</v>
      </c>
      <c r="M145" s="77"/>
      <c r="N145" s="121"/>
      <c r="O145" s="288" t="e">
        <f>MATCH(B145,'42-02-31 תרבות בקהילה'!$B$5:$B$120,0)</f>
        <v>#N/A</v>
      </c>
      <c r="P145" s="288">
        <f>MATCH(B145,'42-02-31 תרבות בקהילה'!$B$122:$B$190,0)</f>
        <v>8</v>
      </c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1"/>
      <c r="BR145" s="121"/>
      <c r="BS145" s="121"/>
      <c r="BT145" s="121"/>
      <c r="BU145" s="121"/>
      <c r="BV145" s="121"/>
      <c r="BW145" s="121"/>
      <c r="BX145" s="121"/>
      <c r="BY145" s="121"/>
      <c r="BZ145" s="121"/>
      <c r="CA145" s="121"/>
      <c r="CB145" s="121"/>
      <c r="CC145" s="121"/>
      <c r="CD145" s="121"/>
      <c r="CE145" s="121"/>
      <c r="CF145" s="121"/>
      <c r="CG145" s="121"/>
      <c r="CH145" s="121"/>
      <c r="CI145" s="121"/>
      <c r="CJ145" s="121"/>
      <c r="CK145" s="121"/>
      <c r="CL145" s="121"/>
      <c r="CM145" s="121"/>
      <c r="CN145" s="121"/>
      <c r="CO145" s="121"/>
      <c r="CP145" s="121"/>
      <c r="CQ145" s="121"/>
    </row>
    <row r="146" spans="1:101" s="62" customFormat="1" ht="35.1" customHeight="1" x14ac:dyDescent="0.2">
      <c r="A146" s="51" t="s">
        <v>1750</v>
      </c>
      <c r="B146" s="50">
        <v>580471118</v>
      </c>
      <c r="C146" s="49">
        <v>1000552726</v>
      </c>
      <c r="D146" s="48">
        <v>40351333</v>
      </c>
      <c r="E146" s="46">
        <v>0</v>
      </c>
      <c r="F146" s="46">
        <v>0</v>
      </c>
      <c r="G146" s="46">
        <v>0</v>
      </c>
      <c r="H146" s="297">
        <v>20000</v>
      </c>
      <c r="I146" s="119">
        <v>24590</v>
      </c>
      <c r="J146" s="46">
        <v>24730</v>
      </c>
      <c r="K146" s="46">
        <f t="shared" si="5"/>
        <v>24730</v>
      </c>
      <c r="L146" s="59">
        <v>0</v>
      </c>
      <c r="M146" s="77"/>
      <c r="N146" s="121"/>
      <c r="O146" s="288">
        <f>MATCH(B146,'42-02-31 תרבות בקהילה'!$B$5:$B$120,0)</f>
        <v>73</v>
      </c>
      <c r="P146" s="288" t="e">
        <f>MATCH(B146,'42-02-31 תרבות בקהילה'!$B$122:$B$190,0)</f>
        <v>#N/A</v>
      </c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</row>
    <row r="147" spans="1:101" s="62" customFormat="1" ht="35.1" customHeight="1" x14ac:dyDescent="0.2">
      <c r="A147" s="55" t="s">
        <v>1751</v>
      </c>
      <c r="B147" s="50">
        <v>500224536</v>
      </c>
      <c r="C147" s="49">
        <v>1000542640</v>
      </c>
      <c r="D147" s="48">
        <v>20000140</v>
      </c>
      <c r="E147" s="46">
        <v>0</v>
      </c>
      <c r="F147" s="46">
        <v>0</v>
      </c>
      <c r="G147" s="284">
        <v>0</v>
      </c>
      <c r="H147" s="297">
        <v>0</v>
      </c>
      <c r="I147" s="119">
        <v>24590</v>
      </c>
      <c r="J147" s="46">
        <v>28555</v>
      </c>
      <c r="K147" s="46">
        <f t="shared" si="5"/>
        <v>28555</v>
      </c>
      <c r="L147" s="59">
        <v>0</v>
      </c>
      <c r="M147" s="77"/>
      <c r="N147" s="121"/>
      <c r="O147" s="288" t="e">
        <f>MATCH(B147,'42-02-31 תרבות בקהילה'!$B$5:$B$120,0)</f>
        <v>#N/A</v>
      </c>
      <c r="P147" s="288" t="e">
        <f>MATCH(B147,'42-02-31 תרבות בקהילה'!$B$122:$B$190,0)</f>
        <v>#N/A</v>
      </c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</row>
    <row r="148" spans="1:101" s="62" customFormat="1" ht="35.1" customHeight="1" x14ac:dyDescent="0.2">
      <c r="A148" s="55" t="s">
        <v>1752</v>
      </c>
      <c r="B148" s="50">
        <v>500224536</v>
      </c>
      <c r="C148" s="49">
        <v>1000536689</v>
      </c>
      <c r="D148" s="48">
        <v>20000140</v>
      </c>
      <c r="E148" s="46">
        <v>0</v>
      </c>
      <c r="F148" s="46">
        <v>0</v>
      </c>
      <c r="G148" s="284">
        <v>0</v>
      </c>
      <c r="H148" s="297">
        <v>0</v>
      </c>
      <c r="I148" s="119">
        <v>24590</v>
      </c>
      <c r="J148" s="46">
        <v>28555</v>
      </c>
      <c r="K148" s="46">
        <f t="shared" si="5"/>
        <v>28555</v>
      </c>
      <c r="L148" s="59">
        <v>0</v>
      </c>
      <c r="M148" s="77"/>
      <c r="N148" s="121"/>
      <c r="O148" s="288" t="e">
        <f>MATCH(B148,'42-02-31 תרבות בקהילה'!$B$5:$B$120,0)</f>
        <v>#N/A</v>
      </c>
      <c r="P148" s="288" t="e">
        <f>MATCH(B148,'42-02-31 תרבות בקהילה'!$B$122:$B$190,0)</f>
        <v>#N/A</v>
      </c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1"/>
      <c r="BR148" s="121"/>
      <c r="BS148" s="121"/>
      <c r="BT148" s="121"/>
      <c r="BU148" s="121"/>
      <c r="BV148" s="121"/>
      <c r="BW148" s="121"/>
      <c r="BX148" s="121"/>
      <c r="BY148" s="121"/>
      <c r="BZ148" s="121"/>
      <c r="CA148" s="121"/>
      <c r="CB148" s="121"/>
      <c r="CC148" s="121"/>
      <c r="CD148" s="121"/>
      <c r="CE148" s="121"/>
      <c r="CF148" s="121"/>
      <c r="CG148" s="121"/>
      <c r="CH148" s="121"/>
      <c r="CI148" s="121"/>
      <c r="CJ148" s="121"/>
      <c r="CK148" s="121"/>
      <c r="CL148" s="121"/>
      <c r="CM148" s="121"/>
      <c r="CN148" s="121"/>
      <c r="CO148" s="121"/>
      <c r="CP148" s="121"/>
      <c r="CQ148" s="121"/>
    </row>
    <row r="149" spans="1:101" s="62" customFormat="1" ht="35.1" customHeight="1" x14ac:dyDescent="0.2">
      <c r="A149" s="51" t="s">
        <v>1753</v>
      </c>
      <c r="B149" s="50">
        <v>580528552</v>
      </c>
      <c r="C149" s="49">
        <v>1000549650</v>
      </c>
      <c r="D149" s="48">
        <v>40996105</v>
      </c>
      <c r="E149" s="46"/>
      <c r="F149" s="46"/>
      <c r="G149" s="284"/>
      <c r="H149" s="297"/>
      <c r="I149" s="119">
        <v>0</v>
      </c>
      <c r="J149" s="46">
        <v>71387</v>
      </c>
      <c r="K149" s="46">
        <f t="shared" si="5"/>
        <v>71387</v>
      </c>
      <c r="L149" s="59">
        <v>0</v>
      </c>
      <c r="M149" s="129"/>
      <c r="N149" s="121"/>
      <c r="O149" s="288">
        <f>MATCH(B149,'42-02-31 תרבות בקהילה'!$B$5:$B$120,0)</f>
        <v>85</v>
      </c>
      <c r="P149" s="288" t="e">
        <f>MATCH(B149,'42-02-31 תרבות בקהילה'!$B$122:$B$190,0)</f>
        <v>#N/A</v>
      </c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</row>
    <row r="150" spans="1:101" s="62" customFormat="1" ht="35.1" customHeight="1" x14ac:dyDescent="0.2">
      <c r="A150" s="51" t="s">
        <v>1754</v>
      </c>
      <c r="B150" s="50">
        <v>580049591</v>
      </c>
      <c r="C150" s="49">
        <v>1000541805</v>
      </c>
      <c r="D150" s="48">
        <v>40000109</v>
      </c>
      <c r="E150" s="46">
        <v>0</v>
      </c>
      <c r="F150" s="101">
        <v>0</v>
      </c>
      <c r="G150" s="284">
        <v>0</v>
      </c>
      <c r="H150" s="284">
        <v>0</v>
      </c>
      <c r="I150" s="119">
        <v>20000</v>
      </c>
      <c r="J150" s="46">
        <v>24730</v>
      </c>
      <c r="K150" s="46">
        <f t="shared" si="5"/>
        <v>24730</v>
      </c>
      <c r="L150" s="59">
        <v>0</v>
      </c>
      <c r="M150" s="77"/>
      <c r="N150" s="438"/>
      <c r="O150" s="288">
        <f>MATCH(B150,'42-02-31 תרבות בקהילה'!$B$5:$B$120,0)</f>
        <v>75</v>
      </c>
      <c r="P150" s="288" t="e">
        <f>MATCH(B150,'42-02-31 תרבות בקהילה'!$B$122:$B$190,0)</f>
        <v>#N/A</v>
      </c>
      <c r="Q150" s="557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/>
      <c r="CV150" s="121"/>
      <c r="CW150" s="121"/>
    </row>
    <row r="151" spans="1:101" s="62" customFormat="1" ht="35.1" customHeight="1" x14ac:dyDescent="0.2">
      <c r="A151" s="487" t="s">
        <v>1755</v>
      </c>
      <c r="B151" s="318">
        <v>500220348</v>
      </c>
      <c r="C151" s="494">
        <v>1000535942</v>
      </c>
      <c r="D151" s="319">
        <v>20000125</v>
      </c>
      <c r="E151" s="46">
        <v>0</v>
      </c>
      <c r="F151" s="46">
        <v>20000</v>
      </c>
      <c r="G151" s="284">
        <v>20000</v>
      </c>
      <c r="H151" s="297">
        <v>20000</v>
      </c>
      <c r="I151" s="119">
        <v>24590</v>
      </c>
      <c r="J151" s="46">
        <v>28555</v>
      </c>
      <c r="K151" s="46">
        <f t="shared" si="5"/>
        <v>28555</v>
      </c>
      <c r="L151" s="59">
        <v>0</v>
      </c>
      <c r="M151" s="565"/>
      <c r="N151" s="121"/>
      <c r="O151" s="288" t="e">
        <f>MATCH(B151,'42-02-31 תרבות בקהילה'!$B$5:$B$120,0)</f>
        <v>#N/A</v>
      </c>
      <c r="P151" s="288">
        <f>MATCH(B151,'42-02-31 תרבות בקהילה'!$B$122:$B$190,0)</f>
        <v>27</v>
      </c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1"/>
      <c r="BR151" s="121"/>
      <c r="BS151" s="121"/>
      <c r="BT151" s="121"/>
      <c r="BU151" s="121"/>
      <c r="BV151" s="121"/>
      <c r="BW151" s="121"/>
      <c r="BX151" s="121"/>
      <c r="BY151" s="121"/>
      <c r="BZ151" s="121"/>
      <c r="CA151" s="121"/>
      <c r="CB151" s="121"/>
      <c r="CC151" s="121"/>
      <c r="CD151" s="121"/>
      <c r="CE151" s="121"/>
      <c r="CF151" s="121"/>
      <c r="CG151" s="121"/>
      <c r="CH151" s="121"/>
      <c r="CI151" s="121"/>
      <c r="CJ151" s="121"/>
      <c r="CK151" s="121"/>
      <c r="CL151" s="121"/>
      <c r="CM151" s="121"/>
      <c r="CN151" s="121"/>
      <c r="CO151" s="121"/>
      <c r="CP151" s="121"/>
      <c r="CQ151" s="121"/>
    </row>
    <row r="152" spans="1:101" s="62" customFormat="1" ht="35.1" customHeight="1" x14ac:dyDescent="0.2">
      <c r="A152" s="487" t="s">
        <v>1756</v>
      </c>
      <c r="B152" s="318">
        <v>500220348</v>
      </c>
      <c r="C152" s="494">
        <v>1000535941</v>
      </c>
      <c r="D152" s="319">
        <v>20000125</v>
      </c>
      <c r="E152" s="46">
        <v>0</v>
      </c>
      <c r="F152" s="46">
        <v>30000</v>
      </c>
      <c r="G152" s="284">
        <v>30000</v>
      </c>
      <c r="H152" s="297">
        <v>30000</v>
      </c>
      <c r="I152" s="119">
        <v>36885</v>
      </c>
      <c r="J152" s="46">
        <v>42832</v>
      </c>
      <c r="K152" s="46">
        <f t="shared" si="5"/>
        <v>42832</v>
      </c>
      <c r="L152" s="59">
        <v>0</v>
      </c>
      <c r="M152" s="565"/>
      <c r="N152" s="121"/>
      <c r="O152" s="288" t="e">
        <f>MATCH(B152,'42-02-31 תרבות בקהילה'!$B$5:$B$120,0)</f>
        <v>#N/A</v>
      </c>
      <c r="P152" s="288">
        <f>MATCH(B152,'42-02-31 תרבות בקהילה'!$B$122:$B$190,0)</f>
        <v>27</v>
      </c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</row>
    <row r="153" spans="1:101" s="62" customFormat="1" ht="25.5" x14ac:dyDescent="0.2">
      <c r="A153" s="487" t="s">
        <v>1757</v>
      </c>
      <c r="B153" s="318">
        <v>500220348</v>
      </c>
      <c r="C153" s="54">
        <v>1000535959</v>
      </c>
      <c r="D153" s="319">
        <v>20000125</v>
      </c>
      <c r="E153" s="46">
        <v>0</v>
      </c>
      <c r="F153" s="46">
        <v>45000</v>
      </c>
      <c r="G153" s="284">
        <v>45000</v>
      </c>
      <c r="H153" s="297">
        <v>65000</v>
      </c>
      <c r="I153" s="119">
        <v>55327</v>
      </c>
      <c r="J153" s="46">
        <v>64248</v>
      </c>
      <c r="K153" s="46">
        <f t="shared" si="5"/>
        <v>64248</v>
      </c>
      <c r="L153" s="59">
        <v>0</v>
      </c>
      <c r="M153" s="565"/>
      <c r="N153" s="121"/>
      <c r="O153" s="288" t="e">
        <f>MATCH(B153,'42-02-31 תרבות בקהילה'!$B$5:$B$120,0)</f>
        <v>#N/A</v>
      </c>
      <c r="P153" s="288">
        <f>MATCH(B153,'42-02-31 תרבות בקהילה'!$B$122:$B$190,0)</f>
        <v>27</v>
      </c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</row>
    <row r="154" spans="1:101" s="62" customFormat="1" ht="35.1" customHeight="1" x14ac:dyDescent="0.2">
      <c r="A154" s="558" t="s">
        <v>1758</v>
      </c>
      <c r="B154" s="567">
        <v>510542756</v>
      </c>
      <c r="C154" s="494">
        <v>1000544687</v>
      </c>
      <c r="D154" s="569">
        <v>40000257</v>
      </c>
      <c r="E154" s="46">
        <v>20000</v>
      </c>
      <c r="F154" s="101">
        <v>40000</v>
      </c>
      <c r="G154" s="284">
        <v>25000</v>
      </c>
      <c r="H154" s="284">
        <v>40000</v>
      </c>
      <c r="I154" s="119">
        <v>30737</v>
      </c>
      <c r="J154" s="46">
        <v>35693</v>
      </c>
      <c r="K154" s="46">
        <f t="shared" si="5"/>
        <v>35693</v>
      </c>
      <c r="L154" s="59">
        <v>0</v>
      </c>
      <c r="M154" s="77"/>
      <c r="N154" s="121"/>
      <c r="O154" s="288">
        <f>MATCH(B154,'42-02-31 תרבות בקהילה'!$B$5:$B$120,0)</f>
        <v>20</v>
      </c>
      <c r="P154" s="288" t="e">
        <f>MATCH(B154,'42-02-31 תרבות בקהילה'!$B$122:$B$190,0)</f>
        <v>#N/A</v>
      </c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</row>
    <row r="155" spans="1:101" s="62" customFormat="1" ht="35.1" customHeight="1" x14ac:dyDescent="0.2">
      <c r="A155" s="487" t="s">
        <v>1759</v>
      </c>
      <c r="B155" s="318">
        <v>510542756</v>
      </c>
      <c r="C155" s="494">
        <v>1000544766</v>
      </c>
      <c r="D155" s="319">
        <v>40000257</v>
      </c>
      <c r="E155" s="46">
        <v>0</v>
      </c>
      <c r="F155" s="46">
        <v>20000</v>
      </c>
      <c r="G155" s="284">
        <v>20000</v>
      </c>
      <c r="H155" s="284">
        <v>20000</v>
      </c>
      <c r="I155" s="119">
        <v>24590</v>
      </c>
      <c r="J155" s="46">
        <v>28555</v>
      </c>
      <c r="K155" s="46">
        <f t="shared" si="5"/>
        <v>28555</v>
      </c>
      <c r="L155" s="59">
        <v>0</v>
      </c>
      <c r="M155" s="77"/>
      <c r="N155" s="121"/>
      <c r="O155" s="288">
        <f>MATCH(B155,'42-02-31 תרבות בקהילה'!$B$5:$B$120,0)</f>
        <v>20</v>
      </c>
      <c r="P155" s="288" t="e">
        <f>MATCH(B155,'42-02-31 תרבות בקהילה'!$B$122:$B$190,0)</f>
        <v>#N/A</v>
      </c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1"/>
      <c r="BR155" s="121"/>
      <c r="BS155" s="121"/>
      <c r="BT155" s="121"/>
      <c r="BU155" s="121"/>
      <c r="BV155" s="121"/>
      <c r="BW155" s="121"/>
      <c r="BX155" s="121"/>
      <c r="BY155" s="121"/>
      <c r="BZ155" s="121"/>
      <c r="CA155" s="121"/>
      <c r="CB155" s="121"/>
      <c r="CC155" s="121"/>
      <c r="CD155" s="121"/>
      <c r="CE155" s="121"/>
      <c r="CF155" s="121"/>
      <c r="CG155" s="121"/>
      <c r="CH155" s="121"/>
      <c r="CI155" s="121"/>
      <c r="CJ155" s="121"/>
      <c r="CK155" s="121"/>
      <c r="CL155" s="121"/>
      <c r="CM155" s="121"/>
      <c r="CN155" s="121"/>
      <c r="CO155" s="121"/>
      <c r="CP155" s="121"/>
      <c r="CQ155" s="121"/>
    </row>
    <row r="156" spans="1:101" s="62" customFormat="1" ht="35.1" customHeight="1" x14ac:dyDescent="0.2">
      <c r="A156" s="487" t="s">
        <v>1760</v>
      </c>
      <c r="B156" s="318">
        <v>510542756</v>
      </c>
      <c r="C156" s="494">
        <v>1000544697</v>
      </c>
      <c r="D156" s="319">
        <v>40000257</v>
      </c>
      <c r="E156" s="46">
        <v>40000</v>
      </c>
      <c r="F156" s="46">
        <v>40000</v>
      </c>
      <c r="G156" s="284">
        <v>40000</v>
      </c>
      <c r="H156" s="297">
        <v>40000</v>
      </c>
      <c r="I156" s="119">
        <v>49179</v>
      </c>
      <c r="J156" s="46">
        <v>57110</v>
      </c>
      <c r="K156" s="46">
        <f t="shared" si="5"/>
        <v>57110</v>
      </c>
      <c r="L156" s="59">
        <v>0</v>
      </c>
      <c r="M156" s="77"/>
      <c r="N156" s="121"/>
      <c r="O156" s="288">
        <f>MATCH(B156,'42-02-31 תרבות בקהילה'!$B$5:$B$120,0)</f>
        <v>20</v>
      </c>
      <c r="P156" s="288" t="e">
        <f>MATCH(B156,'42-02-31 תרבות בקהילה'!$B$122:$B$190,0)</f>
        <v>#N/A</v>
      </c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</row>
    <row r="157" spans="1:101" s="62" customFormat="1" ht="35.1" customHeight="1" x14ac:dyDescent="0.2">
      <c r="A157" s="487" t="s">
        <v>1761</v>
      </c>
      <c r="B157" s="318">
        <v>510542756</v>
      </c>
      <c r="C157" s="494">
        <v>1000544770</v>
      </c>
      <c r="D157" s="319">
        <v>40000257</v>
      </c>
      <c r="E157" s="46">
        <v>25000</v>
      </c>
      <c r="F157" s="46">
        <v>30000</v>
      </c>
      <c r="G157" s="284">
        <v>30000</v>
      </c>
      <c r="H157" s="297">
        <v>30000</v>
      </c>
      <c r="I157" s="119">
        <v>36885</v>
      </c>
      <c r="J157" s="46">
        <v>42832</v>
      </c>
      <c r="K157" s="46">
        <f t="shared" si="5"/>
        <v>42832</v>
      </c>
      <c r="L157" s="59">
        <v>0</v>
      </c>
      <c r="M157" s="77"/>
      <c r="N157" s="121"/>
      <c r="O157" s="288">
        <f>MATCH(B157,'42-02-31 תרבות בקהילה'!$B$5:$B$120,0)</f>
        <v>20</v>
      </c>
      <c r="P157" s="288" t="e">
        <f>MATCH(B157,'42-02-31 תרבות בקהילה'!$B$122:$B$190,0)</f>
        <v>#N/A</v>
      </c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</row>
    <row r="158" spans="1:101" s="62" customFormat="1" ht="35.1" customHeight="1" x14ac:dyDescent="0.2">
      <c r="A158" s="72" t="s">
        <v>1762</v>
      </c>
      <c r="B158" s="53">
        <v>580034924</v>
      </c>
      <c r="C158" s="49">
        <v>1000543387</v>
      </c>
      <c r="D158" s="48">
        <v>40000376</v>
      </c>
      <c r="E158" s="46">
        <v>0</v>
      </c>
      <c r="F158" s="101">
        <v>0</v>
      </c>
      <c r="G158" s="284">
        <v>20000</v>
      </c>
      <c r="H158" s="297">
        <v>20000</v>
      </c>
      <c r="I158" s="119">
        <v>24590</v>
      </c>
      <c r="J158" s="46">
        <v>28555</v>
      </c>
      <c r="K158" s="46">
        <f t="shared" si="5"/>
        <v>28555</v>
      </c>
      <c r="L158" s="59">
        <v>0</v>
      </c>
      <c r="M158" s="77"/>
      <c r="N158" s="121"/>
      <c r="O158" s="288">
        <f>MATCH(B158,'42-02-31 תרבות בקהילה'!$B$5:$B$120,0)</f>
        <v>32</v>
      </c>
      <c r="P158" s="288" t="e">
        <f>MATCH(B158,'42-02-31 תרבות בקהילה'!$B$122:$B$190,0)</f>
        <v>#N/A</v>
      </c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</row>
    <row r="159" spans="1:101" s="62" customFormat="1" ht="35.1" customHeight="1" x14ac:dyDescent="0.2">
      <c r="A159" s="55" t="s">
        <v>1763</v>
      </c>
      <c r="B159" s="50">
        <v>500225602</v>
      </c>
      <c r="C159" s="49">
        <v>1000539000</v>
      </c>
      <c r="D159" s="48">
        <v>20000144</v>
      </c>
      <c r="E159" s="46">
        <v>25000</v>
      </c>
      <c r="F159" s="46">
        <v>35000</v>
      </c>
      <c r="G159" s="284">
        <v>35000</v>
      </c>
      <c r="H159" s="284">
        <v>35000</v>
      </c>
      <c r="I159" s="119">
        <v>43032</v>
      </c>
      <c r="J159" s="46">
        <v>49971</v>
      </c>
      <c r="K159" s="46">
        <f t="shared" si="5"/>
        <v>49971</v>
      </c>
      <c r="L159" s="59">
        <v>0</v>
      </c>
      <c r="M159" s="578"/>
      <c r="N159" s="121"/>
      <c r="O159" s="288" t="e">
        <f>MATCH(B159,'42-02-31 תרבות בקהילה'!$B$5:$B$120,0)</f>
        <v>#N/A</v>
      </c>
      <c r="P159" s="288">
        <f>MATCH(B159,'42-02-31 תרבות בקהילה'!$B$122:$B$190,0)</f>
        <v>21</v>
      </c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  <c r="CD159" s="121"/>
      <c r="CE159" s="121"/>
      <c r="CF159" s="121"/>
      <c r="CG159" s="121"/>
      <c r="CH159" s="121"/>
      <c r="CI159" s="121"/>
      <c r="CJ159" s="121"/>
      <c r="CK159" s="121"/>
      <c r="CL159" s="121"/>
      <c r="CM159" s="121"/>
      <c r="CN159" s="121"/>
      <c r="CO159" s="121"/>
      <c r="CP159" s="121"/>
      <c r="CQ159" s="121"/>
    </row>
    <row r="160" spans="1:101" s="62" customFormat="1" ht="35.1" customHeight="1" x14ac:dyDescent="0.2">
      <c r="A160" s="55" t="s">
        <v>1764</v>
      </c>
      <c r="B160" s="50">
        <v>500225602</v>
      </c>
      <c r="C160" s="49">
        <v>1000539032</v>
      </c>
      <c r="D160" s="48">
        <v>20000144</v>
      </c>
      <c r="E160" s="46">
        <v>25000</v>
      </c>
      <c r="F160" s="46">
        <v>30000</v>
      </c>
      <c r="G160" s="284">
        <v>30000</v>
      </c>
      <c r="H160" s="284">
        <v>30000</v>
      </c>
      <c r="I160" s="119">
        <v>36885</v>
      </c>
      <c r="J160" s="46">
        <v>42832</v>
      </c>
      <c r="K160" s="46">
        <f t="shared" si="5"/>
        <v>42832</v>
      </c>
      <c r="L160" s="59">
        <v>0</v>
      </c>
      <c r="M160" s="578"/>
      <c r="N160" s="121"/>
      <c r="O160" s="288" t="e">
        <f>MATCH(B160,'42-02-31 תרבות בקהילה'!$B$5:$B$120,0)</f>
        <v>#N/A</v>
      </c>
      <c r="P160" s="288">
        <f>MATCH(B160,'42-02-31 תרבות בקהילה'!$B$122:$B$190,0)</f>
        <v>21</v>
      </c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</row>
    <row r="161" spans="1:95" s="62" customFormat="1" ht="35.1" customHeight="1" x14ac:dyDescent="0.2">
      <c r="A161" s="55" t="s">
        <v>1765</v>
      </c>
      <c r="B161" s="50">
        <v>500225602</v>
      </c>
      <c r="C161" s="49">
        <v>1000539030</v>
      </c>
      <c r="D161" s="48">
        <v>20000144</v>
      </c>
      <c r="E161" s="46">
        <v>0</v>
      </c>
      <c r="F161" s="46">
        <v>0</v>
      </c>
      <c r="G161" s="284">
        <v>20000</v>
      </c>
      <c r="H161" s="284">
        <v>20000</v>
      </c>
      <c r="I161" s="119">
        <v>24590</v>
      </c>
      <c r="J161" s="46">
        <v>28555</v>
      </c>
      <c r="K161" s="46">
        <f t="shared" si="5"/>
        <v>28555</v>
      </c>
      <c r="L161" s="59">
        <v>0</v>
      </c>
      <c r="M161" s="578"/>
      <c r="N161" s="121"/>
      <c r="O161" s="288" t="e">
        <f>MATCH(B161,'42-02-31 תרבות בקהילה'!$B$5:$B$120,0)</f>
        <v>#N/A</v>
      </c>
      <c r="P161" s="288">
        <f>MATCH(B161,'42-02-31 תרבות בקהילה'!$B$122:$B$190,0)</f>
        <v>21</v>
      </c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</row>
    <row r="162" spans="1:95" s="62" customFormat="1" ht="35.1" customHeight="1" x14ac:dyDescent="0.2">
      <c r="A162" s="487" t="s">
        <v>1766</v>
      </c>
      <c r="B162" s="318">
        <v>580017077</v>
      </c>
      <c r="C162" s="494">
        <v>1000553966</v>
      </c>
      <c r="D162" s="319">
        <v>40002829</v>
      </c>
      <c r="E162" s="46">
        <v>0</v>
      </c>
      <c r="F162" s="46">
        <v>0</v>
      </c>
      <c r="G162" s="284">
        <v>25000</v>
      </c>
      <c r="H162" s="297">
        <v>40000</v>
      </c>
      <c r="I162" s="119">
        <v>30737</v>
      </c>
      <c r="J162" s="46">
        <v>35693</v>
      </c>
      <c r="K162" s="46">
        <f t="shared" si="5"/>
        <v>35693</v>
      </c>
      <c r="L162" s="59">
        <v>0</v>
      </c>
      <c r="M162" s="77"/>
      <c r="N162" s="121"/>
      <c r="O162" s="288">
        <f>MATCH(B162,'42-02-31 תרבות בקהילה'!$B$5:$B$120,0)</f>
        <v>58</v>
      </c>
      <c r="P162" s="288" t="e">
        <f>MATCH(B162,'42-02-31 תרבות בקהילה'!$B$122:$B$190,0)</f>
        <v>#N/A</v>
      </c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</row>
    <row r="163" spans="1:95" s="62" customFormat="1" ht="35.1" customHeight="1" x14ac:dyDescent="0.2">
      <c r="A163" s="487" t="s">
        <v>1767</v>
      </c>
      <c r="B163" s="318">
        <v>580017077</v>
      </c>
      <c r="C163" s="494">
        <v>1000554010</v>
      </c>
      <c r="D163" s="319">
        <v>40002829</v>
      </c>
      <c r="E163" s="46"/>
      <c r="F163" s="46"/>
      <c r="G163" s="284"/>
      <c r="H163" s="297"/>
      <c r="I163" s="119">
        <v>0</v>
      </c>
      <c r="J163" s="46">
        <v>28555</v>
      </c>
      <c r="K163" s="46">
        <f t="shared" si="5"/>
        <v>28555</v>
      </c>
      <c r="L163" s="59">
        <v>0</v>
      </c>
      <c r="M163" s="77"/>
      <c r="N163" s="121"/>
      <c r="O163" s="288">
        <f>MATCH(B163,'42-02-31 תרבות בקהילה'!$B$5:$B$120,0)</f>
        <v>58</v>
      </c>
      <c r="P163" s="288" t="e">
        <f>MATCH(B163,'42-02-31 תרבות בקהילה'!$B$122:$B$190,0)</f>
        <v>#N/A</v>
      </c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1"/>
      <c r="BR163" s="121"/>
      <c r="BS163" s="121"/>
      <c r="BT163" s="121"/>
      <c r="BU163" s="121"/>
      <c r="BV163" s="121"/>
      <c r="BW163" s="121"/>
      <c r="BX163" s="121"/>
      <c r="BY163" s="121"/>
      <c r="BZ163" s="121"/>
      <c r="CA163" s="121"/>
      <c r="CB163" s="121"/>
      <c r="CC163" s="121"/>
      <c r="CD163" s="121"/>
      <c r="CE163" s="121"/>
      <c r="CF163" s="121"/>
      <c r="CG163" s="121"/>
      <c r="CH163" s="121"/>
      <c r="CI163" s="121"/>
      <c r="CJ163" s="121"/>
      <c r="CK163" s="121"/>
      <c r="CL163" s="121"/>
      <c r="CM163" s="121"/>
      <c r="CN163" s="121"/>
      <c r="CO163" s="121"/>
      <c r="CP163" s="121"/>
      <c r="CQ163" s="121"/>
    </row>
    <row r="164" spans="1:95" s="62" customFormat="1" ht="35.1" customHeight="1" x14ac:dyDescent="0.2">
      <c r="A164" s="487" t="s">
        <v>1768</v>
      </c>
      <c r="B164" s="318">
        <v>500291000</v>
      </c>
      <c r="C164" s="494">
        <v>1000540216</v>
      </c>
      <c r="D164" s="319">
        <v>20000255</v>
      </c>
      <c r="E164" s="46">
        <v>20000</v>
      </c>
      <c r="F164" s="101">
        <v>35000</v>
      </c>
      <c r="G164" s="284">
        <v>20000</v>
      </c>
      <c r="H164" s="284">
        <v>35000</v>
      </c>
      <c r="I164" s="119">
        <v>20000</v>
      </c>
      <c r="J164" s="46">
        <v>28555</v>
      </c>
      <c r="K164" s="46">
        <f t="shared" ref="K164:K223" si="6">J164*100%</f>
        <v>28555</v>
      </c>
      <c r="L164" s="59">
        <v>0</v>
      </c>
      <c r="M164" s="77"/>
      <c r="N164" s="121"/>
      <c r="O164" s="288" t="e">
        <f>MATCH(B164,'42-02-31 תרבות בקהילה'!$B$5:$B$120,0)</f>
        <v>#N/A</v>
      </c>
      <c r="P164" s="288">
        <f>MATCH(B164,'42-02-31 תרבות בקהילה'!$B$122:$B$190,0)</f>
        <v>20</v>
      </c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</row>
    <row r="165" spans="1:95" s="62" customFormat="1" ht="35.1" customHeight="1" x14ac:dyDescent="0.2">
      <c r="A165" s="487" t="s">
        <v>1769</v>
      </c>
      <c r="B165" s="564">
        <v>500262548</v>
      </c>
      <c r="C165" s="494">
        <v>1000552036</v>
      </c>
      <c r="D165" s="319">
        <v>20000220</v>
      </c>
      <c r="E165" s="46">
        <v>0</v>
      </c>
      <c r="F165" s="46">
        <v>0</v>
      </c>
      <c r="G165" s="284">
        <v>0</v>
      </c>
      <c r="H165" s="297">
        <v>20000</v>
      </c>
      <c r="I165" s="119">
        <v>24590</v>
      </c>
      <c r="J165" s="46">
        <v>28555</v>
      </c>
      <c r="K165" s="46">
        <f t="shared" si="6"/>
        <v>28555</v>
      </c>
      <c r="L165" s="59">
        <v>0</v>
      </c>
      <c r="M165" s="77"/>
      <c r="N165" s="121"/>
      <c r="O165" s="288" t="e">
        <f>MATCH(B165,'42-02-31 תרבות בקהילה'!$B$5:$B$120,0)</f>
        <v>#N/A</v>
      </c>
      <c r="P165" s="288">
        <f>MATCH(B165,'42-02-31 תרבות בקהילה'!$B$122:$B$190,0)</f>
        <v>42</v>
      </c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</row>
    <row r="166" spans="1:95" s="62" customFormat="1" ht="35.1" customHeight="1" x14ac:dyDescent="0.2">
      <c r="A166" s="317" t="s">
        <v>1500</v>
      </c>
      <c r="B166" s="318">
        <v>580333896</v>
      </c>
      <c r="C166" s="494">
        <v>1000546441</v>
      </c>
      <c r="D166" s="319">
        <v>40221544</v>
      </c>
      <c r="E166" s="46">
        <v>20000</v>
      </c>
      <c r="F166" s="46">
        <v>15453</v>
      </c>
      <c r="G166" s="284">
        <v>20000</v>
      </c>
      <c r="H166" s="297">
        <v>30000</v>
      </c>
      <c r="I166" s="119">
        <v>24590</v>
      </c>
      <c r="J166" s="46">
        <v>30982</v>
      </c>
      <c r="K166" s="46">
        <f t="shared" si="6"/>
        <v>30982</v>
      </c>
      <c r="L166" s="59">
        <v>0</v>
      </c>
      <c r="M166" s="77"/>
      <c r="N166" s="121"/>
      <c r="O166" s="288">
        <f>MATCH(B166,'42-02-31 תרבות בקהילה'!$B$5:$B$120,0)</f>
        <v>50</v>
      </c>
      <c r="P166" s="288" t="e">
        <f>MATCH(B166,'42-02-31 תרבות בקהילה'!$B$122:$B$190,0)</f>
        <v>#N/A</v>
      </c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  <c r="CD166" s="121"/>
      <c r="CE166" s="121"/>
      <c r="CF166" s="121"/>
      <c r="CG166" s="121"/>
      <c r="CH166" s="121"/>
      <c r="CI166" s="121"/>
      <c r="CJ166" s="121"/>
      <c r="CK166" s="121"/>
      <c r="CL166" s="121"/>
      <c r="CM166" s="121"/>
      <c r="CN166" s="121"/>
      <c r="CO166" s="121"/>
      <c r="CP166" s="121"/>
      <c r="CQ166" s="121"/>
    </row>
    <row r="167" spans="1:95" s="62" customFormat="1" ht="35.1" customHeight="1" x14ac:dyDescent="0.2">
      <c r="A167" s="487" t="s">
        <v>1770</v>
      </c>
      <c r="B167" s="318">
        <v>510550759</v>
      </c>
      <c r="C167" s="494">
        <v>1000542603</v>
      </c>
      <c r="D167" s="319">
        <v>40000260</v>
      </c>
      <c r="E167" s="46">
        <v>0</v>
      </c>
      <c r="F167" s="46">
        <v>25000</v>
      </c>
      <c r="G167" s="284">
        <v>25000</v>
      </c>
      <c r="H167" s="284">
        <v>25000</v>
      </c>
      <c r="I167" s="119">
        <v>30000</v>
      </c>
      <c r="J167" s="46">
        <v>38728</v>
      </c>
      <c r="K167" s="46">
        <f t="shared" si="6"/>
        <v>38728</v>
      </c>
      <c r="L167" s="59">
        <v>0</v>
      </c>
      <c r="M167" s="566"/>
      <c r="N167" s="121"/>
      <c r="O167" s="288">
        <f>MATCH(B167,'42-02-31 תרבות בקהילה'!$B$5:$B$120,0)</f>
        <v>2</v>
      </c>
      <c r="P167" s="288" t="e">
        <f>MATCH(B167,'42-02-31 תרבות בקהילה'!$B$122:$B$190,0)</f>
        <v>#N/A</v>
      </c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</row>
    <row r="168" spans="1:95" s="62" customFormat="1" ht="35.1" customHeight="1" x14ac:dyDescent="0.2">
      <c r="A168" s="487" t="s">
        <v>1771</v>
      </c>
      <c r="B168" s="318">
        <v>510550759</v>
      </c>
      <c r="C168" s="494">
        <v>1000542620</v>
      </c>
      <c r="D168" s="319">
        <v>40000260</v>
      </c>
      <c r="E168" s="46">
        <v>30000</v>
      </c>
      <c r="F168" s="101">
        <v>50000</v>
      </c>
      <c r="G168" s="284">
        <v>40000</v>
      </c>
      <c r="H168" s="284">
        <v>40000</v>
      </c>
      <c r="I168" s="119">
        <v>30000</v>
      </c>
      <c r="J168" s="46">
        <v>46474</v>
      </c>
      <c r="K168" s="46">
        <f t="shared" si="6"/>
        <v>46474</v>
      </c>
      <c r="L168" s="59">
        <v>0</v>
      </c>
      <c r="M168" s="566"/>
      <c r="N168" s="121"/>
      <c r="O168" s="288">
        <f>MATCH(B168,'42-02-31 תרבות בקהילה'!$B$5:$B$120,0)</f>
        <v>2</v>
      </c>
      <c r="P168" s="288" t="e">
        <f>MATCH(B168,'42-02-31 תרבות בקהילה'!$B$122:$B$190,0)</f>
        <v>#N/A</v>
      </c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</row>
    <row r="169" spans="1:95" s="62" customFormat="1" ht="35.1" customHeight="1" x14ac:dyDescent="0.2">
      <c r="A169" s="487" t="s">
        <v>1772</v>
      </c>
      <c r="B169" s="318">
        <v>510550759</v>
      </c>
      <c r="C169" s="494">
        <v>1000542621</v>
      </c>
      <c r="D169" s="319">
        <v>40000260</v>
      </c>
      <c r="E169" s="46">
        <v>30000</v>
      </c>
      <c r="F169" s="46">
        <v>30000</v>
      </c>
      <c r="G169" s="284">
        <v>30000</v>
      </c>
      <c r="H169" s="284">
        <v>30000</v>
      </c>
      <c r="I169" s="119">
        <v>36885</v>
      </c>
      <c r="J169" s="46">
        <v>46474</v>
      </c>
      <c r="K169" s="46">
        <f t="shared" si="6"/>
        <v>46474</v>
      </c>
      <c r="L169" s="59">
        <v>0</v>
      </c>
      <c r="M169" s="77"/>
      <c r="N169" s="121"/>
      <c r="O169" s="288">
        <f>MATCH(B169,'42-02-31 תרבות בקהילה'!$B$5:$B$120,0)</f>
        <v>2</v>
      </c>
      <c r="P169" s="288" t="e">
        <f>MATCH(B169,'42-02-31 תרבות בקהילה'!$B$122:$B$190,0)</f>
        <v>#N/A</v>
      </c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  <c r="BI169" s="121"/>
      <c r="BJ169" s="121"/>
      <c r="BK169" s="121"/>
      <c r="BL169" s="121"/>
      <c r="BM169" s="121"/>
      <c r="BN169" s="121"/>
      <c r="BO169" s="121"/>
      <c r="BP169" s="121"/>
      <c r="BQ169" s="121"/>
      <c r="BR169" s="121"/>
      <c r="BS169" s="121"/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</row>
    <row r="170" spans="1:95" s="62" customFormat="1" ht="35.1" customHeight="1" x14ac:dyDescent="0.2">
      <c r="A170" s="487" t="s">
        <v>1773</v>
      </c>
      <c r="B170" s="318">
        <v>500226105</v>
      </c>
      <c r="C170" s="494">
        <v>1000553938</v>
      </c>
      <c r="D170" s="319">
        <v>20000148</v>
      </c>
      <c r="E170" s="46">
        <v>40000</v>
      </c>
      <c r="F170" s="101">
        <v>0</v>
      </c>
      <c r="G170" s="284">
        <v>25000</v>
      </c>
      <c r="H170" s="297">
        <v>25000</v>
      </c>
      <c r="I170" s="119">
        <v>30737</v>
      </c>
      <c r="J170" s="46">
        <v>35693</v>
      </c>
      <c r="K170" s="46">
        <f t="shared" si="6"/>
        <v>35693</v>
      </c>
      <c r="L170" s="59">
        <v>0</v>
      </c>
      <c r="M170" s="566"/>
      <c r="N170" s="121"/>
      <c r="O170" s="288" t="e">
        <f>MATCH(B170,'42-02-31 תרבות בקהילה'!$B$5:$B$120,0)</f>
        <v>#N/A</v>
      </c>
      <c r="P170" s="288">
        <f>MATCH(B170,'42-02-31 תרבות בקהילה'!$B$122:$B$190,0)</f>
        <v>12</v>
      </c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1"/>
      <c r="BA170" s="121"/>
      <c r="BB170" s="121"/>
      <c r="BC170" s="121"/>
      <c r="BD170" s="121"/>
      <c r="BE170" s="121"/>
      <c r="BF170" s="121"/>
      <c r="BG170" s="121"/>
      <c r="BH170" s="121"/>
      <c r="BI170" s="121"/>
      <c r="BJ170" s="121"/>
      <c r="BK170" s="121"/>
      <c r="BL170" s="121"/>
      <c r="BM170" s="121"/>
      <c r="BN170" s="121"/>
      <c r="BO170" s="121"/>
      <c r="BP170" s="121"/>
      <c r="BQ170" s="121"/>
      <c r="BR170" s="121"/>
      <c r="BS170" s="121"/>
      <c r="BT170" s="121"/>
      <c r="BU170" s="121"/>
      <c r="BV170" s="121"/>
      <c r="BW170" s="121"/>
      <c r="BX170" s="121"/>
      <c r="BY170" s="121"/>
      <c r="BZ170" s="121"/>
      <c r="CA170" s="121"/>
      <c r="CB170" s="121"/>
      <c r="CC170" s="121"/>
      <c r="CD170" s="121"/>
      <c r="CE170" s="121"/>
      <c r="CF170" s="121"/>
      <c r="CG170" s="121"/>
      <c r="CH170" s="121"/>
      <c r="CI170" s="121"/>
      <c r="CJ170" s="121"/>
      <c r="CK170" s="121"/>
      <c r="CL170" s="121"/>
      <c r="CM170" s="121"/>
      <c r="CN170" s="121"/>
      <c r="CO170" s="121"/>
      <c r="CP170" s="121"/>
      <c r="CQ170" s="121"/>
    </row>
    <row r="171" spans="1:95" s="62" customFormat="1" ht="35.1" customHeight="1" x14ac:dyDescent="0.2">
      <c r="A171" s="487" t="s">
        <v>1774</v>
      </c>
      <c r="B171" s="318">
        <v>500296009</v>
      </c>
      <c r="C171" s="494">
        <v>1000542330</v>
      </c>
      <c r="D171" s="319">
        <v>20000260</v>
      </c>
      <c r="E171" s="46">
        <v>25000</v>
      </c>
      <c r="F171" s="46">
        <v>30000</v>
      </c>
      <c r="G171" s="284">
        <v>30000</v>
      </c>
      <c r="H171" s="119">
        <v>30000</v>
      </c>
      <c r="I171" s="119">
        <v>36885</v>
      </c>
      <c r="J171" s="46">
        <v>42832</v>
      </c>
      <c r="K171" s="46">
        <f t="shared" si="6"/>
        <v>42832</v>
      </c>
      <c r="L171" s="59">
        <v>0</v>
      </c>
      <c r="M171" s="77"/>
      <c r="N171" s="121"/>
      <c r="O171" s="288" t="e">
        <f>MATCH(B171,'42-02-31 תרבות בקהילה'!$B$5:$B$120,0)</f>
        <v>#N/A</v>
      </c>
      <c r="P171" s="288">
        <f>MATCH(B171,'42-02-31 תרבות בקהילה'!$B$122:$B$190,0)</f>
        <v>15</v>
      </c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1"/>
      <c r="BA171" s="121"/>
      <c r="BB171" s="121"/>
      <c r="BC171" s="121"/>
      <c r="BD171" s="121"/>
      <c r="BE171" s="121"/>
      <c r="BF171" s="121"/>
      <c r="BG171" s="121"/>
      <c r="BH171" s="121"/>
      <c r="BI171" s="121"/>
      <c r="BJ171" s="121"/>
      <c r="BK171" s="121"/>
      <c r="BL171" s="121"/>
      <c r="BM171" s="121"/>
      <c r="BN171" s="121"/>
      <c r="BO171" s="121"/>
      <c r="BP171" s="121"/>
      <c r="BQ171" s="121"/>
      <c r="BR171" s="121"/>
      <c r="BS171" s="121"/>
      <c r="BT171" s="121"/>
      <c r="BU171" s="121"/>
      <c r="BV171" s="121"/>
      <c r="BW171" s="121"/>
      <c r="BX171" s="121"/>
      <c r="BY171" s="121"/>
      <c r="BZ171" s="121"/>
      <c r="CA171" s="121"/>
      <c r="CB171" s="121"/>
      <c r="CC171" s="121"/>
      <c r="CD171" s="121"/>
      <c r="CE171" s="121"/>
      <c r="CF171" s="121"/>
      <c r="CG171" s="121"/>
      <c r="CH171" s="121"/>
      <c r="CI171" s="121"/>
      <c r="CJ171" s="121"/>
      <c r="CK171" s="121"/>
      <c r="CL171" s="121"/>
      <c r="CM171" s="121"/>
      <c r="CN171" s="121"/>
      <c r="CO171" s="121"/>
      <c r="CP171" s="121"/>
      <c r="CQ171" s="121"/>
    </row>
    <row r="172" spans="1:95" s="62" customFormat="1" ht="35.1" customHeight="1" x14ac:dyDescent="0.2">
      <c r="A172" s="487" t="s">
        <v>1775</v>
      </c>
      <c r="B172" s="318">
        <v>500296009</v>
      </c>
      <c r="C172" s="494">
        <v>1000542144</v>
      </c>
      <c r="D172" s="319">
        <v>20000260</v>
      </c>
      <c r="E172" s="46">
        <v>0</v>
      </c>
      <c r="F172" s="46">
        <v>0</v>
      </c>
      <c r="G172" s="284">
        <v>30000</v>
      </c>
      <c r="H172" s="119">
        <v>30000</v>
      </c>
      <c r="I172" s="119">
        <v>36885</v>
      </c>
      <c r="J172" s="46">
        <v>42000</v>
      </c>
      <c r="K172" s="46">
        <f t="shared" si="6"/>
        <v>42000</v>
      </c>
      <c r="L172" s="59">
        <v>0</v>
      </c>
      <c r="M172" s="77"/>
      <c r="N172" s="121"/>
      <c r="O172" s="288" t="e">
        <f>MATCH(B172,'42-02-31 תרבות בקהילה'!$B$5:$B$120,0)</f>
        <v>#N/A</v>
      </c>
      <c r="P172" s="288">
        <f>MATCH(B172,'42-02-31 תרבות בקהילה'!$B$122:$B$190,0)</f>
        <v>15</v>
      </c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</row>
    <row r="173" spans="1:95" s="62" customFormat="1" ht="35.1" customHeight="1" x14ac:dyDescent="0.2">
      <c r="A173" s="487" t="s">
        <v>1776</v>
      </c>
      <c r="B173" s="318">
        <v>500296009</v>
      </c>
      <c r="C173" s="494">
        <v>1000542301</v>
      </c>
      <c r="D173" s="319">
        <v>20000260</v>
      </c>
      <c r="E173" s="272">
        <v>25000</v>
      </c>
      <c r="F173" s="272">
        <v>25000</v>
      </c>
      <c r="G173" s="284">
        <v>25000</v>
      </c>
      <c r="H173" s="46">
        <v>25000</v>
      </c>
      <c r="I173" s="119">
        <v>30737</v>
      </c>
      <c r="J173" s="46">
        <v>35693</v>
      </c>
      <c r="K173" s="46">
        <f t="shared" si="6"/>
        <v>35693</v>
      </c>
      <c r="L173" s="59">
        <v>0</v>
      </c>
      <c r="M173" s="303"/>
      <c r="N173" s="121"/>
      <c r="O173" s="288" t="e">
        <f>MATCH(B173,'42-02-31 תרבות בקהילה'!$B$5:$B$120,0)</f>
        <v>#N/A</v>
      </c>
      <c r="P173" s="288">
        <f>MATCH(B173,'42-02-31 תרבות בקהילה'!$B$122:$B$190,0)</f>
        <v>15</v>
      </c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  <c r="BZ173" s="121"/>
      <c r="CA173" s="121"/>
      <c r="CB173" s="121"/>
      <c r="CC173" s="121"/>
      <c r="CD173" s="121"/>
      <c r="CE173" s="121"/>
      <c r="CF173" s="121"/>
      <c r="CG173" s="121"/>
      <c r="CH173" s="121"/>
      <c r="CI173" s="121"/>
      <c r="CJ173" s="121"/>
      <c r="CK173" s="121"/>
      <c r="CL173" s="121"/>
      <c r="CM173" s="121"/>
      <c r="CN173" s="121"/>
      <c r="CO173" s="121"/>
      <c r="CP173" s="121"/>
      <c r="CQ173" s="121"/>
    </row>
    <row r="174" spans="1:95" s="62" customFormat="1" ht="35.1" customHeight="1" x14ac:dyDescent="0.2">
      <c r="A174" s="487" t="s">
        <v>1777</v>
      </c>
      <c r="B174" s="564">
        <v>500275755</v>
      </c>
      <c r="C174" s="494">
        <v>1000545808</v>
      </c>
      <c r="D174" s="319">
        <v>20000237</v>
      </c>
      <c r="E174" s="46">
        <v>0</v>
      </c>
      <c r="F174" s="46">
        <v>20000</v>
      </c>
      <c r="G174" s="284">
        <v>20000</v>
      </c>
      <c r="H174" s="284">
        <v>20000</v>
      </c>
      <c r="I174" s="119">
        <v>24590</v>
      </c>
      <c r="J174" s="46">
        <v>28555</v>
      </c>
      <c r="K174" s="46">
        <f t="shared" si="6"/>
        <v>28555</v>
      </c>
      <c r="L174" s="59">
        <v>0</v>
      </c>
      <c r="M174" s="77"/>
      <c r="N174" s="121"/>
      <c r="O174" s="288" t="e">
        <f>MATCH(B174,'42-02-31 תרבות בקהילה'!$B$5:$B$120,0)</f>
        <v>#N/A</v>
      </c>
      <c r="P174" s="288">
        <f>MATCH(B174,'42-02-31 תרבות בקהילה'!$B$122:$B$190,0)</f>
        <v>19</v>
      </c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</row>
    <row r="175" spans="1:95" s="62" customFormat="1" ht="35.1" customHeight="1" x14ac:dyDescent="0.2">
      <c r="A175" s="487" t="s">
        <v>1778</v>
      </c>
      <c r="B175" s="564">
        <v>500275755</v>
      </c>
      <c r="C175" s="494">
        <v>1000545793</v>
      </c>
      <c r="D175" s="319">
        <v>20000237</v>
      </c>
      <c r="E175" s="46">
        <v>0</v>
      </c>
      <c r="F175" s="46">
        <v>10000</v>
      </c>
      <c r="G175" s="284">
        <v>20000</v>
      </c>
      <c r="H175" s="284">
        <v>20000</v>
      </c>
      <c r="I175" s="119">
        <v>24590</v>
      </c>
      <c r="J175" s="46">
        <v>28555</v>
      </c>
      <c r="K175" s="46">
        <f t="shared" si="6"/>
        <v>28555</v>
      </c>
      <c r="L175" s="59">
        <v>0</v>
      </c>
      <c r="M175" s="77"/>
      <c r="N175" s="121"/>
      <c r="O175" s="288" t="e">
        <f>MATCH(B175,'42-02-31 תרבות בקהילה'!$B$5:$B$120,0)</f>
        <v>#N/A</v>
      </c>
      <c r="P175" s="288">
        <f>MATCH(B175,'42-02-31 תרבות בקהילה'!$B$122:$B$190,0)</f>
        <v>19</v>
      </c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  <c r="CD175" s="121"/>
      <c r="CE175" s="121"/>
      <c r="CF175" s="121"/>
      <c r="CG175" s="121"/>
      <c r="CH175" s="121"/>
      <c r="CI175" s="121"/>
      <c r="CJ175" s="121"/>
      <c r="CK175" s="121"/>
      <c r="CL175" s="121"/>
      <c r="CM175" s="121"/>
      <c r="CN175" s="121"/>
      <c r="CO175" s="121"/>
      <c r="CP175" s="121"/>
      <c r="CQ175" s="121"/>
    </row>
    <row r="176" spans="1:95" s="62" customFormat="1" ht="35.1" customHeight="1" x14ac:dyDescent="0.2">
      <c r="A176" s="487" t="s">
        <v>1779</v>
      </c>
      <c r="B176" s="318">
        <v>580099638</v>
      </c>
      <c r="C176" s="494">
        <v>1000538717</v>
      </c>
      <c r="D176" s="319">
        <v>40000133</v>
      </c>
      <c r="E176" s="46">
        <v>500000</v>
      </c>
      <c r="F176" s="101">
        <v>653000</v>
      </c>
      <c r="G176" s="284">
        <v>900000</v>
      </c>
      <c r="H176" s="297">
        <v>900000</v>
      </c>
      <c r="I176" s="119">
        <v>0</v>
      </c>
      <c r="J176" s="46">
        <v>900000</v>
      </c>
      <c r="K176" s="46">
        <f t="shared" si="6"/>
        <v>900000</v>
      </c>
      <c r="L176" s="59">
        <v>0</v>
      </c>
      <c r="M176" s="559"/>
      <c r="N176" s="121"/>
      <c r="O176" s="288">
        <f>MATCH(B176,'42-02-31 תרבות בקהילה'!$B$5:$B$120,0)</f>
        <v>4</v>
      </c>
      <c r="P176" s="288" t="e">
        <f>MATCH(B176,'42-02-31 תרבות בקהילה'!$B$122:$B$190,0)</f>
        <v>#N/A</v>
      </c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  <c r="CD176" s="121"/>
      <c r="CE176" s="121"/>
      <c r="CF176" s="121"/>
      <c r="CG176" s="121"/>
      <c r="CH176" s="121"/>
      <c r="CI176" s="121"/>
      <c r="CJ176" s="121"/>
      <c r="CK176" s="121"/>
      <c r="CL176" s="121"/>
      <c r="CM176" s="121"/>
      <c r="CN176" s="121"/>
      <c r="CO176" s="121"/>
      <c r="CP176" s="121"/>
      <c r="CQ176" s="121"/>
    </row>
    <row r="177" spans="1:97" s="62" customFormat="1" ht="35.1" customHeight="1" x14ac:dyDescent="0.2">
      <c r="A177" s="487" t="s">
        <v>1780</v>
      </c>
      <c r="B177" s="318">
        <v>510545833</v>
      </c>
      <c r="C177" s="494">
        <v>1000550731</v>
      </c>
      <c r="D177" s="319">
        <v>40000259</v>
      </c>
      <c r="E177" s="46">
        <v>30000</v>
      </c>
      <c r="F177" s="46">
        <v>30000</v>
      </c>
      <c r="G177" s="284">
        <v>30000</v>
      </c>
      <c r="H177" s="297">
        <v>30000</v>
      </c>
      <c r="I177" s="119">
        <v>36885</v>
      </c>
      <c r="J177" s="46">
        <v>42832</v>
      </c>
      <c r="K177" s="46">
        <f t="shared" si="6"/>
        <v>42832</v>
      </c>
      <c r="L177" s="59">
        <v>0</v>
      </c>
      <c r="M177" s="77"/>
      <c r="N177" s="121"/>
      <c r="O177" s="288">
        <f>MATCH(B177,'42-02-31 תרבות בקהילה'!$B$5:$B$120,0)</f>
        <v>24</v>
      </c>
      <c r="P177" s="288" t="e">
        <f>MATCH(B177,'42-02-31 תרבות בקהילה'!$B$122:$B$190,0)</f>
        <v>#N/A</v>
      </c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  <c r="BI177" s="121"/>
      <c r="BJ177" s="121"/>
      <c r="BK177" s="121"/>
      <c r="BL177" s="121"/>
      <c r="BM177" s="121"/>
      <c r="BN177" s="121"/>
      <c r="BO177" s="121"/>
      <c r="BP177" s="121"/>
      <c r="BQ177" s="121"/>
      <c r="BR177" s="121"/>
      <c r="BS177" s="121"/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</row>
    <row r="178" spans="1:97" s="62" customFormat="1" ht="35.1" customHeight="1" x14ac:dyDescent="0.2">
      <c r="A178" s="487" t="s">
        <v>1781</v>
      </c>
      <c r="B178" s="318">
        <v>510545833</v>
      </c>
      <c r="C178" s="581">
        <v>1000551020</v>
      </c>
      <c r="D178" s="319">
        <v>40000259</v>
      </c>
      <c r="E178" s="46">
        <v>150000</v>
      </c>
      <c r="F178" s="101">
        <v>175000</v>
      </c>
      <c r="G178" s="284">
        <v>160000</v>
      </c>
      <c r="H178" s="297">
        <v>175000</v>
      </c>
      <c r="I178" s="119">
        <v>160000</v>
      </c>
      <c r="J178" s="46">
        <v>160000</v>
      </c>
      <c r="K178" s="46">
        <f t="shared" si="6"/>
        <v>160000</v>
      </c>
      <c r="L178" s="59">
        <v>0</v>
      </c>
      <c r="M178" s="77"/>
      <c r="N178" s="121"/>
      <c r="O178" s="288">
        <f>MATCH(B178,'42-02-31 תרבות בקהילה'!$B$5:$B$120,0)</f>
        <v>24</v>
      </c>
      <c r="P178" s="288" t="e">
        <f>MATCH(B178,'42-02-31 תרבות בקהילה'!$B$122:$B$190,0)</f>
        <v>#N/A</v>
      </c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1"/>
      <c r="BA178" s="121"/>
      <c r="BB178" s="121"/>
      <c r="BC178" s="121"/>
      <c r="BD178" s="121"/>
      <c r="BE178" s="121"/>
      <c r="BF178" s="121"/>
      <c r="BG178" s="121"/>
      <c r="BH178" s="121"/>
      <c r="BI178" s="121"/>
      <c r="BJ178" s="121"/>
      <c r="BK178" s="121"/>
      <c r="BL178" s="121"/>
      <c r="BM178" s="121"/>
      <c r="BN178" s="121"/>
      <c r="BO178" s="121"/>
      <c r="BP178" s="121"/>
      <c r="BQ178" s="121"/>
      <c r="BR178" s="121"/>
      <c r="BS178" s="121"/>
      <c r="BT178" s="121"/>
      <c r="BU178" s="121"/>
      <c r="BV178" s="121"/>
      <c r="BW178" s="121"/>
      <c r="BX178" s="121"/>
      <c r="BY178" s="121"/>
      <c r="BZ178" s="121"/>
      <c r="CA178" s="121"/>
      <c r="CB178" s="121"/>
      <c r="CC178" s="121"/>
      <c r="CD178" s="121"/>
      <c r="CE178" s="121"/>
      <c r="CF178" s="121"/>
      <c r="CG178" s="121"/>
      <c r="CH178" s="121"/>
      <c r="CI178" s="121"/>
      <c r="CJ178" s="121"/>
      <c r="CK178" s="121"/>
      <c r="CL178" s="121"/>
      <c r="CM178" s="121"/>
      <c r="CN178" s="121"/>
      <c r="CO178" s="121"/>
      <c r="CP178" s="121"/>
      <c r="CQ178" s="121"/>
    </row>
    <row r="179" spans="1:97" s="62" customFormat="1" ht="35.1" customHeight="1" x14ac:dyDescent="0.2">
      <c r="A179" s="487" t="s">
        <v>1782</v>
      </c>
      <c r="B179" s="318">
        <v>510545833</v>
      </c>
      <c r="C179" s="494">
        <v>1000550862</v>
      </c>
      <c r="D179" s="319">
        <v>40000259</v>
      </c>
      <c r="E179" s="46">
        <v>90000</v>
      </c>
      <c r="F179" s="46">
        <v>88210</v>
      </c>
      <c r="G179" s="284">
        <v>90000</v>
      </c>
      <c r="H179" s="297">
        <v>90000</v>
      </c>
      <c r="I179" s="119">
        <v>110000</v>
      </c>
      <c r="J179" s="46">
        <v>111287</v>
      </c>
      <c r="K179" s="46">
        <f t="shared" si="6"/>
        <v>111287</v>
      </c>
      <c r="L179" s="59">
        <v>0</v>
      </c>
      <c r="M179" s="77"/>
      <c r="N179" s="121"/>
      <c r="O179" s="288">
        <f>MATCH(B179,'42-02-31 תרבות בקהילה'!$B$5:$B$120,0)</f>
        <v>24</v>
      </c>
      <c r="P179" s="288" t="e">
        <f>MATCH(B179,'42-02-31 תרבות בקהילה'!$B$122:$B$190,0)</f>
        <v>#N/A</v>
      </c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</row>
    <row r="180" spans="1:97" s="62" customFormat="1" ht="35.1" customHeight="1" x14ac:dyDescent="0.2">
      <c r="A180" s="487" t="s">
        <v>1783</v>
      </c>
      <c r="B180" s="318">
        <v>510545833</v>
      </c>
      <c r="C180" s="494">
        <v>1000550993</v>
      </c>
      <c r="D180" s="319">
        <v>40000259</v>
      </c>
      <c r="E180" s="46">
        <v>25000</v>
      </c>
      <c r="F180" s="46">
        <v>30000</v>
      </c>
      <c r="G180" s="284">
        <v>30000</v>
      </c>
      <c r="H180" s="297">
        <v>30000</v>
      </c>
      <c r="I180" s="119">
        <v>36885</v>
      </c>
      <c r="J180" s="46">
        <v>30000</v>
      </c>
      <c r="K180" s="46">
        <f t="shared" si="6"/>
        <v>30000</v>
      </c>
      <c r="L180" s="59">
        <v>0</v>
      </c>
      <c r="M180" s="77"/>
      <c r="N180" s="121"/>
      <c r="O180" s="288">
        <f>MATCH(B180,'42-02-31 תרבות בקהילה'!$B$5:$B$120,0)</f>
        <v>24</v>
      </c>
      <c r="P180" s="288" t="e">
        <f>MATCH(B180,'42-02-31 תרבות בקהילה'!$B$122:$B$190,0)</f>
        <v>#N/A</v>
      </c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</row>
    <row r="181" spans="1:97" s="62" customFormat="1" ht="35.1" customHeight="1" x14ac:dyDescent="0.2">
      <c r="A181" s="487" t="s">
        <v>1784</v>
      </c>
      <c r="B181" s="318">
        <v>510545833</v>
      </c>
      <c r="C181" s="494">
        <v>1000550891</v>
      </c>
      <c r="D181" s="319">
        <v>40000259</v>
      </c>
      <c r="E181" s="46">
        <v>0</v>
      </c>
      <c r="F181" s="46">
        <v>0</v>
      </c>
      <c r="G181" s="284">
        <v>0</v>
      </c>
      <c r="H181" s="297">
        <v>0</v>
      </c>
      <c r="I181" s="119">
        <v>24590</v>
      </c>
      <c r="J181" s="46">
        <v>28555</v>
      </c>
      <c r="K181" s="46">
        <f t="shared" si="6"/>
        <v>28555</v>
      </c>
      <c r="L181" s="59">
        <v>0</v>
      </c>
      <c r="M181" s="58"/>
      <c r="N181" s="121"/>
      <c r="O181" s="288">
        <f>MATCH(B181,'42-02-31 תרבות בקהילה'!$B$5:$B$120,0)</f>
        <v>24</v>
      </c>
      <c r="P181" s="288" t="e">
        <f>MATCH(B181,'42-02-31 תרבות בקהילה'!$B$122:$B$190,0)</f>
        <v>#N/A</v>
      </c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</row>
    <row r="182" spans="1:97" s="62" customFormat="1" ht="35.1" customHeight="1" x14ac:dyDescent="0.2">
      <c r="A182" s="72" t="s">
        <v>1785</v>
      </c>
      <c r="B182" s="53">
        <v>511854788</v>
      </c>
      <c r="C182" s="49">
        <v>1000552760</v>
      </c>
      <c r="D182" s="48">
        <v>40000036</v>
      </c>
      <c r="E182" s="46">
        <v>0</v>
      </c>
      <c r="F182" s="101">
        <v>0</v>
      </c>
      <c r="G182" s="284">
        <v>0</v>
      </c>
      <c r="H182" s="297">
        <v>19998</v>
      </c>
      <c r="I182" s="119">
        <v>24590</v>
      </c>
      <c r="J182" s="46">
        <v>25000</v>
      </c>
      <c r="K182" s="46">
        <f t="shared" si="6"/>
        <v>25000</v>
      </c>
      <c r="L182" s="59">
        <v>0</v>
      </c>
      <c r="M182" s="77"/>
      <c r="N182" s="121"/>
      <c r="O182" s="288">
        <f>MATCH(B182,'42-02-31 תרבות בקהילה'!$B$5:$B$120,0)</f>
        <v>61</v>
      </c>
      <c r="P182" s="288" t="e">
        <f>MATCH(B182,'42-02-31 תרבות בקהילה'!$B$122:$B$190,0)</f>
        <v>#N/A</v>
      </c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</row>
    <row r="183" spans="1:97" s="62" customFormat="1" ht="35.1" customHeight="1" x14ac:dyDescent="0.2">
      <c r="A183" s="72" t="s">
        <v>1786</v>
      </c>
      <c r="B183" s="582">
        <v>511854788</v>
      </c>
      <c r="C183" s="189">
        <v>1000552709</v>
      </c>
      <c r="D183" s="132">
        <v>40000036</v>
      </c>
      <c r="E183" s="119">
        <v>0</v>
      </c>
      <c r="F183" s="382">
        <v>0</v>
      </c>
      <c r="G183" s="284">
        <v>25000</v>
      </c>
      <c r="H183" s="297">
        <v>25000</v>
      </c>
      <c r="I183" s="119">
        <v>30737</v>
      </c>
      <c r="J183" s="119">
        <v>30737</v>
      </c>
      <c r="K183" s="46">
        <f t="shared" si="6"/>
        <v>30737</v>
      </c>
      <c r="L183" s="59">
        <v>0</v>
      </c>
      <c r="M183" s="478"/>
      <c r="N183" s="121"/>
      <c r="O183" s="288">
        <f>MATCH(B183,'42-02-31 תרבות בקהילה'!$B$5:$B$120,0)</f>
        <v>61</v>
      </c>
      <c r="P183" s="288" t="e">
        <f>MATCH(B183,'42-02-31 תרבות בקהילה'!$B$122:$B$190,0)</f>
        <v>#N/A</v>
      </c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1"/>
      <c r="BA183" s="121"/>
      <c r="BB183" s="121"/>
      <c r="BC183" s="121"/>
      <c r="BD183" s="121"/>
      <c r="BE183" s="121"/>
      <c r="BF183" s="121"/>
      <c r="BG183" s="121"/>
      <c r="BH183" s="121"/>
      <c r="BI183" s="121"/>
      <c r="BJ183" s="121"/>
      <c r="BK183" s="121"/>
      <c r="BL183" s="121"/>
      <c r="BM183" s="121"/>
      <c r="BN183" s="121"/>
      <c r="BO183" s="121"/>
      <c r="BP183" s="121"/>
      <c r="BQ183" s="121"/>
      <c r="BR183" s="121"/>
      <c r="BS183" s="121"/>
      <c r="BT183" s="121"/>
      <c r="BU183" s="121"/>
      <c r="BV183" s="121"/>
      <c r="BW183" s="121"/>
      <c r="BX183" s="121"/>
      <c r="BY183" s="121"/>
      <c r="BZ183" s="121"/>
      <c r="CA183" s="121"/>
      <c r="CB183" s="121"/>
      <c r="CC183" s="121"/>
      <c r="CD183" s="121"/>
      <c r="CE183" s="121"/>
      <c r="CF183" s="121"/>
      <c r="CG183" s="121"/>
      <c r="CH183" s="121"/>
      <c r="CI183" s="121"/>
      <c r="CJ183" s="121"/>
      <c r="CK183" s="121"/>
      <c r="CL183" s="121"/>
      <c r="CM183" s="121"/>
      <c r="CN183" s="121"/>
      <c r="CO183" s="121"/>
      <c r="CP183" s="121"/>
      <c r="CQ183" s="121"/>
    </row>
    <row r="184" spans="1:97" s="62" customFormat="1" ht="35.1" customHeight="1" x14ac:dyDescent="0.2">
      <c r="A184" s="72" t="s">
        <v>1787</v>
      </c>
      <c r="B184" s="582">
        <v>511854788</v>
      </c>
      <c r="C184" s="189">
        <v>1000552737</v>
      </c>
      <c r="D184" s="132">
        <v>40000036</v>
      </c>
      <c r="E184" s="119"/>
      <c r="F184" s="382"/>
      <c r="G184" s="284"/>
      <c r="H184" s="297">
        <v>0</v>
      </c>
      <c r="I184" s="119">
        <v>24590</v>
      </c>
      <c r="J184" s="46">
        <v>24590</v>
      </c>
      <c r="K184" s="46">
        <f t="shared" si="6"/>
        <v>24590</v>
      </c>
      <c r="L184" s="59">
        <v>0</v>
      </c>
      <c r="M184" s="478"/>
      <c r="N184" s="121"/>
      <c r="O184" s="288">
        <f>MATCH(B184,'42-02-31 תרבות בקהילה'!$B$5:$B$120,0)</f>
        <v>61</v>
      </c>
      <c r="P184" s="288" t="e">
        <f>MATCH(B184,'42-02-31 תרבות בקהילה'!$B$122:$B$190,0)</f>
        <v>#N/A</v>
      </c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  <c r="BI184" s="121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</row>
    <row r="185" spans="1:97" s="62" customFormat="1" ht="35.1" customHeight="1" x14ac:dyDescent="0.2">
      <c r="A185" s="487" t="s">
        <v>1788</v>
      </c>
      <c r="B185" s="564">
        <v>580012284</v>
      </c>
      <c r="C185" s="494">
        <v>1000577975</v>
      </c>
      <c r="D185" s="319">
        <v>40000061</v>
      </c>
      <c r="E185" s="46">
        <v>0</v>
      </c>
      <c r="F185" s="46">
        <v>0</v>
      </c>
      <c r="G185" s="46">
        <v>0</v>
      </c>
      <c r="H185" s="119">
        <v>0</v>
      </c>
      <c r="I185" s="119">
        <v>24590</v>
      </c>
      <c r="J185" s="46">
        <v>28555</v>
      </c>
      <c r="K185" s="46">
        <f t="shared" si="6"/>
        <v>28555</v>
      </c>
      <c r="L185" s="59">
        <v>0</v>
      </c>
      <c r="M185" s="77"/>
      <c r="N185" s="121"/>
      <c r="O185" s="288">
        <f>MATCH(B185,'42-02-31 תרבות בקהילה'!$B$5:$B$120,0)</f>
        <v>74</v>
      </c>
      <c r="P185" s="288" t="e">
        <f>MATCH(B185,'42-02-31 תרבות בקהילה'!$B$122:$B$190,0)</f>
        <v>#N/A</v>
      </c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1"/>
      <c r="BA185" s="121"/>
      <c r="BB185" s="121"/>
      <c r="BC185" s="121"/>
      <c r="BD185" s="121"/>
      <c r="BE185" s="121"/>
      <c r="BF185" s="121"/>
      <c r="BG185" s="121"/>
      <c r="BH185" s="121"/>
      <c r="BI185" s="121"/>
      <c r="BJ185" s="121"/>
      <c r="BK185" s="121"/>
      <c r="BL185" s="121"/>
      <c r="BM185" s="121"/>
      <c r="BN185" s="121"/>
      <c r="BO185" s="121"/>
      <c r="BP185" s="121"/>
      <c r="BQ185" s="121"/>
      <c r="BR185" s="121"/>
      <c r="BS185" s="121"/>
      <c r="BT185" s="121"/>
      <c r="BU185" s="121"/>
      <c r="BV185" s="121"/>
      <c r="BW185" s="121"/>
      <c r="BX185" s="121"/>
      <c r="BY185" s="121"/>
      <c r="BZ185" s="121"/>
      <c r="CA185" s="121"/>
      <c r="CB185" s="121"/>
      <c r="CC185" s="121"/>
      <c r="CD185" s="121"/>
      <c r="CE185" s="121"/>
      <c r="CF185" s="121"/>
      <c r="CG185" s="121"/>
      <c r="CH185" s="121"/>
      <c r="CI185" s="121"/>
      <c r="CJ185" s="121"/>
      <c r="CK185" s="121"/>
      <c r="CL185" s="121"/>
      <c r="CM185" s="121"/>
      <c r="CN185" s="121"/>
      <c r="CO185" s="121"/>
      <c r="CP185" s="121"/>
      <c r="CQ185" s="121"/>
    </row>
    <row r="186" spans="1:97" s="62" customFormat="1" ht="35.1" customHeight="1" x14ac:dyDescent="0.2">
      <c r="A186" s="487" t="s">
        <v>1575</v>
      </c>
      <c r="B186" s="564">
        <v>500232459</v>
      </c>
      <c r="C186" s="494">
        <v>1000553325</v>
      </c>
      <c r="D186" s="319">
        <v>20000163</v>
      </c>
      <c r="E186" s="46">
        <v>0</v>
      </c>
      <c r="F186" s="46">
        <v>20000</v>
      </c>
      <c r="G186" s="284">
        <v>20000</v>
      </c>
      <c r="H186" s="297">
        <v>20000</v>
      </c>
      <c r="I186" s="119">
        <v>24590</v>
      </c>
      <c r="J186" s="46">
        <v>28555</v>
      </c>
      <c r="K186" s="46">
        <f t="shared" si="6"/>
        <v>28555</v>
      </c>
      <c r="L186" s="59">
        <v>0</v>
      </c>
      <c r="M186" s="77"/>
      <c r="N186" s="121"/>
      <c r="O186" s="288" t="e">
        <f>MATCH(B186,'42-02-31 תרבות בקהילה'!$B$5:$B$120,0)</f>
        <v>#N/A</v>
      </c>
      <c r="P186" s="288">
        <f>MATCH(B186,'42-02-31 תרבות בקהילה'!$B$122:$B$190,0)</f>
        <v>30</v>
      </c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</row>
    <row r="187" spans="1:97" s="62" customFormat="1" ht="35.1" customHeight="1" x14ac:dyDescent="0.2">
      <c r="A187" s="55" t="s">
        <v>1789</v>
      </c>
      <c r="B187" s="50">
        <v>500223086</v>
      </c>
      <c r="C187" s="49">
        <v>1000546449</v>
      </c>
      <c r="D187" s="48">
        <v>20000135</v>
      </c>
      <c r="E187" s="46">
        <v>0</v>
      </c>
      <c r="F187" s="46">
        <v>25000</v>
      </c>
      <c r="G187" s="284">
        <v>25000</v>
      </c>
      <c r="H187" s="297">
        <v>25000</v>
      </c>
      <c r="I187" s="119">
        <v>25000</v>
      </c>
      <c r="J187" s="46">
        <v>25000</v>
      </c>
      <c r="K187" s="46">
        <f t="shared" si="6"/>
        <v>25000</v>
      </c>
      <c r="L187" s="59">
        <v>0</v>
      </c>
      <c r="M187" s="578"/>
      <c r="N187" s="121"/>
      <c r="O187" s="288" t="e">
        <f>MATCH(B187,'42-02-31 תרבות בקהילה'!$B$5:$B$120,0)</f>
        <v>#N/A</v>
      </c>
      <c r="P187" s="288">
        <f>MATCH(B187,'42-02-31 תרבות בקהילה'!$B$122:$B$190,0)</f>
        <v>22</v>
      </c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  <c r="BI187" s="121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1"/>
      <c r="CM187" s="121"/>
      <c r="CN187" s="121"/>
      <c r="CO187" s="121"/>
      <c r="CP187" s="121"/>
      <c r="CQ187" s="121"/>
    </row>
    <row r="188" spans="1:97" s="62" customFormat="1" ht="35.1" customHeight="1" x14ac:dyDescent="0.2">
      <c r="A188" s="55" t="s">
        <v>1790</v>
      </c>
      <c r="B188" s="50">
        <v>500223086</v>
      </c>
      <c r="C188" s="49">
        <v>1000546509</v>
      </c>
      <c r="D188" s="48">
        <v>20000135</v>
      </c>
      <c r="E188" s="46">
        <v>40000</v>
      </c>
      <c r="F188" s="46">
        <v>30000</v>
      </c>
      <c r="G188" s="284">
        <v>30000</v>
      </c>
      <c r="H188" s="297">
        <v>30000</v>
      </c>
      <c r="I188" s="119">
        <v>30000</v>
      </c>
      <c r="J188" s="46">
        <v>30000</v>
      </c>
      <c r="K188" s="46">
        <f t="shared" si="6"/>
        <v>30000</v>
      </c>
      <c r="L188" s="59">
        <v>0</v>
      </c>
      <c r="M188" s="578"/>
      <c r="N188" s="121"/>
      <c r="O188" s="288" t="e">
        <f>MATCH(B188,'42-02-31 תרבות בקהילה'!$B$5:$B$120,0)</f>
        <v>#N/A</v>
      </c>
      <c r="P188" s="288">
        <f>MATCH(B188,'42-02-31 תרבות בקהילה'!$B$122:$B$190,0)</f>
        <v>22</v>
      </c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</row>
    <row r="189" spans="1:97" s="62" customFormat="1" ht="35.1" customHeight="1" x14ac:dyDescent="0.2">
      <c r="A189" s="487" t="s">
        <v>1577</v>
      </c>
      <c r="B189" s="318">
        <v>500235601</v>
      </c>
      <c r="C189" s="494">
        <v>1000552214</v>
      </c>
      <c r="D189" s="319">
        <v>20000166</v>
      </c>
      <c r="E189" s="46">
        <v>0</v>
      </c>
      <c r="F189" s="46">
        <v>20000</v>
      </c>
      <c r="G189" s="284">
        <v>20000</v>
      </c>
      <c r="H189" s="297">
        <v>20000</v>
      </c>
      <c r="I189" s="119">
        <v>20000</v>
      </c>
      <c r="J189" s="46">
        <v>22000</v>
      </c>
      <c r="K189" s="46">
        <f t="shared" si="6"/>
        <v>22000</v>
      </c>
      <c r="L189" s="59">
        <v>0</v>
      </c>
      <c r="M189" s="565"/>
      <c r="N189" s="121"/>
      <c r="O189" s="288" t="e">
        <f>MATCH(B189,'42-02-31 תרבות בקהילה'!$B$5:$B$120,0)</f>
        <v>#N/A</v>
      </c>
      <c r="P189" s="288">
        <f>MATCH(B189,'42-02-31 תרבות בקהילה'!$B$122:$B$190,0)</f>
        <v>31</v>
      </c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1"/>
      <c r="BI189" s="121"/>
      <c r="BJ189" s="121"/>
      <c r="BK189" s="121"/>
      <c r="BL189" s="121"/>
      <c r="BM189" s="121"/>
      <c r="BN189" s="121"/>
      <c r="BO189" s="121"/>
      <c r="BP189" s="121"/>
      <c r="BQ189" s="121"/>
      <c r="BR189" s="121"/>
      <c r="BS189" s="121"/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1"/>
      <c r="CM189" s="121"/>
      <c r="CN189" s="121"/>
      <c r="CO189" s="121"/>
      <c r="CP189" s="121"/>
      <c r="CQ189" s="121"/>
    </row>
    <row r="190" spans="1:97" s="62" customFormat="1" ht="35.1" customHeight="1" x14ac:dyDescent="0.2">
      <c r="A190" s="487" t="s">
        <v>1791</v>
      </c>
      <c r="B190" s="318">
        <v>580049120</v>
      </c>
      <c r="C190" s="494">
        <v>1000551241</v>
      </c>
      <c r="D190" s="319">
        <v>40002833</v>
      </c>
      <c r="E190" s="46">
        <v>25000</v>
      </c>
      <c r="F190" s="46">
        <v>25000</v>
      </c>
      <c r="G190" s="284">
        <v>22917</v>
      </c>
      <c r="H190" s="284">
        <v>25000</v>
      </c>
      <c r="I190" s="119">
        <v>30737</v>
      </c>
      <c r="J190" s="46">
        <v>35693</v>
      </c>
      <c r="K190" s="46">
        <f t="shared" si="6"/>
        <v>35693</v>
      </c>
      <c r="L190" s="59">
        <v>0</v>
      </c>
      <c r="M190" s="77"/>
      <c r="N190" s="121"/>
      <c r="O190" s="288">
        <f>MATCH(B190,'42-02-31 תרבות בקהילה'!$B$5:$B$120,0)</f>
        <v>35</v>
      </c>
      <c r="P190" s="288" t="e">
        <f>MATCH(B190,'42-02-31 תרבות בקהילה'!$B$122:$B$190,0)</f>
        <v>#N/A</v>
      </c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1"/>
      <c r="BA190" s="121"/>
      <c r="BB190" s="121"/>
      <c r="BC190" s="121"/>
      <c r="BD190" s="121"/>
      <c r="BE190" s="121"/>
      <c r="BF190" s="121"/>
      <c r="BG190" s="121"/>
      <c r="BH190" s="121"/>
      <c r="BI190" s="121"/>
      <c r="BJ190" s="121"/>
      <c r="BK190" s="121"/>
      <c r="BL190" s="121"/>
      <c r="BM190" s="121"/>
      <c r="BN190" s="121"/>
      <c r="BO190" s="121"/>
      <c r="BP190" s="121"/>
      <c r="BQ190" s="121"/>
      <c r="BR190" s="121"/>
      <c r="BS190" s="121"/>
      <c r="BT190" s="121"/>
      <c r="BU190" s="121"/>
      <c r="BV190" s="121"/>
      <c r="BW190" s="121"/>
      <c r="BX190" s="121"/>
      <c r="BY190" s="121"/>
      <c r="BZ190" s="121"/>
      <c r="CA190" s="121"/>
      <c r="CB190" s="121"/>
      <c r="CC190" s="121"/>
      <c r="CD190" s="121"/>
      <c r="CE190" s="121"/>
      <c r="CF190" s="121"/>
      <c r="CG190" s="121"/>
      <c r="CH190" s="121"/>
      <c r="CI190" s="121"/>
      <c r="CJ190" s="121"/>
      <c r="CK190" s="121"/>
      <c r="CL190" s="121"/>
      <c r="CM190" s="121"/>
      <c r="CN190" s="121"/>
      <c r="CO190" s="121"/>
      <c r="CP190" s="121"/>
      <c r="CQ190" s="121"/>
    </row>
    <row r="191" spans="1:97" s="62" customFormat="1" ht="35.1" customHeight="1" x14ac:dyDescent="0.2">
      <c r="A191" s="487" t="s">
        <v>1792</v>
      </c>
      <c r="B191" s="318">
        <v>580049120</v>
      </c>
      <c r="C191" s="494">
        <v>1000551220</v>
      </c>
      <c r="D191" s="319">
        <v>40002833</v>
      </c>
      <c r="E191" s="46">
        <v>0</v>
      </c>
      <c r="F191" s="46">
        <v>20000</v>
      </c>
      <c r="G191" s="284">
        <v>18333</v>
      </c>
      <c r="H191" s="297">
        <v>20000</v>
      </c>
      <c r="I191" s="119">
        <v>24590</v>
      </c>
      <c r="J191" s="46">
        <v>28555</v>
      </c>
      <c r="K191" s="46">
        <f t="shared" si="6"/>
        <v>28555</v>
      </c>
      <c r="L191" s="59">
        <v>0</v>
      </c>
      <c r="M191" s="77"/>
      <c r="N191" s="121"/>
      <c r="O191" s="288">
        <f>MATCH(B191,'42-02-31 תרבות בקהילה'!$B$5:$B$120,0)</f>
        <v>35</v>
      </c>
      <c r="P191" s="288" t="e">
        <f>MATCH(B191,'42-02-31 תרבות בקהילה'!$B$122:$B$190,0)</f>
        <v>#N/A</v>
      </c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1"/>
      <c r="BI191" s="121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1"/>
      <c r="CM191" s="121"/>
      <c r="CN191" s="121"/>
      <c r="CO191" s="121"/>
      <c r="CP191" s="121"/>
      <c r="CQ191" s="121"/>
    </row>
    <row r="192" spans="1:97" s="62" customFormat="1" ht="35.1" customHeight="1" x14ac:dyDescent="0.2">
      <c r="A192" s="487" t="s">
        <v>1793</v>
      </c>
      <c r="B192" s="318">
        <v>580049120</v>
      </c>
      <c r="C192" s="494">
        <v>1000551179</v>
      </c>
      <c r="D192" s="319">
        <v>40002833</v>
      </c>
      <c r="E192" s="46">
        <v>25000</v>
      </c>
      <c r="F192" s="101">
        <v>40000</v>
      </c>
      <c r="G192" s="284">
        <v>27500</v>
      </c>
      <c r="H192" s="297">
        <v>30000</v>
      </c>
      <c r="I192" s="119">
        <v>36885</v>
      </c>
      <c r="J192" s="46">
        <v>42832</v>
      </c>
      <c r="K192" s="46">
        <f t="shared" si="6"/>
        <v>42832</v>
      </c>
      <c r="L192" s="59">
        <v>0</v>
      </c>
      <c r="M192" s="77"/>
      <c r="N192" s="121"/>
      <c r="O192" s="288">
        <f>MATCH(B192,'42-02-31 תרבות בקהילה'!$B$5:$B$120,0)</f>
        <v>35</v>
      </c>
      <c r="P192" s="288" t="e">
        <f>MATCH(B192,'42-02-31 תרבות בקהילה'!$B$122:$B$190,0)</f>
        <v>#N/A</v>
      </c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1"/>
      <c r="CM192" s="121"/>
      <c r="CN192" s="121"/>
      <c r="CO192" s="121"/>
      <c r="CP192" s="121"/>
      <c r="CQ192" s="121"/>
    </row>
    <row r="193" spans="1:95" s="62" customFormat="1" ht="35.1" customHeight="1" x14ac:dyDescent="0.2">
      <c r="A193" s="487" t="s">
        <v>1794</v>
      </c>
      <c r="B193" s="318">
        <v>580049120</v>
      </c>
      <c r="C193" s="494">
        <v>1000551212</v>
      </c>
      <c r="D193" s="319">
        <v>40002833</v>
      </c>
      <c r="E193" s="46">
        <v>0</v>
      </c>
      <c r="F193" s="101">
        <v>55000</v>
      </c>
      <c r="G193" s="284">
        <v>32082</v>
      </c>
      <c r="H193" s="284">
        <v>35000</v>
      </c>
      <c r="I193" s="119">
        <v>43032</v>
      </c>
      <c r="J193" s="46">
        <v>49971</v>
      </c>
      <c r="K193" s="46">
        <f t="shared" si="6"/>
        <v>49971</v>
      </c>
      <c r="L193" s="59">
        <v>0</v>
      </c>
      <c r="M193" s="77"/>
      <c r="N193" s="121"/>
      <c r="O193" s="288">
        <f>MATCH(B193,'42-02-31 תרבות בקהילה'!$B$5:$B$120,0)</f>
        <v>35</v>
      </c>
      <c r="P193" s="288" t="e">
        <f>MATCH(B193,'42-02-31 תרבות בקהילה'!$B$122:$B$190,0)</f>
        <v>#N/A</v>
      </c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</row>
    <row r="194" spans="1:95" s="316" customFormat="1" ht="36" customHeight="1" x14ac:dyDescent="0.2">
      <c r="A194" s="51" t="s">
        <v>1795</v>
      </c>
      <c r="B194" s="50">
        <v>580244747</v>
      </c>
      <c r="C194" s="49">
        <v>1000552734</v>
      </c>
      <c r="D194" s="48">
        <v>40000606</v>
      </c>
      <c r="E194" s="46">
        <v>15000</v>
      </c>
      <c r="F194" s="46">
        <v>0</v>
      </c>
      <c r="G194" s="46">
        <v>0</v>
      </c>
      <c r="H194" s="46">
        <v>20000</v>
      </c>
      <c r="I194" s="46">
        <v>24590</v>
      </c>
      <c r="J194" s="46">
        <v>49662</v>
      </c>
      <c r="K194" s="46">
        <f t="shared" si="6"/>
        <v>49662</v>
      </c>
      <c r="L194" s="59">
        <v>0</v>
      </c>
      <c r="M194" s="58"/>
      <c r="O194" s="288">
        <f>MATCH(B194,'42-02-31 תרבות בקהילה'!$B$5:$B$120,0)</f>
        <v>8</v>
      </c>
      <c r="P194" s="288" t="e">
        <f>MATCH(B194,'42-02-31 תרבות בקהילה'!$B$122:$B$190,0)</f>
        <v>#N/A</v>
      </c>
    </row>
    <row r="195" spans="1:95" s="62" customFormat="1" ht="38.25" customHeight="1" x14ac:dyDescent="0.2">
      <c r="A195" s="487" t="s">
        <v>1796</v>
      </c>
      <c r="B195" s="318">
        <v>510667850</v>
      </c>
      <c r="C195" s="494">
        <v>1000545095</v>
      </c>
      <c r="D195" s="319">
        <v>40002817</v>
      </c>
      <c r="E195" s="46"/>
      <c r="F195" s="101"/>
      <c r="G195" s="284"/>
      <c r="H195" s="297">
        <v>25000</v>
      </c>
      <c r="I195" s="119">
        <v>30737</v>
      </c>
      <c r="J195" s="46">
        <v>50000</v>
      </c>
      <c r="K195" s="46">
        <f t="shared" si="6"/>
        <v>50000</v>
      </c>
      <c r="L195" s="59">
        <v>0</v>
      </c>
      <c r="M195" s="77"/>
      <c r="N195" s="121"/>
      <c r="O195" s="288" t="e">
        <f>MATCH(B195,'42-02-31 תרבות בקהילה'!$B$5:$B$120,0)</f>
        <v>#N/A</v>
      </c>
      <c r="P195" s="288" t="e">
        <f>MATCH(B195,'42-02-31 תרבות בקהילה'!$B$122:$B$190,0)</f>
        <v>#N/A</v>
      </c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</row>
    <row r="196" spans="1:95" s="62" customFormat="1" ht="35.1" customHeight="1" x14ac:dyDescent="0.2">
      <c r="A196" s="487" t="s">
        <v>1797</v>
      </c>
      <c r="B196" s="318">
        <v>580327740</v>
      </c>
      <c r="C196" s="494">
        <v>1000541178</v>
      </c>
      <c r="D196" s="319">
        <v>40221541</v>
      </c>
      <c r="E196" s="46">
        <v>0</v>
      </c>
      <c r="F196" s="101">
        <v>0</v>
      </c>
      <c r="G196" s="284">
        <v>0</v>
      </c>
      <c r="H196" s="297">
        <v>0</v>
      </c>
      <c r="I196" s="119">
        <v>20000</v>
      </c>
      <c r="J196" s="46">
        <v>49662</v>
      </c>
      <c r="K196" s="46">
        <f t="shared" si="6"/>
        <v>49662</v>
      </c>
      <c r="L196" s="59">
        <v>0</v>
      </c>
      <c r="M196" s="77"/>
      <c r="N196" s="121"/>
      <c r="O196" s="288">
        <f>MATCH(B196,'42-02-31 תרבות בקהילה'!$B$5:$B$120,0)</f>
        <v>79</v>
      </c>
      <c r="P196" s="288" t="e">
        <f>MATCH(B196,'42-02-31 תרבות בקהילה'!$B$122:$B$190,0)</f>
        <v>#N/A</v>
      </c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  <c r="BI196" s="121"/>
      <c r="BJ196" s="121"/>
      <c r="BK196" s="121"/>
      <c r="BL196" s="121"/>
      <c r="BM196" s="121"/>
      <c r="BN196" s="121"/>
      <c r="BO196" s="121"/>
      <c r="BP196" s="121"/>
      <c r="BQ196" s="121"/>
      <c r="BR196" s="121"/>
      <c r="BS196" s="121"/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1"/>
      <c r="CM196" s="121"/>
      <c r="CN196" s="121"/>
      <c r="CO196" s="121"/>
      <c r="CP196" s="121"/>
      <c r="CQ196" s="121"/>
    </row>
    <row r="197" spans="1:95" s="316" customFormat="1" ht="37.5" customHeight="1" x14ac:dyDescent="0.2">
      <c r="A197" s="55" t="s">
        <v>1798</v>
      </c>
      <c r="B197" s="50">
        <v>500211396</v>
      </c>
      <c r="C197" s="49">
        <v>1000540599</v>
      </c>
      <c r="D197" s="48">
        <v>20000105</v>
      </c>
      <c r="E197" s="46">
        <v>35000</v>
      </c>
      <c r="F197" s="46">
        <v>35000</v>
      </c>
      <c r="G197" s="46">
        <v>20000</v>
      </c>
      <c r="H197" s="46">
        <v>23288</v>
      </c>
      <c r="I197" s="46">
        <v>24590</v>
      </c>
      <c r="J197" s="46">
        <v>49662</v>
      </c>
      <c r="K197" s="46">
        <f t="shared" si="6"/>
        <v>49662</v>
      </c>
      <c r="L197" s="59">
        <v>0</v>
      </c>
      <c r="M197" s="77"/>
      <c r="O197" s="288" t="e">
        <f>MATCH(B197,'42-02-31 תרבות בקהילה'!$B$5:$B$120,0)</f>
        <v>#N/A</v>
      </c>
      <c r="P197" s="288">
        <f>MATCH(B197,'42-02-31 תרבות בקהילה'!$B$122:$B$190,0)</f>
        <v>36</v>
      </c>
    </row>
    <row r="198" spans="1:95" s="62" customFormat="1" ht="35.1" customHeight="1" x14ac:dyDescent="0.2">
      <c r="A198" s="487" t="s">
        <v>1799</v>
      </c>
      <c r="B198" s="318">
        <v>500221015</v>
      </c>
      <c r="C198" s="494">
        <v>1000545800</v>
      </c>
      <c r="D198" s="319">
        <v>20000127</v>
      </c>
      <c r="E198" s="46">
        <v>0</v>
      </c>
      <c r="F198" s="101">
        <v>20000</v>
      </c>
      <c r="G198" s="284">
        <v>20000</v>
      </c>
      <c r="H198" s="297">
        <v>20000</v>
      </c>
      <c r="I198" s="119">
        <v>24590</v>
      </c>
      <c r="J198" s="46">
        <v>40000</v>
      </c>
      <c r="K198" s="46">
        <f t="shared" si="6"/>
        <v>40000</v>
      </c>
      <c r="L198" s="59">
        <v>0</v>
      </c>
      <c r="M198" s="77"/>
      <c r="N198" s="121"/>
      <c r="O198" s="288" t="e">
        <f>MATCH(B198,'42-02-31 תרבות בקהילה'!$B$5:$B$120,0)</f>
        <v>#N/A</v>
      </c>
      <c r="P198" s="288">
        <f>MATCH(B198,'42-02-31 תרבות בקהילה'!$B$122:$B$190,0)</f>
        <v>9</v>
      </c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1"/>
      <c r="CM198" s="121"/>
      <c r="CN198" s="121"/>
      <c r="CO198" s="121"/>
      <c r="CP198" s="121"/>
      <c r="CQ198" s="121"/>
    </row>
    <row r="199" spans="1:95" s="62" customFormat="1" ht="35.1" customHeight="1" x14ac:dyDescent="0.2">
      <c r="A199" s="55" t="s">
        <v>1800</v>
      </c>
      <c r="B199" s="50">
        <v>500223136</v>
      </c>
      <c r="C199" s="49">
        <v>1000540616</v>
      </c>
      <c r="D199" s="48">
        <v>20000137</v>
      </c>
      <c r="E199" s="46">
        <v>17149</v>
      </c>
      <c r="F199" s="46">
        <v>20000</v>
      </c>
      <c r="G199" s="284">
        <v>20000</v>
      </c>
      <c r="H199" s="297">
        <v>23288</v>
      </c>
      <c r="I199" s="119">
        <v>24590</v>
      </c>
      <c r="J199" s="46">
        <v>40000</v>
      </c>
      <c r="K199" s="46">
        <f t="shared" si="6"/>
        <v>40000</v>
      </c>
      <c r="L199" s="59">
        <v>0</v>
      </c>
      <c r="M199" s="77"/>
      <c r="N199" s="121"/>
      <c r="O199" s="288" t="e">
        <f>MATCH(B199,'42-02-31 תרבות בקהילה'!$B$5:$B$120,0)</f>
        <v>#N/A</v>
      </c>
      <c r="P199" s="288">
        <f>MATCH(B199,'42-02-31 תרבות בקהילה'!$B$122:$B$190,0)</f>
        <v>18</v>
      </c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  <c r="CD199" s="121"/>
      <c r="CE199" s="121"/>
      <c r="CF199" s="121"/>
      <c r="CG199" s="121"/>
      <c r="CH199" s="121"/>
      <c r="CI199" s="121"/>
      <c r="CJ199" s="121"/>
      <c r="CK199" s="121"/>
      <c r="CL199" s="121"/>
      <c r="CM199" s="121"/>
      <c r="CN199" s="121"/>
      <c r="CO199" s="121"/>
      <c r="CP199" s="121"/>
      <c r="CQ199" s="121"/>
    </row>
    <row r="200" spans="1:95" s="62" customFormat="1" ht="35.1" customHeight="1" x14ac:dyDescent="0.2">
      <c r="A200" s="55" t="s">
        <v>1801</v>
      </c>
      <c r="B200" s="50">
        <v>500226402</v>
      </c>
      <c r="C200" s="49">
        <v>1000552820</v>
      </c>
      <c r="D200" s="48">
        <v>20000151</v>
      </c>
      <c r="E200" s="46">
        <v>12862</v>
      </c>
      <c r="F200" s="46">
        <v>20000</v>
      </c>
      <c r="G200" s="284">
        <v>20000</v>
      </c>
      <c r="H200" s="297">
        <v>23288</v>
      </c>
      <c r="I200" s="119">
        <v>24590</v>
      </c>
      <c r="J200" s="46">
        <v>40000</v>
      </c>
      <c r="K200" s="46">
        <f t="shared" si="6"/>
        <v>40000</v>
      </c>
      <c r="L200" s="59">
        <v>0</v>
      </c>
      <c r="M200" s="77"/>
      <c r="N200" s="121"/>
      <c r="O200" s="288" t="e">
        <f>MATCH(B200,'42-02-31 תרבות בקהילה'!$B$5:$B$120,0)</f>
        <v>#N/A</v>
      </c>
      <c r="P200" s="288">
        <f>MATCH(B200,'42-02-31 תרבות בקהילה'!$B$122:$B$190,0)</f>
        <v>29</v>
      </c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</row>
    <row r="201" spans="1:95" s="62" customFormat="1" ht="42.75" customHeight="1" x14ac:dyDescent="0.2">
      <c r="A201" s="583" t="s">
        <v>1802</v>
      </c>
      <c r="B201" s="564">
        <v>510623812</v>
      </c>
      <c r="C201" s="54">
        <v>1000533705</v>
      </c>
      <c r="D201" s="319">
        <v>40000018</v>
      </c>
      <c r="E201" s="46">
        <v>45000</v>
      </c>
      <c r="F201" s="101">
        <v>66741</v>
      </c>
      <c r="G201" s="284">
        <v>45000</v>
      </c>
      <c r="H201" s="297">
        <v>65000</v>
      </c>
      <c r="I201" s="119">
        <v>55327</v>
      </c>
      <c r="J201" s="46">
        <v>69710</v>
      </c>
      <c r="K201" s="46">
        <f t="shared" si="6"/>
        <v>69710</v>
      </c>
      <c r="L201" s="59">
        <v>0</v>
      </c>
      <c r="M201" s="77"/>
      <c r="N201" s="121"/>
      <c r="O201" s="288">
        <f>MATCH(B201,'42-02-31 תרבות בקהילה'!$B$5:$B$120,0)</f>
        <v>25</v>
      </c>
      <c r="P201" s="288" t="e">
        <f>MATCH(B201,'42-02-31 תרבות בקהילה'!$B$122:$B$190,0)</f>
        <v>#N/A</v>
      </c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  <c r="CD201" s="121"/>
      <c r="CE201" s="121"/>
      <c r="CF201" s="121"/>
      <c r="CG201" s="121"/>
      <c r="CH201" s="121"/>
      <c r="CI201" s="121"/>
      <c r="CJ201" s="121"/>
      <c r="CK201" s="121"/>
      <c r="CL201" s="121"/>
      <c r="CM201" s="121"/>
      <c r="CN201" s="121"/>
      <c r="CO201" s="121"/>
      <c r="CP201" s="121"/>
      <c r="CQ201" s="121"/>
    </row>
    <row r="202" spans="1:95" s="62" customFormat="1" ht="35.1" customHeight="1" x14ac:dyDescent="0.2">
      <c r="A202" s="559" t="s">
        <v>1803</v>
      </c>
      <c r="B202" s="564">
        <v>510623812</v>
      </c>
      <c r="C202" s="494">
        <v>1000533706</v>
      </c>
      <c r="D202" s="319">
        <v>40000018</v>
      </c>
      <c r="E202" s="46">
        <v>20000</v>
      </c>
      <c r="F202" s="46">
        <v>23836</v>
      </c>
      <c r="G202" s="284">
        <v>25000</v>
      </c>
      <c r="H202" s="297">
        <v>25000</v>
      </c>
      <c r="I202" s="119">
        <v>30737</v>
      </c>
      <c r="J202" s="46">
        <v>38728</v>
      </c>
      <c r="K202" s="46">
        <f t="shared" si="6"/>
        <v>38728</v>
      </c>
      <c r="L202" s="59">
        <v>0</v>
      </c>
      <c r="M202" s="77"/>
      <c r="N202" s="121"/>
      <c r="O202" s="288">
        <f>MATCH(B202,'42-02-31 תרבות בקהילה'!$B$5:$B$120,0)</f>
        <v>25</v>
      </c>
      <c r="P202" s="288" t="e">
        <f>MATCH(B202,'42-02-31 תרבות בקהילה'!$B$122:$B$190,0)</f>
        <v>#N/A</v>
      </c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</row>
    <row r="203" spans="1:95" s="62" customFormat="1" ht="35.1" customHeight="1" x14ac:dyDescent="0.2">
      <c r="A203" s="559" t="s">
        <v>1804</v>
      </c>
      <c r="B203" s="564">
        <v>510623812</v>
      </c>
      <c r="C203" s="494">
        <v>1000533702</v>
      </c>
      <c r="D203" s="319">
        <v>40000018</v>
      </c>
      <c r="E203" s="46">
        <v>30000</v>
      </c>
      <c r="F203" s="101">
        <v>57205</v>
      </c>
      <c r="G203" s="284">
        <v>40000</v>
      </c>
      <c r="H203" s="297">
        <v>40000</v>
      </c>
      <c r="I203" s="119">
        <v>49179</v>
      </c>
      <c r="J203" s="46">
        <v>61965</v>
      </c>
      <c r="K203" s="46">
        <f t="shared" si="6"/>
        <v>61965</v>
      </c>
      <c r="L203" s="59">
        <v>0</v>
      </c>
      <c r="M203" s="77"/>
      <c r="N203" s="121"/>
      <c r="O203" s="288">
        <f>MATCH(B203,'42-02-31 תרבות בקהילה'!$B$5:$B$120,0)</f>
        <v>25</v>
      </c>
      <c r="P203" s="288" t="e">
        <f>MATCH(B203,'42-02-31 תרבות בקהילה'!$B$122:$B$190,0)</f>
        <v>#N/A</v>
      </c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</row>
    <row r="204" spans="1:95" s="62" customFormat="1" ht="35.1" customHeight="1" x14ac:dyDescent="0.2">
      <c r="A204" s="584" t="s">
        <v>1805</v>
      </c>
      <c r="B204" s="564">
        <v>510623812</v>
      </c>
      <c r="C204" s="494">
        <v>1000533674</v>
      </c>
      <c r="D204" s="319">
        <v>40000018</v>
      </c>
      <c r="E204" s="46">
        <v>35000</v>
      </c>
      <c r="F204" s="101">
        <v>66741</v>
      </c>
      <c r="G204" s="284">
        <v>45000</v>
      </c>
      <c r="H204" s="297">
        <v>45000</v>
      </c>
      <c r="I204" s="119">
        <v>47938</v>
      </c>
      <c r="J204" s="46">
        <v>69710</v>
      </c>
      <c r="K204" s="46">
        <f t="shared" si="6"/>
        <v>69710</v>
      </c>
      <c r="L204" s="59">
        <v>0</v>
      </c>
      <c r="M204" s="77"/>
      <c r="N204" s="121"/>
      <c r="O204" s="288">
        <f>MATCH(B204,'42-02-31 תרבות בקהילה'!$B$5:$B$120,0)</f>
        <v>25</v>
      </c>
      <c r="P204" s="288" t="e">
        <f>MATCH(B204,'42-02-31 תרבות בקהילה'!$B$122:$B$190,0)</f>
        <v>#N/A</v>
      </c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  <c r="CK204" s="121"/>
      <c r="CL204" s="121"/>
      <c r="CM204" s="121"/>
      <c r="CN204" s="121"/>
      <c r="CO204" s="121"/>
      <c r="CP204" s="121"/>
      <c r="CQ204" s="121"/>
    </row>
    <row r="205" spans="1:95" s="62" customFormat="1" ht="42" customHeight="1" x14ac:dyDescent="0.2">
      <c r="A205" s="487" t="s">
        <v>1806</v>
      </c>
      <c r="B205" s="318">
        <v>580016715</v>
      </c>
      <c r="C205" s="494">
        <v>1000546176</v>
      </c>
      <c r="D205" s="319">
        <v>40000344</v>
      </c>
      <c r="E205" s="46">
        <v>60000</v>
      </c>
      <c r="F205" s="101">
        <v>0</v>
      </c>
      <c r="G205" s="284">
        <v>60000</v>
      </c>
      <c r="H205" s="297">
        <v>60000</v>
      </c>
      <c r="I205" s="119">
        <v>60000</v>
      </c>
      <c r="J205" s="46">
        <v>741941</v>
      </c>
      <c r="K205" s="46">
        <f t="shared" si="6"/>
        <v>741941</v>
      </c>
      <c r="L205" s="59">
        <v>0</v>
      </c>
      <c r="M205" s="394"/>
      <c r="N205" s="121"/>
      <c r="O205" s="288">
        <f>MATCH(B205,'42-02-31 תרבות בקהילה'!$B$5:$B$120,0)</f>
        <v>31</v>
      </c>
      <c r="P205" s="288" t="e">
        <f>MATCH(B205,'42-02-31 תרבות בקהילה'!$B$122:$B$190,0)</f>
        <v>#N/A</v>
      </c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1"/>
      <c r="CM205" s="121"/>
      <c r="CN205" s="121"/>
      <c r="CO205" s="121"/>
      <c r="CP205" s="121"/>
      <c r="CQ205" s="121"/>
    </row>
    <row r="206" spans="1:95" s="62" customFormat="1" ht="35.1" customHeight="1" x14ac:dyDescent="0.2">
      <c r="A206" s="487" t="s">
        <v>1807</v>
      </c>
      <c r="B206" s="318">
        <v>510821952</v>
      </c>
      <c r="C206" s="494">
        <v>1000542461</v>
      </c>
      <c r="D206" s="319">
        <v>20000030</v>
      </c>
      <c r="E206" s="46"/>
      <c r="F206" s="46"/>
      <c r="G206" s="284"/>
      <c r="H206" s="297"/>
      <c r="I206" s="119">
        <v>0</v>
      </c>
      <c r="J206" s="46">
        <v>30982</v>
      </c>
      <c r="K206" s="46">
        <f t="shared" si="6"/>
        <v>30982</v>
      </c>
      <c r="L206" s="59">
        <v>0</v>
      </c>
      <c r="M206" s="77"/>
      <c r="N206" s="121"/>
      <c r="O206" s="288" t="e">
        <f>MATCH(B206,'42-02-31 תרבות בקהילה'!$B$5:$B$120,0)</f>
        <v>#N/A</v>
      </c>
      <c r="P206" s="288" t="e">
        <f>MATCH(B206,'42-02-31 תרבות בקהילה'!$B$122:$B$190,0)</f>
        <v>#N/A</v>
      </c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</row>
    <row r="207" spans="1:95" s="62" customFormat="1" ht="35.1" customHeight="1" x14ac:dyDescent="0.2">
      <c r="A207" s="487" t="s">
        <v>1808</v>
      </c>
      <c r="B207" s="318">
        <v>510833916</v>
      </c>
      <c r="C207" s="54">
        <v>1000541537</v>
      </c>
      <c r="D207" s="319">
        <v>40002819</v>
      </c>
      <c r="E207" s="46">
        <v>0</v>
      </c>
      <c r="F207" s="46">
        <v>0</v>
      </c>
      <c r="G207" s="46">
        <v>0</v>
      </c>
      <c r="H207" s="297">
        <v>0</v>
      </c>
      <c r="I207" s="119">
        <v>24590</v>
      </c>
      <c r="J207" s="46">
        <v>28555</v>
      </c>
      <c r="K207" s="46">
        <f t="shared" si="6"/>
        <v>28555</v>
      </c>
      <c r="L207" s="59">
        <v>0</v>
      </c>
      <c r="M207" s="77"/>
      <c r="N207" s="121"/>
      <c r="O207" s="288">
        <f>MATCH(B207,'42-02-31 תרבות בקהילה'!$B$5:$B$120,0)</f>
        <v>77</v>
      </c>
      <c r="P207" s="288" t="e">
        <f>MATCH(B207,'42-02-31 תרבות בקהילה'!$B$122:$B$190,0)</f>
        <v>#N/A</v>
      </c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</row>
    <row r="208" spans="1:95" s="62" customFormat="1" ht="35.1" customHeight="1" x14ac:dyDescent="0.2">
      <c r="A208" s="487" t="s">
        <v>1809</v>
      </c>
      <c r="B208" s="318">
        <v>580197408</v>
      </c>
      <c r="C208" s="494">
        <v>1000588724</v>
      </c>
      <c r="D208" s="319">
        <v>40176706</v>
      </c>
      <c r="E208" s="46">
        <v>20000</v>
      </c>
      <c r="F208" s="46">
        <v>20000</v>
      </c>
      <c r="G208" s="284">
        <v>29920</v>
      </c>
      <c r="H208" s="297">
        <v>20000</v>
      </c>
      <c r="I208" s="119">
        <v>0</v>
      </c>
      <c r="J208" s="46">
        <v>17687</v>
      </c>
      <c r="K208" s="46">
        <f>J208*100%</f>
        <v>17687</v>
      </c>
      <c r="L208" s="59">
        <v>0</v>
      </c>
      <c r="M208" s="77"/>
      <c r="N208" s="121"/>
      <c r="O208" s="288">
        <f>MATCH(B208,'42-02-31 תרבות בקהילה'!$B$5:$B$120,0)</f>
        <v>40</v>
      </c>
      <c r="P208" s="288" t="e">
        <f>MATCH(B208,'42-02-31 תרבות בקהילה'!$B$122:$B$190,0)</f>
        <v>#N/A</v>
      </c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  <c r="BF208" s="121"/>
      <c r="BG208" s="121"/>
      <c r="BH208" s="121"/>
      <c r="BI208" s="121"/>
      <c r="BJ208" s="121"/>
      <c r="BK208" s="121"/>
      <c r="BL208" s="121"/>
      <c r="BM208" s="121"/>
      <c r="BN208" s="121"/>
      <c r="BO208" s="121"/>
      <c r="BP208" s="121"/>
      <c r="BQ208" s="121"/>
      <c r="BR208" s="121"/>
      <c r="BS208" s="121"/>
      <c r="BT208" s="121"/>
      <c r="BU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  <c r="CK208" s="121"/>
      <c r="CL208" s="121"/>
      <c r="CM208" s="121"/>
      <c r="CN208" s="121"/>
      <c r="CO208" s="121"/>
      <c r="CP208" s="121"/>
      <c r="CQ208" s="121"/>
    </row>
    <row r="209" spans="1:101" s="62" customFormat="1" ht="35.1" customHeight="1" x14ac:dyDescent="0.2">
      <c r="A209" s="487" t="s">
        <v>1810</v>
      </c>
      <c r="B209" s="318">
        <v>580218543</v>
      </c>
      <c r="C209" s="494">
        <v>1000544429</v>
      </c>
      <c r="D209" s="319">
        <v>40000571</v>
      </c>
      <c r="E209" s="46">
        <v>45000</v>
      </c>
      <c r="F209" s="101">
        <v>83715</v>
      </c>
      <c r="G209" s="284">
        <v>59840</v>
      </c>
      <c r="H209" s="297">
        <v>40000</v>
      </c>
      <c r="I209" s="119">
        <v>15000</v>
      </c>
      <c r="J209" s="46">
        <v>17687</v>
      </c>
      <c r="K209" s="46">
        <f t="shared" si="6"/>
        <v>17687</v>
      </c>
      <c r="L209" s="59">
        <v>0</v>
      </c>
      <c r="M209" s="77"/>
      <c r="N209" s="121"/>
      <c r="O209" s="288">
        <f>MATCH(B209,'42-02-31 תרבות בקהילה'!$B$5:$B$120,0)</f>
        <v>52</v>
      </c>
      <c r="P209" s="288" t="e">
        <f>MATCH(B209,'42-02-31 תרבות בקהילה'!$B$122:$B$190,0)</f>
        <v>#N/A</v>
      </c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</row>
    <row r="210" spans="1:101" s="62" customFormat="1" ht="35.1" customHeight="1" x14ac:dyDescent="0.2">
      <c r="A210" s="317" t="s">
        <v>1811</v>
      </c>
      <c r="B210" s="318">
        <v>580314201</v>
      </c>
      <c r="C210" s="494">
        <v>1000545139</v>
      </c>
      <c r="D210" s="319">
        <v>40313780</v>
      </c>
      <c r="E210" s="46"/>
      <c r="F210" s="46"/>
      <c r="G210" s="284"/>
      <c r="H210" s="297">
        <v>0</v>
      </c>
      <c r="I210" s="119">
        <v>20000</v>
      </c>
      <c r="J210" s="46">
        <v>17687</v>
      </c>
      <c r="K210" s="46">
        <f t="shared" si="6"/>
        <v>17687</v>
      </c>
      <c r="L210" s="59">
        <v>0</v>
      </c>
      <c r="M210" s="77"/>
      <c r="N210" s="438"/>
      <c r="O210" s="288">
        <f>MATCH(B210,'42-02-31 תרבות בקהילה'!$B$5:$B$120,0)</f>
        <v>81</v>
      </c>
      <c r="P210" s="288" t="e">
        <f>MATCH(B210,'42-02-31 תרבות בקהילה'!$B$122:$B$190,0)</f>
        <v>#N/A</v>
      </c>
      <c r="Q210" s="557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21"/>
      <c r="BR210" s="121"/>
      <c r="BS210" s="121"/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/>
      <c r="CV210" s="121"/>
      <c r="CW210" s="121"/>
    </row>
    <row r="211" spans="1:101" s="62" customFormat="1" ht="41.25" customHeight="1" x14ac:dyDescent="0.2">
      <c r="A211" s="51" t="s">
        <v>1501</v>
      </c>
      <c r="B211" s="105">
        <v>580002996</v>
      </c>
      <c r="C211" s="49">
        <v>1000577417</v>
      </c>
      <c r="D211" s="48">
        <v>40188794</v>
      </c>
      <c r="E211" s="46">
        <v>25000</v>
      </c>
      <c r="F211" s="101">
        <v>80000</v>
      </c>
      <c r="G211" s="284">
        <v>74800</v>
      </c>
      <c r="H211" s="297">
        <v>110000</v>
      </c>
      <c r="I211" s="119">
        <v>110000</v>
      </c>
      <c r="J211" s="46">
        <v>97277</v>
      </c>
      <c r="K211" s="46">
        <f t="shared" si="6"/>
        <v>97277</v>
      </c>
      <c r="L211" s="59">
        <v>0</v>
      </c>
      <c r="M211" s="473"/>
      <c r="N211" s="121"/>
      <c r="O211" s="288">
        <f>MATCH(B211,'42-02-31 תרבות בקהילה'!$B$5:$B$120,0)</f>
        <v>51</v>
      </c>
      <c r="P211" s="288" t="e">
        <f>MATCH(B211,'42-02-31 תרבות בקהילה'!$B$122:$B$190,0)</f>
        <v>#N/A</v>
      </c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1"/>
      <c r="BK211" s="121"/>
      <c r="BL211" s="121"/>
      <c r="BM211" s="121"/>
      <c r="BN211" s="121"/>
      <c r="BO211" s="121"/>
      <c r="BP211" s="121"/>
      <c r="BQ211" s="121"/>
      <c r="BR211" s="121"/>
      <c r="BS211" s="121"/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</row>
    <row r="212" spans="1:101" s="62" customFormat="1" ht="35.1" customHeight="1" x14ac:dyDescent="0.2">
      <c r="A212" s="487" t="s">
        <v>1812</v>
      </c>
      <c r="B212" s="318">
        <v>580013399</v>
      </c>
      <c r="C212" s="494">
        <v>1000552625</v>
      </c>
      <c r="D212" s="319">
        <v>40000064</v>
      </c>
      <c r="E212" s="46">
        <v>0</v>
      </c>
      <c r="F212" s="101">
        <v>0</v>
      </c>
      <c r="G212" s="284">
        <v>30000</v>
      </c>
      <c r="H212" s="284">
        <v>30000</v>
      </c>
      <c r="I212" s="119">
        <v>0</v>
      </c>
      <c r="J212" s="46">
        <v>40000</v>
      </c>
      <c r="K212" s="46">
        <f t="shared" si="6"/>
        <v>40000</v>
      </c>
      <c r="L212" s="59">
        <v>0</v>
      </c>
      <c r="M212" s="77"/>
      <c r="N212" s="121"/>
      <c r="O212" s="288">
        <f>MATCH(B212,'42-02-31 תרבות בקהילה'!$B$5:$B$120,0)</f>
        <v>62</v>
      </c>
      <c r="P212" s="288" t="e">
        <f>MATCH(B212,'42-02-31 תרבות בקהילה'!$B$122:$B$190,0)</f>
        <v>#N/A</v>
      </c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BA212" s="121"/>
      <c r="BB212" s="121"/>
      <c r="BC212" s="121"/>
      <c r="BD212" s="121"/>
      <c r="BE212" s="121"/>
      <c r="BF212" s="121"/>
      <c r="BG212" s="121"/>
      <c r="BH212" s="121"/>
      <c r="BI212" s="121"/>
      <c r="BJ212" s="121"/>
      <c r="BK212" s="121"/>
      <c r="BL212" s="121"/>
      <c r="BM212" s="121"/>
      <c r="BN212" s="121"/>
      <c r="BO212" s="121"/>
      <c r="BP212" s="121"/>
      <c r="BQ212" s="121"/>
      <c r="BR212" s="121"/>
      <c r="BS212" s="121"/>
      <c r="BT212" s="121"/>
      <c r="BU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  <c r="CK212" s="121"/>
      <c r="CL212" s="121"/>
      <c r="CM212" s="121"/>
      <c r="CN212" s="121"/>
      <c r="CO212" s="121"/>
      <c r="CP212" s="121"/>
      <c r="CQ212" s="121"/>
    </row>
    <row r="213" spans="1:101" s="62" customFormat="1" ht="35.1" customHeight="1" x14ac:dyDescent="0.2">
      <c r="A213" s="51" t="s">
        <v>487</v>
      </c>
      <c r="B213" s="50">
        <v>580475721</v>
      </c>
      <c r="C213" s="49">
        <v>1000539205</v>
      </c>
      <c r="D213" s="48">
        <v>40470605</v>
      </c>
      <c r="E213" s="46"/>
      <c r="F213" s="46"/>
      <c r="G213" s="284"/>
      <c r="H213" s="297">
        <v>0</v>
      </c>
      <c r="I213" s="119">
        <v>24590</v>
      </c>
      <c r="J213" s="46">
        <v>30000</v>
      </c>
      <c r="K213" s="46">
        <f t="shared" si="6"/>
        <v>30000</v>
      </c>
      <c r="L213" s="59">
        <v>0</v>
      </c>
      <c r="M213" s="129"/>
      <c r="N213" s="121"/>
      <c r="O213" s="288">
        <f>MATCH(B213,'42-02-31 תרבות בקהילה'!$B$5:$B$120,0)</f>
        <v>83</v>
      </c>
      <c r="P213" s="288" t="e">
        <f>MATCH(B213,'42-02-31 תרבות בקהילה'!$B$122:$B$190,0)</f>
        <v>#N/A</v>
      </c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1"/>
      <c r="BD213" s="121"/>
      <c r="BE213" s="121"/>
      <c r="BF213" s="121"/>
      <c r="BG213" s="121"/>
      <c r="BH213" s="121"/>
      <c r="BI213" s="121"/>
      <c r="BJ213" s="121"/>
      <c r="BK213" s="121"/>
      <c r="BL213" s="121"/>
      <c r="BM213" s="121"/>
      <c r="BN213" s="121"/>
      <c r="BO213" s="121"/>
      <c r="BP213" s="121"/>
      <c r="BQ213" s="121"/>
      <c r="BR213" s="121"/>
      <c r="BS213" s="121"/>
      <c r="BT213" s="121"/>
      <c r="BU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  <c r="CK213" s="121"/>
      <c r="CL213" s="121"/>
      <c r="CM213" s="121"/>
      <c r="CN213" s="121"/>
      <c r="CO213" s="121"/>
      <c r="CP213" s="121"/>
      <c r="CQ213" s="121"/>
    </row>
    <row r="214" spans="1:101" s="62" customFormat="1" ht="35.1" customHeight="1" x14ac:dyDescent="0.2">
      <c r="A214" s="487" t="s">
        <v>1813</v>
      </c>
      <c r="B214" s="318">
        <v>580149151</v>
      </c>
      <c r="C214" s="494">
        <v>1000548898</v>
      </c>
      <c r="D214" s="319">
        <v>40016737</v>
      </c>
      <c r="E214" s="46"/>
      <c r="F214" s="101"/>
      <c r="G214" s="284"/>
      <c r="H214" s="297"/>
      <c r="I214" s="119">
        <v>0</v>
      </c>
      <c r="J214" s="46">
        <v>30982</v>
      </c>
      <c r="K214" s="46">
        <f t="shared" si="6"/>
        <v>30982</v>
      </c>
      <c r="L214" s="59">
        <v>0</v>
      </c>
      <c r="M214" s="77"/>
      <c r="N214" s="121"/>
      <c r="O214" s="288">
        <f>MATCH(B214,'42-02-31 תרבות בקהילה'!$B$5:$B$120,0)</f>
        <v>86</v>
      </c>
      <c r="P214" s="288" t="e">
        <f>MATCH(B214,'42-02-31 תרבות בקהילה'!$B$122:$B$190,0)</f>
        <v>#N/A</v>
      </c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</row>
    <row r="215" spans="1:101" s="62" customFormat="1" ht="38.25" customHeight="1" x14ac:dyDescent="0.2">
      <c r="A215" s="487" t="s">
        <v>1814</v>
      </c>
      <c r="B215" s="318">
        <v>580390565</v>
      </c>
      <c r="C215" s="494">
        <v>1000545585</v>
      </c>
      <c r="D215" s="319">
        <v>40221505</v>
      </c>
      <c r="E215" s="46"/>
      <c r="F215" s="101"/>
      <c r="G215" s="284"/>
      <c r="H215" s="297"/>
      <c r="I215" s="119">
        <v>0</v>
      </c>
      <c r="J215" s="46">
        <v>28555</v>
      </c>
      <c r="K215" s="46">
        <f t="shared" si="6"/>
        <v>28555</v>
      </c>
      <c r="L215" s="59">
        <v>0</v>
      </c>
      <c r="M215" s="77"/>
      <c r="N215" s="121"/>
      <c r="O215" s="288">
        <f>MATCH(B215,'42-02-31 תרבות בקהילה'!$B$5:$B$120,0)</f>
        <v>71</v>
      </c>
      <c r="P215" s="288" t="e">
        <f>MATCH(B215,'42-02-31 תרבות בקהילה'!$B$122:$B$190,0)</f>
        <v>#N/A</v>
      </c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BA215" s="121"/>
      <c r="BB215" s="121"/>
      <c r="BC215" s="121"/>
      <c r="BD215" s="121"/>
      <c r="BE215" s="121"/>
      <c r="BF215" s="121"/>
      <c r="BG215" s="121"/>
      <c r="BH215" s="121"/>
      <c r="BI215" s="121"/>
      <c r="BJ215" s="121"/>
      <c r="BK215" s="121"/>
      <c r="BL215" s="121"/>
      <c r="BM215" s="121"/>
      <c r="BN215" s="121"/>
      <c r="BO215" s="121"/>
      <c r="BP215" s="121"/>
      <c r="BQ215" s="121"/>
      <c r="BR215" s="121"/>
      <c r="BS215" s="121"/>
      <c r="BT215" s="121"/>
      <c r="BU215" s="121"/>
      <c r="BV215" s="121"/>
      <c r="BW215" s="121"/>
      <c r="BX215" s="121"/>
      <c r="BY215" s="121"/>
      <c r="BZ215" s="121"/>
      <c r="CA215" s="121"/>
      <c r="CB215" s="121"/>
      <c r="CC215" s="121"/>
      <c r="CD215" s="121"/>
      <c r="CE215" s="121"/>
      <c r="CF215" s="121"/>
      <c r="CG215" s="121"/>
      <c r="CH215" s="121"/>
      <c r="CI215" s="121"/>
      <c r="CJ215" s="121"/>
      <c r="CK215" s="121"/>
      <c r="CL215" s="121"/>
      <c r="CM215" s="121"/>
      <c r="CN215" s="121"/>
      <c r="CO215" s="121"/>
      <c r="CP215" s="121"/>
      <c r="CQ215" s="121"/>
    </row>
    <row r="216" spans="1:101" s="62" customFormat="1" ht="35.1" customHeight="1" x14ac:dyDescent="0.2">
      <c r="A216" s="487" t="s">
        <v>1815</v>
      </c>
      <c r="B216" s="564">
        <v>500212717</v>
      </c>
      <c r="C216" s="494">
        <v>1000548119</v>
      </c>
      <c r="D216" s="319">
        <v>20000112</v>
      </c>
      <c r="E216" s="46">
        <v>0</v>
      </c>
      <c r="F216" s="46">
        <v>0</v>
      </c>
      <c r="G216" s="284">
        <v>0</v>
      </c>
      <c r="H216" s="297">
        <v>20000</v>
      </c>
      <c r="I216" s="119">
        <v>22500</v>
      </c>
      <c r="J216" s="46">
        <v>24000</v>
      </c>
      <c r="K216" s="46">
        <f t="shared" si="6"/>
        <v>24000</v>
      </c>
      <c r="L216" s="59">
        <v>0</v>
      </c>
      <c r="M216" s="77"/>
      <c r="N216" s="121"/>
      <c r="O216" s="288" t="e">
        <f>MATCH(B216,'42-02-31 תרבות בקהילה'!$B$5:$B$120,0)</f>
        <v>#N/A</v>
      </c>
      <c r="P216" s="288" t="e">
        <f>MATCH(B216,'42-02-31 תרבות בקהילה'!$B$122:$B$190,0)</f>
        <v>#N/A</v>
      </c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</row>
    <row r="217" spans="1:101" s="62" customFormat="1" ht="45" customHeight="1" x14ac:dyDescent="0.2">
      <c r="A217" s="55" t="s">
        <v>1816</v>
      </c>
      <c r="B217" s="182">
        <v>580144624</v>
      </c>
      <c r="C217" s="49">
        <v>1000552030</v>
      </c>
      <c r="D217" s="48">
        <v>40000150</v>
      </c>
      <c r="E217" s="101">
        <v>0</v>
      </c>
      <c r="F217" s="119">
        <v>0</v>
      </c>
      <c r="G217" s="119">
        <v>0</v>
      </c>
      <c r="H217" s="46">
        <v>0</v>
      </c>
      <c r="I217" s="46">
        <v>24590</v>
      </c>
      <c r="J217" s="46">
        <v>28555</v>
      </c>
      <c r="K217" s="46">
        <f t="shared" si="6"/>
        <v>28555</v>
      </c>
      <c r="L217" s="59">
        <v>0</v>
      </c>
      <c r="M217" s="474"/>
      <c r="O217" s="288">
        <f>MATCH(B217,'42-02-31 תרבות בקהילה'!$B$5:$B$120,0)</f>
        <v>76</v>
      </c>
      <c r="P217" s="288" t="e">
        <f>MATCH(B217,'42-02-31 תרבות בקהילה'!$B$122:$B$190,0)</f>
        <v>#N/A</v>
      </c>
    </row>
    <row r="218" spans="1:101" s="62" customFormat="1" ht="40.5" customHeight="1" x14ac:dyDescent="0.2">
      <c r="A218" s="45" t="s">
        <v>1817</v>
      </c>
      <c r="B218" s="96">
        <v>580181394</v>
      </c>
      <c r="C218" s="49">
        <v>1000541720</v>
      </c>
      <c r="D218" s="48">
        <v>40000537</v>
      </c>
      <c r="E218" s="46">
        <v>12862</v>
      </c>
      <c r="F218" s="101">
        <v>20000</v>
      </c>
      <c r="G218" s="284">
        <v>87000</v>
      </c>
      <c r="H218" s="284">
        <v>80000</v>
      </c>
      <c r="I218" s="119">
        <v>80000</v>
      </c>
      <c r="J218" s="46">
        <v>70747</v>
      </c>
      <c r="K218" s="46">
        <f t="shared" si="6"/>
        <v>70747</v>
      </c>
      <c r="L218" s="59">
        <v>0</v>
      </c>
      <c r="M218" s="77"/>
      <c r="N218" s="121"/>
      <c r="O218" s="288">
        <f>MATCH(B218,'42-02-31 תרבות בקהילה'!$B$5:$B$120,0)</f>
        <v>10</v>
      </c>
      <c r="P218" s="288" t="e">
        <f>MATCH(B218,'42-02-31 תרבות בקהילה'!$B$122:$B$190,0)</f>
        <v>#N/A</v>
      </c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  <c r="BA218" s="121"/>
      <c r="BB218" s="121"/>
      <c r="BC218" s="121"/>
      <c r="BD218" s="121"/>
      <c r="BE218" s="121"/>
      <c r="BF218" s="121"/>
      <c r="BG218" s="121"/>
      <c r="BH218" s="121"/>
      <c r="BI218" s="121"/>
      <c r="BJ218" s="121"/>
      <c r="BK218" s="121"/>
      <c r="BL218" s="121"/>
      <c r="BM218" s="121"/>
      <c r="BN218" s="121"/>
      <c r="BO218" s="121"/>
      <c r="BP218" s="121"/>
      <c r="BQ218" s="121"/>
      <c r="BR218" s="121"/>
      <c r="BS218" s="121"/>
      <c r="BT218" s="121"/>
      <c r="BU218" s="121"/>
      <c r="BV218" s="121"/>
      <c r="BW218" s="121"/>
      <c r="BX218" s="121"/>
      <c r="BY218" s="121"/>
      <c r="BZ218" s="121"/>
      <c r="CA218" s="121"/>
      <c r="CB218" s="121"/>
      <c r="CC218" s="121"/>
      <c r="CD218" s="121"/>
      <c r="CE218" s="121"/>
      <c r="CF218" s="121"/>
      <c r="CG218" s="121"/>
      <c r="CH218" s="121"/>
      <c r="CI218" s="121"/>
      <c r="CJ218" s="121"/>
      <c r="CK218" s="121"/>
      <c r="CL218" s="121"/>
      <c r="CM218" s="121"/>
      <c r="CN218" s="121"/>
      <c r="CO218" s="121"/>
      <c r="CP218" s="121"/>
      <c r="CQ218" s="121"/>
    </row>
    <row r="219" spans="1:101" s="62" customFormat="1" ht="35.1" customHeight="1" x14ac:dyDescent="0.2">
      <c r="A219" s="487" t="s">
        <v>1818</v>
      </c>
      <c r="B219" s="318">
        <v>580181394</v>
      </c>
      <c r="C219" s="494">
        <v>1000541750</v>
      </c>
      <c r="D219" s="319">
        <v>40000537</v>
      </c>
      <c r="E219" s="46">
        <v>25000</v>
      </c>
      <c r="F219" s="46">
        <v>25000</v>
      </c>
      <c r="G219" s="284">
        <v>25000</v>
      </c>
      <c r="H219" s="297">
        <v>40000</v>
      </c>
      <c r="I219" s="119">
        <v>40000</v>
      </c>
      <c r="J219" s="46">
        <v>35373</v>
      </c>
      <c r="K219" s="46">
        <f t="shared" si="6"/>
        <v>35373</v>
      </c>
      <c r="L219" s="59">
        <v>0</v>
      </c>
      <c r="M219" s="77"/>
      <c r="N219" s="121"/>
      <c r="O219" s="288">
        <f>MATCH(B219,'42-02-31 תרבות בקהילה'!$B$5:$B$120,0)</f>
        <v>10</v>
      </c>
      <c r="P219" s="288" t="e">
        <f>MATCH(B219,'42-02-31 תרבות בקהילה'!$B$122:$B$190,0)</f>
        <v>#N/A</v>
      </c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  <c r="BA219" s="121"/>
      <c r="BB219" s="121"/>
      <c r="BC219" s="121"/>
      <c r="BD219" s="121"/>
      <c r="BE219" s="121"/>
      <c r="BF219" s="121"/>
      <c r="BG219" s="121"/>
      <c r="BH219" s="121"/>
      <c r="BI219" s="121"/>
      <c r="BJ219" s="121"/>
      <c r="BK219" s="121"/>
      <c r="BL219" s="121"/>
      <c r="BM219" s="121"/>
      <c r="BN219" s="121"/>
      <c r="BO219" s="121"/>
      <c r="BP219" s="121"/>
      <c r="BQ219" s="121"/>
      <c r="BR219" s="121"/>
      <c r="BS219" s="121"/>
      <c r="BT219" s="121"/>
      <c r="BU219" s="121"/>
      <c r="BV219" s="121"/>
      <c r="BW219" s="121"/>
      <c r="BX219" s="121"/>
      <c r="BY219" s="121"/>
      <c r="BZ219" s="121"/>
      <c r="CA219" s="121"/>
      <c r="CB219" s="121"/>
      <c r="CC219" s="121"/>
      <c r="CD219" s="121"/>
      <c r="CE219" s="121"/>
      <c r="CF219" s="121"/>
      <c r="CG219" s="121"/>
      <c r="CH219" s="121"/>
      <c r="CI219" s="121"/>
      <c r="CJ219" s="121"/>
      <c r="CK219" s="121"/>
      <c r="CL219" s="121"/>
      <c r="CM219" s="121"/>
      <c r="CN219" s="121"/>
      <c r="CO219" s="121"/>
      <c r="CP219" s="121"/>
      <c r="CQ219" s="121"/>
    </row>
    <row r="220" spans="1:101" s="62" customFormat="1" ht="35.1" customHeight="1" x14ac:dyDescent="0.2">
      <c r="A220" s="45" t="s">
        <v>1819</v>
      </c>
      <c r="B220" s="96">
        <v>580181394</v>
      </c>
      <c r="C220" s="49">
        <v>1000541666</v>
      </c>
      <c r="D220" s="48">
        <v>40000537</v>
      </c>
      <c r="E220" s="46">
        <v>0</v>
      </c>
      <c r="F220" s="46">
        <v>25000</v>
      </c>
      <c r="G220" s="284">
        <v>25000</v>
      </c>
      <c r="H220" s="297">
        <v>25000</v>
      </c>
      <c r="I220" s="119">
        <v>25000</v>
      </c>
      <c r="J220" s="46">
        <v>20486</v>
      </c>
      <c r="K220" s="46">
        <f t="shared" si="6"/>
        <v>20486</v>
      </c>
      <c r="L220" s="59">
        <v>0</v>
      </c>
      <c r="M220" s="77"/>
      <c r="N220" s="121"/>
      <c r="O220" s="288">
        <f>MATCH(B220,'42-02-31 תרבות בקהילה'!$B$5:$B$120,0)</f>
        <v>10</v>
      </c>
      <c r="P220" s="288" t="e">
        <f>MATCH(B220,'42-02-31 תרבות בקהילה'!$B$122:$B$190,0)</f>
        <v>#N/A</v>
      </c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BA220" s="121"/>
      <c r="BB220" s="121"/>
      <c r="BC220" s="121"/>
      <c r="BD220" s="121"/>
      <c r="BE220" s="121"/>
      <c r="BF220" s="121"/>
      <c r="BG220" s="121"/>
      <c r="BH220" s="121"/>
      <c r="BI220" s="121"/>
      <c r="BJ220" s="121"/>
      <c r="BK220" s="121"/>
      <c r="BL220" s="121"/>
      <c r="BM220" s="121"/>
      <c r="BN220" s="121"/>
      <c r="BO220" s="121"/>
      <c r="BP220" s="121"/>
      <c r="BQ220" s="121"/>
      <c r="BR220" s="121"/>
      <c r="BS220" s="121"/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  <c r="CK220" s="121"/>
      <c r="CL220" s="121"/>
      <c r="CM220" s="121"/>
      <c r="CN220" s="121"/>
      <c r="CO220" s="121"/>
      <c r="CP220" s="121"/>
      <c r="CQ220" s="121"/>
    </row>
    <row r="221" spans="1:101" s="62" customFormat="1" ht="39" customHeight="1" x14ac:dyDescent="0.2">
      <c r="A221" s="45" t="s">
        <v>1820</v>
      </c>
      <c r="B221" s="96">
        <v>580181394</v>
      </c>
      <c r="C221" s="49">
        <v>1000541790</v>
      </c>
      <c r="D221" s="48">
        <v>40000537</v>
      </c>
      <c r="E221" s="46">
        <v>0</v>
      </c>
      <c r="F221" s="46">
        <v>15000</v>
      </c>
      <c r="G221" s="284">
        <v>25000</v>
      </c>
      <c r="H221" s="297">
        <v>25000</v>
      </c>
      <c r="I221" s="119">
        <v>25000</v>
      </c>
      <c r="J221" s="46">
        <v>22108</v>
      </c>
      <c r="K221" s="46">
        <f t="shared" si="6"/>
        <v>22108</v>
      </c>
      <c r="L221" s="59">
        <v>0</v>
      </c>
      <c r="M221" s="77"/>
      <c r="N221" s="121"/>
      <c r="O221" s="288">
        <f>MATCH(B221,'42-02-31 תרבות בקהילה'!$B$5:$B$120,0)</f>
        <v>10</v>
      </c>
      <c r="P221" s="288" t="e">
        <f>MATCH(B221,'42-02-31 תרבות בקהילה'!$B$122:$B$190,0)</f>
        <v>#N/A</v>
      </c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</row>
    <row r="222" spans="1:101" s="62" customFormat="1" ht="42.75" customHeight="1" x14ac:dyDescent="0.2">
      <c r="A222" s="45" t="s">
        <v>1821</v>
      </c>
      <c r="B222" s="96">
        <v>580181394</v>
      </c>
      <c r="C222" s="49">
        <v>1000541763</v>
      </c>
      <c r="D222" s="48">
        <v>40000537</v>
      </c>
      <c r="E222" s="46">
        <v>0</v>
      </c>
      <c r="F222" s="46">
        <v>0</v>
      </c>
      <c r="G222" s="284">
        <v>25000</v>
      </c>
      <c r="H222" s="297">
        <v>40000</v>
      </c>
      <c r="I222" s="119">
        <v>40000</v>
      </c>
      <c r="J222" s="46">
        <v>35373</v>
      </c>
      <c r="K222" s="46">
        <f t="shared" si="6"/>
        <v>35373</v>
      </c>
      <c r="L222" s="59">
        <v>0</v>
      </c>
      <c r="M222" s="77"/>
      <c r="N222" s="121"/>
      <c r="O222" s="288">
        <f>MATCH(B222,'42-02-31 תרבות בקהילה'!$B$5:$B$120,0)</f>
        <v>10</v>
      </c>
      <c r="P222" s="288" t="e">
        <f>MATCH(B222,'42-02-31 תרבות בקהילה'!$B$122:$B$190,0)</f>
        <v>#N/A</v>
      </c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</row>
    <row r="223" spans="1:101" s="62" customFormat="1" ht="39" customHeight="1" x14ac:dyDescent="0.2">
      <c r="A223" s="45" t="s">
        <v>1822</v>
      </c>
      <c r="B223" s="96">
        <v>580181394</v>
      </c>
      <c r="C223" s="49">
        <v>1000541798</v>
      </c>
      <c r="D223" s="48">
        <v>40000537</v>
      </c>
      <c r="E223" s="46">
        <v>0</v>
      </c>
      <c r="F223" s="46">
        <v>0</v>
      </c>
      <c r="G223" s="284">
        <v>0</v>
      </c>
      <c r="H223" s="297">
        <v>35000</v>
      </c>
      <c r="I223" s="119">
        <v>40000</v>
      </c>
      <c r="J223" s="46">
        <v>35373</v>
      </c>
      <c r="K223" s="46">
        <f t="shared" si="6"/>
        <v>35373</v>
      </c>
      <c r="L223" s="59">
        <v>0</v>
      </c>
      <c r="M223" s="77"/>
      <c r="N223" s="121"/>
      <c r="O223" s="288">
        <f>MATCH(B223,'42-02-31 תרבות בקהילה'!$B$5:$B$120,0)</f>
        <v>10</v>
      </c>
      <c r="P223" s="288" t="e">
        <f>MATCH(B223,'42-02-31 תרבות בקהילה'!$B$122:$B$190,0)</f>
        <v>#N/A</v>
      </c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  <c r="CK223" s="121"/>
      <c r="CL223" s="121"/>
      <c r="CM223" s="121"/>
      <c r="CN223" s="121"/>
      <c r="CO223" s="121"/>
      <c r="CP223" s="121"/>
      <c r="CQ223" s="121"/>
    </row>
    <row r="224" spans="1:101" s="62" customFormat="1" ht="35.1" customHeight="1" x14ac:dyDescent="0.2">
      <c r="A224" s="72" t="s">
        <v>1823</v>
      </c>
      <c r="B224" s="53">
        <v>580215333</v>
      </c>
      <c r="C224" s="49">
        <v>1000547386</v>
      </c>
      <c r="D224" s="48">
        <v>40000564</v>
      </c>
      <c r="E224" s="46">
        <v>0</v>
      </c>
      <c r="F224" s="46">
        <v>0</v>
      </c>
      <c r="G224" s="284">
        <v>0</v>
      </c>
      <c r="H224" s="297">
        <v>25000</v>
      </c>
      <c r="I224" s="119">
        <v>30737</v>
      </c>
      <c r="J224" s="46">
        <v>35693</v>
      </c>
      <c r="K224" s="46">
        <f>J224*100%</f>
        <v>35693</v>
      </c>
      <c r="L224" s="59">
        <v>0</v>
      </c>
      <c r="M224" s="129"/>
      <c r="N224" s="121"/>
      <c r="O224" s="288">
        <f>MATCH(B224,'42-02-31 תרבות בקהילה'!$B$5:$B$120,0)</f>
        <v>69</v>
      </c>
      <c r="P224" s="288" t="e">
        <f>MATCH(B224,'42-02-31 תרבות בקהילה'!$B$122:$B$190,0)</f>
        <v>#N/A</v>
      </c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1"/>
      <c r="BA224" s="121"/>
      <c r="BB224" s="121"/>
      <c r="BC224" s="121"/>
      <c r="BD224" s="121"/>
      <c r="BE224" s="121"/>
      <c r="BF224" s="121"/>
      <c r="BG224" s="121"/>
      <c r="BH224" s="121"/>
      <c r="BI224" s="121"/>
      <c r="BJ224" s="121"/>
      <c r="BK224" s="121"/>
      <c r="BL224" s="121"/>
      <c r="BM224" s="121"/>
      <c r="BN224" s="121"/>
      <c r="BO224" s="121"/>
      <c r="BP224" s="121"/>
      <c r="BQ224" s="121"/>
      <c r="BR224" s="121"/>
      <c r="BS224" s="121"/>
      <c r="BT224" s="121"/>
      <c r="BU224" s="121"/>
      <c r="BV224" s="121"/>
      <c r="BW224" s="121"/>
      <c r="BX224" s="121"/>
      <c r="BY224" s="121"/>
      <c r="BZ224" s="121"/>
      <c r="CA224" s="121"/>
      <c r="CB224" s="121"/>
      <c r="CC224" s="121"/>
      <c r="CD224" s="121"/>
      <c r="CE224" s="121"/>
      <c r="CF224" s="121"/>
      <c r="CG224" s="121"/>
      <c r="CH224" s="121"/>
      <c r="CI224" s="121"/>
      <c r="CJ224" s="121"/>
      <c r="CK224" s="121"/>
      <c r="CL224" s="121"/>
      <c r="CM224" s="121"/>
      <c r="CN224" s="121"/>
      <c r="CO224" s="121"/>
      <c r="CP224" s="121"/>
      <c r="CQ224" s="121"/>
    </row>
    <row r="225" spans="1:101" s="62" customFormat="1" ht="35.1" customHeight="1" x14ac:dyDescent="0.2">
      <c r="A225" s="72" t="s">
        <v>1824</v>
      </c>
      <c r="B225" s="53">
        <v>580215333</v>
      </c>
      <c r="C225" s="49">
        <v>1000546904</v>
      </c>
      <c r="D225" s="48">
        <v>40000564</v>
      </c>
      <c r="E225" s="46">
        <v>0</v>
      </c>
      <c r="F225" s="46">
        <v>0</v>
      </c>
      <c r="G225" s="284">
        <v>0</v>
      </c>
      <c r="H225" s="297">
        <v>35000</v>
      </c>
      <c r="I225" s="119">
        <v>43032</v>
      </c>
      <c r="J225" s="46">
        <v>43278</v>
      </c>
      <c r="K225" s="46">
        <f>J225*100%</f>
        <v>43278</v>
      </c>
      <c r="L225" s="59">
        <v>0</v>
      </c>
      <c r="M225" s="129"/>
      <c r="N225" s="121"/>
      <c r="O225" s="288">
        <f>MATCH(B225,'42-02-31 תרבות בקהילה'!$B$5:$B$120,0)</f>
        <v>69</v>
      </c>
      <c r="P225" s="288" t="e">
        <f>MATCH(B225,'42-02-31 תרבות בקהילה'!$B$122:$B$190,0)</f>
        <v>#N/A</v>
      </c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1"/>
      <c r="BA225" s="121"/>
      <c r="BB225" s="121"/>
      <c r="BC225" s="121"/>
      <c r="BD225" s="121"/>
      <c r="BE225" s="121"/>
      <c r="BF225" s="121"/>
      <c r="BG225" s="121"/>
      <c r="BH225" s="121"/>
      <c r="BI225" s="121"/>
      <c r="BJ225" s="121"/>
      <c r="BK225" s="121"/>
      <c r="BL225" s="121"/>
      <c r="BM225" s="121"/>
      <c r="BN225" s="121"/>
      <c r="BO225" s="121"/>
      <c r="BP225" s="121"/>
      <c r="BQ225" s="121"/>
      <c r="BR225" s="121"/>
      <c r="BS225" s="121"/>
      <c r="BT225" s="121"/>
      <c r="BU225" s="121"/>
      <c r="BV225" s="121"/>
      <c r="BW225" s="121"/>
      <c r="BX225" s="121"/>
      <c r="BY225" s="121"/>
      <c r="BZ225" s="121"/>
      <c r="CA225" s="121"/>
      <c r="CB225" s="121"/>
      <c r="CC225" s="121"/>
      <c r="CD225" s="121"/>
      <c r="CE225" s="121"/>
      <c r="CF225" s="121"/>
      <c r="CG225" s="121"/>
      <c r="CH225" s="121"/>
      <c r="CI225" s="121"/>
      <c r="CJ225" s="121"/>
      <c r="CK225" s="121"/>
      <c r="CL225" s="121"/>
      <c r="CM225" s="121"/>
      <c r="CN225" s="121"/>
      <c r="CO225" s="121"/>
      <c r="CP225" s="121"/>
      <c r="CQ225" s="121"/>
    </row>
    <row r="226" spans="1:101" s="62" customFormat="1" ht="35.1" customHeight="1" x14ac:dyDescent="0.2">
      <c r="A226" s="72" t="s">
        <v>1825</v>
      </c>
      <c r="B226" s="126">
        <v>510513435</v>
      </c>
      <c r="C226" s="49">
        <v>1000546877</v>
      </c>
      <c r="D226" s="132">
        <v>40000011</v>
      </c>
      <c r="E226" s="119">
        <v>0</v>
      </c>
      <c r="F226" s="119">
        <v>0</v>
      </c>
      <c r="G226" s="297">
        <v>0</v>
      </c>
      <c r="H226" s="46">
        <v>20000</v>
      </c>
      <c r="I226" s="119">
        <v>20000</v>
      </c>
      <c r="J226" s="46">
        <v>28555</v>
      </c>
      <c r="K226" s="46">
        <f t="shared" ref="K226" si="7">J226*50%</f>
        <v>14277.5</v>
      </c>
      <c r="L226" s="59">
        <v>0</v>
      </c>
      <c r="M226" s="585"/>
      <c r="N226" s="121"/>
      <c r="O226" s="288">
        <f>MATCH(B226,'42-02-31 תרבות בקהילה'!$B$5:$B$120,0)</f>
        <v>66</v>
      </c>
      <c r="P226" s="288" t="e">
        <f>MATCH(B226,'42-02-31 תרבות בקהילה'!$B$122:$B$190,0)</f>
        <v>#N/A</v>
      </c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1"/>
      <c r="BA226" s="121"/>
      <c r="BB226" s="121"/>
      <c r="BC226" s="121"/>
      <c r="BD226" s="121"/>
      <c r="BE226" s="121"/>
      <c r="BF226" s="121"/>
      <c r="BG226" s="121"/>
      <c r="BH226" s="121"/>
      <c r="BI226" s="121"/>
      <c r="BJ226" s="121"/>
      <c r="BK226" s="121"/>
      <c r="BL226" s="121"/>
      <c r="BM226" s="121"/>
      <c r="BN226" s="121"/>
      <c r="BO226" s="121"/>
      <c r="BP226" s="121"/>
      <c r="BQ226" s="121"/>
      <c r="BR226" s="121"/>
      <c r="BS226" s="121"/>
      <c r="BT226" s="121"/>
      <c r="BU226" s="121"/>
      <c r="BV226" s="121"/>
      <c r="BW226" s="121"/>
      <c r="BX226" s="121"/>
      <c r="BY226" s="121"/>
      <c r="BZ226" s="121"/>
      <c r="CA226" s="121"/>
      <c r="CB226" s="121"/>
      <c r="CC226" s="121"/>
      <c r="CD226" s="121"/>
      <c r="CE226" s="121"/>
      <c r="CF226" s="121"/>
      <c r="CG226" s="121"/>
      <c r="CH226" s="121"/>
      <c r="CI226" s="121"/>
      <c r="CJ226" s="121"/>
      <c r="CK226" s="121"/>
      <c r="CL226" s="121"/>
      <c r="CM226" s="121"/>
      <c r="CN226" s="121"/>
      <c r="CO226" s="121"/>
      <c r="CP226" s="121"/>
      <c r="CQ226" s="121"/>
    </row>
    <row r="227" spans="1:101" s="62" customFormat="1" ht="35.1" customHeight="1" x14ac:dyDescent="0.2">
      <c r="A227" s="72" t="s">
        <v>1826</v>
      </c>
      <c r="B227" s="50">
        <v>510513435</v>
      </c>
      <c r="C227" s="49">
        <v>1000546898</v>
      </c>
      <c r="D227" s="48">
        <v>40000011</v>
      </c>
      <c r="E227" s="46">
        <v>0</v>
      </c>
      <c r="F227" s="46">
        <v>0</v>
      </c>
      <c r="G227" s="284">
        <v>0</v>
      </c>
      <c r="H227" s="119">
        <v>20000</v>
      </c>
      <c r="I227" s="119">
        <v>20000</v>
      </c>
      <c r="J227" s="46">
        <v>28555</v>
      </c>
      <c r="K227" s="46">
        <f>J227*50%</f>
        <v>14277.5</v>
      </c>
      <c r="L227" s="59">
        <v>0</v>
      </c>
      <c r="M227" s="248"/>
      <c r="N227" s="121"/>
      <c r="O227" s="288">
        <f>MATCH(B227,'42-02-31 תרבות בקהילה'!$B$5:$B$120,0)</f>
        <v>66</v>
      </c>
      <c r="P227" s="288" t="e">
        <f>MATCH(B227,'42-02-31 תרבות בקהילה'!$B$122:$B$190,0)</f>
        <v>#N/A</v>
      </c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1"/>
      <c r="BA227" s="121"/>
      <c r="BB227" s="121"/>
      <c r="BC227" s="121"/>
      <c r="BD227" s="121"/>
      <c r="BE227" s="121"/>
      <c r="BF227" s="121"/>
      <c r="BG227" s="121"/>
      <c r="BH227" s="121"/>
      <c r="BI227" s="121"/>
      <c r="BJ227" s="121"/>
      <c r="BK227" s="121"/>
      <c r="BL227" s="121"/>
      <c r="BM227" s="121"/>
      <c r="BN227" s="121"/>
      <c r="BO227" s="121"/>
      <c r="BP227" s="121"/>
      <c r="BQ227" s="121"/>
      <c r="BR227" s="121"/>
      <c r="BS227" s="121"/>
      <c r="BT227" s="121"/>
      <c r="BU227" s="121"/>
      <c r="BV227" s="121"/>
      <c r="BW227" s="121"/>
      <c r="BX227" s="121"/>
      <c r="BY227" s="121"/>
      <c r="BZ227" s="121"/>
      <c r="CA227" s="121"/>
      <c r="CB227" s="121"/>
      <c r="CC227" s="121"/>
      <c r="CD227" s="121"/>
      <c r="CE227" s="121"/>
      <c r="CF227" s="121"/>
      <c r="CG227" s="121"/>
      <c r="CH227" s="121"/>
      <c r="CI227" s="121"/>
      <c r="CJ227" s="121"/>
      <c r="CK227" s="121"/>
      <c r="CL227" s="121"/>
      <c r="CM227" s="121"/>
      <c r="CN227" s="121"/>
      <c r="CO227" s="121"/>
      <c r="CP227" s="121"/>
      <c r="CQ227" s="121"/>
    </row>
    <row r="228" spans="1:101" s="62" customFormat="1" ht="39" customHeight="1" x14ac:dyDescent="0.2">
      <c r="A228" s="317" t="s">
        <v>1827</v>
      </c>
      <c r="B228" s="318">
        <v>580363091</v>
      </c>
      <c r="C228" s="494">
        <v>1000551178</v>
      </c>
      <c r="D228" s="319">
        <v>40327977</v>
      </c>
      <c r="E228" s="46"/>
      <c r="F228" s="46"/>
      <c r="G228" s="284"/>
      <c r="H228" s="297">
        <v>0</v>
      </c>
      <c r="I228" s="119">
        <v>80000</v>
      </c>
      <c r="J228" s="46">
        <v>70747</v>
      </c>
      <c r="K228" s="46">
        <f t="shared" ref="K228:K248" si="8">J228*100%</f>
        <v>70747</v>
      </c>
      <c r="L228" s="59">
        <v>0</v>
      </c>
      <c r="M228" s="77"/>
      <c r="N228" s="438"/>
      <c r="O228" s="288">
        <f>MATCH(B228,'42-02-31 תרבות בקהילה'!$B$5:$B$120,0)</f>
        <v>82</v>
      </c>
      <c r="P228" s="288" t="e">
        <f>MATCH(B228,'42-02-31 תרבות בקהילה'!$B$122:$B$190,0)</f>
        <v>#N/A</v>
      </c>
      <c r="Q228" s="557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1"/>
      <c r="BA228" s="121"/>
      <c r="BB228" s="121"/>
      <c r="BC228" s="121"/>
      <c r="BD228" s="121"/>
      <c r="BE228" s="121"/>
      <c r="BF228" s="121"/>
      <c r="BG228" s="121"/>
      <c r="BH228" s="121"/>
      <c r="BI228" s="121"/>
      <c r="BJ228" s="121"/>
      <c r="BK228" s="121"/>
      <c r="BL228" s="121"/>
      <c r="BM228" s="121"/>
      <c r="BN228" s="121"/>
      <c r="BO228" s="121"/>
      <c r="BP228" s="121"/>
      <c r="BQ228" s="121"/>
      <c r="BR228" s="121"/>
      <c r="BS228" s="121"/>
      <c r="BT228" s="121"/>
      <c r="BU228" s="121"/>
      <c r="BV228" s="121"/>
      <c r="BW228" s="121"/>
      <c r="BX228" s="121"/>
      <c r="BY228" s="121"/>
      <c r="BZ228" s="121"/>
      <c r="CA228" s="121"/>
      <c r="CB228" s="121"/>
      <c r="CC228" s="121"/>
      <c r="CD228" s="121"/>
      <c r="CE228" s="121"/>
      <c r="CF228" s="121"/>
      <c r="CG228" s="121"/>
      <c r="CH228" s="121"/>
      <c r="CI228" s="121"/>
      <c r="CJ228" s="121"/>
      <c r="CK228" s="121"/>
      <c r="CL228" s="121"/>
      <c r="CM228" s="121"/>
      <c r="CN228" s="121"/>
      <c r="CO228" s="121"/>
      <c r="CP228" s="121"/>
      <c r="CQ228" s="121"/>
      <c r="CR228" s="121"/>
      <c r="CS228" s="121"/>
      <c r="CT228" s="121"/>
      <c r="CU228" s="121"/>
      <c r="CV228" s="121"/>
      <c r="CW228" s="121"/>
    </row>
    <row r="229" spans="1:101" s="62" customFormat="1" ht="39" customHeight="1" x14ac:dyDescent="0.2">
      <c r="A229" s="317" t="s">
        <v>1828</v>
      </c>
      <c r="B229" s="318">
        <v>580363091</v>
      </c>
      <c r="C229" s="494">
        <v>1000551242</v>
      </c>
      <c r="D229" s="319">
        <v>40327977</v>
      </c>
      <c r="E229" s="46"/>
      <c r="F229" s="46"/>
      <c r="G229" s="284"/>
      <c r="H229" s="297">
        <v>0</v>
      </c>
      <c r="I229" s="119">
        <v>50000</v>
      </c>
      <c r="J229" s="46">
        <v>35373</v>
      </c>
      <c r="K229" s="46">
        <f t="shared" si="8"/>
        <v>35373</v>
      </c>
      <c r="L229" s="59">
        <v>0</v>
      </c>
      <c r="M229" s="77"/>
      <c r="N229" s="438"/>
      <c r="O229" s="288">
        <f>MATCH(B229,'42-02-31 תרבות בקהילה'!$B$5:$B$120,0)</f>
        <v>82</v>
      </c>
      <c r="P229" s="288" t="e">
        <f>MATCH(B229,'42-02-31 תרבות בקהילה'!$B$122:$B$190,0)</f>
        <v>#N/A</v>
      </c>
      <c r="Q229" s="557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1"/>
      <c r="BA229" s="121"/>
      <c r="BB229" s="121"/>
      <c r="BC229" s="121"/>
      <c r="BD229" s="121"/>
      <c r="BE229" s="121"/>
      <c r="BF229" s="121"/>
      <c r="BG229" s="121"/>
      <c r="BH229" s="121"/>
      <c r="BI229" s="121"/>
      <c r="BJ229" s="121"/>
      <c r="BK229" s="121"/>
      <c r="BL229" s="121"/>
      <c r="BM229" s="121"/>
      <c r="BN229" s="121"/>
      <c r="BO229" s="121"/>
      <c r="BP229" s="121"/>
      <c r="BQ229" s="121"/>
      <c r="BR229" s="121"/>
      <c r="BS229" s="121"/>
      <c r="BT229" s="121"/>
      <c r="BU229" s="121"/>
      <c r="BV229" s="121"/>
      <c r="BW229" s="121"/>
      <c r="BX229" s="121"/>
      <c r="BY229" s="121"/>
      <c r="BZ229" s="121"/>
      <c r="CA229" s="121"/>
      <c r="CB229" s="121"/>
      <c r="CC229" s="121"/>
      <c r="CD229" s="121"/>
      <c r="CE229" s="121"/>
      <c r="CF229" s="121"/>
      <c r="CG229" s="121"/>
      <c r="CH229" s="121"/>
      <c r="CI229" s="121"/>
      <c r="CJ229" s="121"/>
      <c r="CK229" s="121"/>
      <c r="CL229" s="121"/>
      <c r="CM229" s="121"/>
      <c r="CN229" s="121"/>
      <c r="CO229" s="121"/>
      <c r="CP229" s="121"/>
      <c r="CQ229" s="121"/>
      <c r="CR229" s="121"/>
      <c r="CS229" s="121"/>
      <c r="CT229" s="121"/>
      <c r="CU229" s="121"/>
      <c r="CV229" s="121"/>
      <c r="CW229" s="121"/>
    </row>
    <row r="230" spans="1:101" s="62" customFormat="1" ht="39" customHeight="1" x14ac:dyDescent="0.2">
      <c r="A230" s="317" t="s">
        <v>1829</v>
      </c>
      <c r="B230" s="318">
        <v>580363091</v>
      </c>
      <c r="C230" s="494">
        <v>1000551240</v>
      </c>
      <c r="D230" s="319">
        <v>40327977</v>
      </c>
      <c r="E230" s="46"/>
      <c r="F230" s="46"/>
      <c r="G230" s="284"/>
      <c r="H230" s="297">
        <v>0</v>
      </c>
      <c r="I230" s="119">
        <v>40000</v>
      </c>
      <c r="J230" s="46">
        <v>44217</v>
      </c>
      <c r="K230" s="46">
        <f t="shared" si="8"/>
        <v>44217</v>
      </c>
      <c r="L230" s="59">
        <v>0</v>
      </c>
      <c r="M230" s="77"/>
      <c r="N230" s="438"/>
      <c r="O230" s="288">
        <f>MATCH(B230,'42-02-31 תרבות בקהילה'!$B$5:$B$120,0)</f>
        <v>82</v>
      </c>
      <c r="P230" s="288" t="e">
        <f>MATCH(B230,'42-02-31 תרבות בקהילה'!$B$122:$B$190,0)</f>
        <v>#N/A</v>
      </c>
      <c r="Q230" s="557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1"/>
      <c r="BD230" s="121"/>
      <c r="BE230" s="121"/>
      <c r="BF230" s="121"/>
      <c r="BG230" s="121"/>
      <c r="BH230" s="121"/>
      <c r="BI230" s="121"/>
      <c r="BJ230" s="121"/>
      <c r="BK230" s="121"/>
      <c r="BL230" s="121"/>
      <c r="BM230" s="121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121"/>
      <c r="CU230" s="121"/>
      <c r="CV230" s="121"/>
      <c r="CW230" s="121"/>
    </row>
    <row r="231" spans="1:101" s="62" customFormat="1" ht="39" customHeight="1" x14ac:dyDescent="0.2">
      <c r="A231" s="317" t="s">
        <v>1830</v>
      </c>
      <c r="B231" s="318">
        <v>580363091</v>
      </c>
      <c r="C231" s="494">
        <v>1000551195</v>
      </c>
      <c r="D231" s="319">
        <v>40327977</v>
      </c>
      <c r="E231" s="46"/>
      <c r="F231" s="46"/>
      <c r="G231" s="284"/>
      <c r="H231" s="297"/>
      <c r="I231" s="119">
        <v>0</v>
      </c>
      <c r="J231" s="46">
        <v>22108</v>
      </c>
      <c r="K231" s="46">
        <f t="shared" si="8"/>
        <v>22108</v>
      </c>
      <c r="L231" s="59">
        <v>0</v>
      </c>
      <c r="M231" s="77"/>
      <c r="N231" s="586"/>
      <c r="O231" s="288">
        <f>MATCH(B231,'42-02-31 תרבות בקהילה'!$B$5:$B$120,0)</f>
        <v>82</v>
      </c>
      <c r="P231" s="288" t="e">
        <f>MATCH(B231,'42-02-31 תרבות בקהילה'!$B$122:$B$190,0)</f>
        <v>#N/A</v>
      </c>
      <c r="Q231" s="557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K231" s="121"/>
      <c r="BL231" s="121"/>
      <c r="BM231" s="121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121"/>
      <c r="CU231" s="121"/>
      <c r="CV231" s="121"/>
      <c r="CW231" s="121"/>
    </row>
    <row r="232" spans="1:101" s="62" customFormat="1" ht="39" customHeight="1" x14ac:dyDescent="0.2">
      <c r="A232" s="317" t="s">
        <v>1831</v>
      </c>
      <c r="B232" s="318">
        <v>580363091</v>
      </c>
      <c r="C232" s="494">
        <v>1000551250</v>
      </c>
      <c r="D232" s="319">
        <v>40327977</v>
      </c>
      <c r="E232" s="46"/>
      <c r="F232" s="46"/>
      <c r="G232" s="284"/>
      <c r="H232" s="297"/>
      <c r="I232" s="119">
        <v>0</v>
      </c>
      <c r="J232" s="46">
        <v>22108</v>
      </c>
      <c r="K232" s="46">
        <f t="shared" si="8"/>
        <v>22108</v>
      </c>
      <c r="L232" s="59">
        <v>0</v>
      </c>
      <c r="M232" s="77"/>
      <c r="N232" s="586"/>
      <c r="O232" s="288">
        <f>MATCH(B232,'42-02-31 תרבות בקהילה'!$B$5:$B$120,0)</f>
        <v>82</v>
      </c>
      <c r="P232" s="288" t="e">
        <f>MATCH(B232,'42-02-31 תרבות בקהילה'!$B$122:$B$190,0)</f>
        <v>#N/A</v>
      </c>
      <c r="Q232" s="557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1"/>
      <c r="BA232" s="121"/>
      <c r="BB232" s="121"/>
      <c r="BC232" s="121"/>
      <c r="BD232" s="121"/>
      <c r="BE232" s="121"/>
      <c r="BF232" s="121"/>
      <c r="BG232" s="121"/>
      <c r="BH232" s="121"/>
      <c r="BI232" s="121"/>
      <c r="BJ232" s="121"/>
      <c r="BK232" s="121"/>
      <c r="BL232" s="121"/>
      <c r="BM232" s="121"/>
      <c r="BN232" s="121"/>
      <c r="BO232" s="121"/>
      <c r="BP232" s="121"/>
      <c r="BQ232" s="121"/>
      <c r="BR232" s="121"/>
      <c r="BS232" s="121"/>
      <c r="BT232" s="121"/>
      <c r="BU232" s="121"/>
      <c r="BV232" s="121"/>
      <c r="BW232" s="121"/>
      <c r="BX232" s="121"/>
      <c r="BY232" s="121"/>
      <c r="BZ232" s="121"/>
      <c r="CA232" s="121"/>
      <c r="CB232" s="121"/>
      <c r="CC232" s="121"/>
      <c r="CD232" s="121"/>
      <c r="CE232" s="121"/>
      <c r="CF232" s="121"/>
      <c r="CG232" s="121"/>
      <c r="CH232" s="121"/>
      <c r="CI232" s="121"/>
      <c r="CJ232" s="121"/>
      <c r="CK232" s="121"/>
      <c r="CL232" s="121"/>
      <c r="CM232" s="121"/>
      <c r="CN232" s="121"/>
      <c r="CO232" s="121"/>
      <c r="CP232" s="121"/>
      <c r="CQ232" s="121"/>
      <c r="CR232" s="121"/>
      <c r="CS232" s="121"/>
      <c r="CT232" s="121"/>
      <c r="CU232" s="121"/>
      <c r="CV232" s="121"/>
      <c r="CW232" s="121"/>
    </row>
    <row r="233" spans="1:101" s="62" customFormat="1" ht="35.1" customHeight="1" x14ac:dyDescent="0.2">
      <c r="A233" s="134" t="s">
        <v>1832</v>
      </c>
      <c r="B233" s="50">
        <v>500200290</v>
      </c>
      <c r="C233" s="49">
        <v>1000553521</v>
      </c>
      <c r="D233" s="48">
        <v>20000003</v>
      </c>
      <c r="E233" s="46"/>
      <c r="F233" s="46"/>
      <c r="G233" s="46"/>
      <c r="H233" s="297"/>
      <c r="I233" s="119">
        <v>0</v>
      </c>
      <c r="J233" s="46">
        <v>28555</v>
      </c>
      <c r="K233" s="46">
        <f t="shared" si="8"/>
        <v>28555</v>
      </c>
      <c r="L233" s="59">
        <v>0</v>
      </c>
      <c r="M233" s="77"/>
      <c r="N233" s="121"/>
      <c r="O233" s="288" t="e">
        <f>MATCH(B233,'42-02-31 תרבות בקהילה'!$B$5:$B$120,0)</f>
        <v>#N/A</v>
      </c>
      <c r="P233" s="288">
        <f>MATCH(B233,'42-02-31 תרבות בקהילה'!$B$122:$B$190,0)</f>
        <v>52</v>
      </c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1"/>
      <c r="BA233" s="121"/>
      <c r="BB233" s="121"/>
      <c r="BC233" s="121"/>
      <c r="BD233" s="121"/>
      <c r="BE233" s="121"/>
      <c r="BF233" s="121"/>
      <c r="BG233" s="121"/>
      <c r="BH233" s="121"/>
      <c r="BI233" s="121"/>
      <c r="BJ233" s="121"/>
      <c r="BK233" s="121"/>
      <c r="BL233" s="121"/>
      <c r="BM233" s="121"/>
      <c r="BN233" s="121"/>
      <c r="BO233" s="121"/>
      <c r="BP233" s="121"/>
      <c r="BQ233" s="121"/>
      <c r="BR233" s="121"/>
      <c r="BS233" s="121"/>
      <c r="BT233" s="121"/>
      <c r="BU233" s="121"/>
      <c r="BV233" s="121"/>
      <c r="BW233" s="121"/>
      <c r="BX233" s="121"/>
      <c r="BY233" s="121"/>
      <c r="BZ233" s="121"/>
      <c r="CA233" s="121"/>
      <c r="CB233" s="121"/>
      <c r="CC233" s="121"/>
      <c r="CD233" s="121"/>
      <c r="CE233" s="121"/>
      <c r="CF233" s="121"/>
      <c r="CG233" s="121"/>
      <c r="CH233" s="121"/>
      <c r="CI233" s="121"/>
      <c r="CJ233" s="121"/>
      <c r="CK233" s="121"/>
      <c r="CL233" s="121"/>
      <c r="CM233" s="121"/>
      <c r="CN233" s="121"/>
      <c r="CO233" s="121"/>
      <c r="CP233" s="121"/>
      <c r="CQ233" s="121"/>
    </row>
    <row r="234" spans="1:101" s="62" customFormat="1" ht="35.1" customHeight="1" x14ac:dyDescent="0.2">
      <c r="A234" s="317" t="s">
        <v>1833</v>
      </c>
      <c r="B234" s="570">
        <v>500223078</v>
      </c>
      <c r="C234" s="494">
        <v>1000546029</v>
      </c>
      <c r="D234" s="319">
        <v>20000134</v>
      </c>
      <c r="E234" s="46"/>
      <c r="F234" s="101"/>
      <c r="G234" s="284"/>
      <c r="H234" s="297"/>
      <c r="I234" s="46">
        <v>0</v>
      </c>
      <c r="J234" s="46">
        <v>250000</v>
      </c>
      <c r="K234" s="46">
        <f>J234*100%</f>
        <v>250000</v>
      </c>
      <c r="L234" s="59">
        <v>0</v>
      </c>
      <c r="M234" s="77"/>
      <c r="N234" s="121"/>
      <c r="O234" s="288" t="e">
        <f>MATCH(B234,'42-02-31 תרבות בקהילה'!$B$5:$B$120,0)</f>
        <v>#N/A</v>
      </c>
      <c r="P234" s="288">
        <f>MATCH(B234,'42-02-31 תרבות בקהילה'!$B$122:$B$190,0)</f>
        <v>14</v>
      </c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  <c r="BA234" s="121"/>
      <c r="BB234" s="121"/>
      <c r="BC234" s="121"/>
      <c r="BD234" s="121"/>
      <c r="BE234" s="121"/>
      <c r="BF234" s="121"/>
      <c r="BG234" s="121"/>
      <c r="BH234" s="121"/>
      <c r="BI234" s="121"/>
      <c r="BJ234" s="121"/>
      <c r="BK234" s="121"/>
      <c r="BL234" s="121"/>
      <c r="BM234" s="121"/>
      <c r="BN234" s="121"/>
      <c r="BO234" s="121"/>
      <c r="BP234" s="121"/>
      <c r="BQ234" s="121"/>
      <c r="BR234" s="121"/>
      <c r="BS234" s="121"/>
      <c r="BT234" s="121"/>
      <c r="BU234" s="121"/>
      <c r="BV234" s="121"/>
      <c r="BW234" s="121"/>
      <c r="BX234" s="121"/>
      <c r="BY234" s="121"/>
      <c r="BZ234" s="121"/>
      <c r="CA234" s="121"/>
      <c r="CB234" s="121"/>
      <c r="CC234" s="121"/>
      <c r="CD234" s="121"/>
      <c r="CE234" s="121"/>
      <c r="CF234" s="121"/>
      <c r="CG234" s="121"/>
      <c r="CH234" s="121"/>
      <c r="CI234" s="121"/>
      <c r="CJ234" s="121"/>
      <c r="CK234" s="121"/>
      <c r="CL234" s="121"/>
      <c r="CM234" s="121"/>
      <c r="CN234" s="121"/>
      <c r="CO234" s="121"/>
      <c r="CP234" s="121"/>
      <c r="CQ234" s="121"/>
    </row>
    <row r="235" spans="1:101" s="62" customFormat="1" ht="35.1" customHeight="1" x14ac:dyDescent="0.2">
      <c r="A235" s="51" t="s">
        <v>1834</v>
      </c>
      <c r="B235" s="50">
        <v>580154938</v>
      </c>
      <c r="C235" s="49">
        <v>1000551975</v>
      </c>
      <c r="D235" s="48">
        <v>40000157</v>
      </c>
      <c r="E235" s="46">
        <v>0</v>
      </c>
      <c r="F235" s="101">
        <v>0</v>
      </c>
      <c r="G235" s="284">
        <v>250000</v>
      </c>
      <c r="H235" s="119">
        <v>250000</v>
      </c>
      <c r="I235" s="119">
        <v>0</v>
      </c>
      <c r="J235" s="46">
        <v>214596</v>
      </c>
      <c r="K235" s="46">
        <f t="shared" ref="K235" si="9">J235*100%</f>
        <v>214596</v>
      </c>
      <c r="L235" s="59">
        <v>0</v>
      </c>
      <c r="M235" s="77"/>
      <c r="N235" s="121"/>
      <c r="O235" s="288" t="e">
        <f>MATCH(B235,'42-02-31 תרבות בקהילה'!$B$5:$B$120,0)</f>
        <v>#N/A</v>
      </c>
      <c r="P235" s="288" t="e">
        <f>MATCH(B235,'42-02-31 תרבות בקהילה'!$B$122:$B$190,0)</f>
        <v>#N/A</v>
      </c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1"/>
      <c r="BA235" s="121"/>
      <c r="BB235" s="121"/>
      <c r="BC235" s="121"/>
      <c r="BD235" s="121"/>
      <c r="BE235" s="121"/>
      <c r="BF235" s="121"/>
      <c r="BG235" s="121"/>
      <c r="BH235" s="121"/>
      <c r="BI235" s="121"/>
      <c r="BJ235" s="121"/>
      <c r="BK235" s="121"/>
      <c r="BL235" s="121"/>
      <c r="BM235" s="121"/>
      <c r="BN235" s="121"/>
      <c r="BO235" s="121"/>
      <c r="BP235" s="121"/>
      <c r="BQ235" s="121"/>
      <c r="BR235" s="121"/>
      <c r="BS235" s="121"/>
      <c r="BT235" s="121"/>
      <c r="BU235" s="121"/>
      <c r="BV235" s="121"/>
      <c r="BW235" s="121"/>
      <c r="BX235" s="121"/>
      <c r="BY235" s="121"/>
      <c r="BZ235" s="121"/>
      <c r="CA235" s="121"/>
      <c r="CB235" s="121"/>
      <c r="CC235" s="121"/>
      <c r="CD235" s="121"/>
      <c r="CE235" s="121"/>
      <c r="CF235" s="121"/>
      <c r="CG235" s="121"/>
      <c r="CH235" s="121"/>
      <c r="CI235" s="121"/>
      <c r="CJ235" s="121"/>
      <c r="CK235" s="121"/>
      <c r="CL235" s="121"/>
      <c r="CM235" s="121"/>
      <c r="CN235" s="121"/>
      <c r="CO235" s="121"/>
      <c r="CP235" s="121"/>
      <c r="CQ235" s="121"/>
    </row>
    <row r="236" spans="1:101" s="62" customFormat="1" ht="35.1" customHeight="1" x14ac:dyDescent="0.2">
      <c r="A236" s="317" t="s">
        <v>1835</v>
      </c>
      <c r="B236" s="318">
        <v>580416485</v>
      </c>
      <c r="C236" s="494">
        <v>1000553210</v>
      </c>
      <c r="D236" s="319">
        <v>40216112</v>
      </c>
      <c r="E236" s="46">
        <v>40000</v>
      </c>
      <c r="F236" s="46">
        <v>30000</v>
      </c>
      <c r="G236" s="284">
        <v>40000</v>
      </c>
      <c r="H236" s="297">
        <v>30000</v>
      </c>
      <c r="I236" s="119">
        <v>30000</v>
      </c>
      <c r="J236" s="46">
        <v>26530</v>
      </c>
      <c r="K236" s="46">
        <f>J236*100%</f>
        <v>26530</v>
      </c>
      <c r="L236" s="59">
        <v>0</v>
      </c>
      <c r="M236" s="77"/>
      <c r="N236" s="121"/>
      <c r="O236" s="288">
        <f>MATCH(B236,'42-02-31 תרבות בקהילה'!$B$5:$B$120,0)</f>
        <v>42</v>
      </c>
      <c r="P236" s="288" t="e">
        <f>MATCH(B236,'42-02-31 תרבות בקהילה'!$B$122:$B$190,0)</f>
        <v>#N/A</v>
      </c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K236" s="121"/>
      <c r="BL236" s="121"/>
      <c r="BM236" s="121"/>
      <c r="BN236" s="121"/>
      <c r="BO236" s="121"/>
      <c r="BP236" s="121"/>
      <c r="BQ236" s="121"/>
      <c r="BR236" s="121"/>
      <c r="BS236" s="121"/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1"/>
      <c r="CE236" s="121"/>
      <c r="CF236" s="121"/>
      <c r="CG236" s="121"/>
      <c r="CH236" s="121"/>
      <c r="CI236" s="121"/>
      <c r="CJ236" s="121"/>
      <c r="CK236" s="121"/>
      <c r="CL236" s="121"/>
      <c r="CM236" s="121"/>
      <c r="CN236" s="121"/>
      <c r="CO236" s="121"/>
      <c r="CP236" s="121"/>
      <c r="CQ236" s="121"/>
    </row>
    <row r="237" spans="1:101" s="62" customFormat="1" ht="38.25" customHeight="1" x14ac:dyDescent="0.2">
      <c r="A237" s="487" t="s">
        <v>1836</v>
      </c>
      <c r="B237" s="567">
        <v>580218774</v>
      </c>
      <c r="C237" s="494">
        <v>1000537270</v>
      </c>
      <c r="D237" s="569">
        <v>40188899</v>
      </c>
      <c r="E237" s="119"/>
      <c r="F237" s="119"/>
      <c r="G237" s="297"/>
      <c r="H237" s="297">
        <v>0</v>
      </c>
      <c r="I237" s="119">
        <v>40000</v>
      </c>
      <c r="J237" s="46">
        <v>35373</v>
      </c>
      <c r="K237" s="46">
        <f>J237*100%</f>
        <v>35373</v>
      </c>
      <c r="L237" s="59">
        <v>0</v>
      </c>
      <c r="M237" s="77"/>
      <c r="N237" s="438"/>
      <c r="O237" s="288">
        <f>MATCH(B237,'42-02-31 תרבות בקהילה'!$B$5:$B$120,0)</f>
        <v>78</v>
      </c>
      <c r="P237" s="288" t="e">
        <f>MATCH(B237,'42-02-31 תרבות בקהילה'!$B$122:$B$190,0)</f>
        <v>#N/A</v>
      </c>
      <c r="Q237" s="557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1"/>
      <c r="BA237" s="121"/>
      <c r="BB237" s="121"/>
      <c r="BC237" s="121"/>
      <c r="BD237" s="121"/>
      <c r="BE237" s="121"/>
      <c r="BF237" s="121"/>
      <c r="BG237" s="121"/>
      <c r="BH237" s="121"/>
      <c r="BI237" s="121"/>
      <c r="BJ237" s="121"/>
      <c r="BK237" s="121"/>
      <c r="BL237" s="121"/>
      <c r="BM237" s="121"/>
      <c r="BN237" s="121"/>
      <c r="BO237" s="121"/>
      <c r="BP237" s="121"/>
      <c r="BQ237" s="121"/>
      <c r="BR237" s="121"/>
      <c r="BS237" s="121"/>
      <c r="BT237" s="121"/>
      <c r="BU237" s="121"/>
      <c r="BV237" s="121"/>
      <c r="BW237" s="121"/>
      <c r="BX237" s="121"/>
      <c r="BY237" s="121"/>
      <c r="BZ237" s="121"/>
      <c r="CA237" s="121"/>
      <c r="CB237" s="121"/>
      <c r="CC237" s="121"/>
      <c r="CD237" s="121"/>
      <c r="CE237" s="121"/>
      <c r="CF237" s="121"/>
      <c r="CG237" s="121"/>
      <c r="CH237" s="121"/>
      <c r="CI237" s="121"/>
      <c r="CJ237" s="121"/>
      <c r="CK237" s="121"/>
      <c r="CL237" s="121"/>
      <c r="CM237" s="121"/>
      <c r="CN237" s="121"/>
      <c r="CO237" s="121"/>
      <c r="CP237" s="121"/>
      <c r="CQ237" s="121"/>
      <c r="CR237" s="121"/>
      <c r="CS237" s="121"/>
      <c r="CT237" s="121"/>
      <c r="CU237" s="121"/>
      <c r="CV237" s="121"/>
      <c r="CW237" s="121"/>
    </row>
    <row r="238" spans="1:101" s="62" customFormat="1" ht="35.1" customHeight="1" x14ac:dyDescent="0.2">
      <c r="A238" s="487" t="s">
        <v>1837</v>
      </c>
      <c r="B238" s="318">
        <v>510729544</v>
      </c>
      <c r="C238" s="494">
        <v>1000546401</v>
      </c>
      <c r="D238" s="319">
        <v>40140791</v>
      </c>
      <c r="E238" s="46">
        <v>0</v>
      </c>
      <c r="F238" s="46">
        <v>0</v>
      </c>
      <c r="G238" s="284">
        <v>0</v>
      </c>
      <c r="H238" s="297">
        <v>20000</v>
      </c>
      <c r="I238" s="119">
        <v>10000</v>
      </c>
      <c r="J238" s="46">
        <v>26530</v>
      </c>
      <c r="K238" s="46">
        <f>J238*100%</f>
        <v>26530</v>
      </c>
      <c r="L238" s="59">
        <v>0</v>
      </c>
      <c r="M238" s="77"/>
      <c r="N238" s="121"/>
      <c r="O238" s="288">
        <f>MATCH(B238,'42-02-31 תרבות בקהילה'!$B$5:$B$120,0)</f>
        <v>55</v>
      </c>
      <c r="P238" s="288" t="e">
        <f>MATCH(B238,'42-02-31 תרבות בקהילה'!$B$122:$B$190,0)</f>
        <v>#N/A</v>
      </c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1"/>
      <c r="BA238" s="121"/>
      <c r="BB238" s="121"/>
      <c r="BC238" s="121"/>
      <c r="BD238" s="121"/>
      <c r="BE238" s="121"/>
      <c r="BF238" s="121"/>
      <c r="BG238" s="121"/>
      <c r="BH238" s="121"/>
      <c r="BI238" s="121"/>
      <c r="BJ238" s="121"/>
      <c r="BK238" s="121"/>
      <c r="BL238" s="121"/>
      <c r="BM238" s="121"/>
      <c r="BN238" s="121"/>
      <c r="BO238" s="121"/>
      <c r="BP238" s="121"/>
      <c r="BQ238" s="121"/>
      <c r="BR238" s="121"/>
      <c r="BS238" s="121"/>
      <c r="BT238" s="121"/>
      <c r="BU238" s="121"/>
      <c r="BV238" s="121"/>
      <c r="BW238" s="121"/>
      <c r="BX238" s="121"/>
      <c r="BY238" s="121"/>
      <c r="BZ238" s="121"/>
      <c r="CA238" s="121"/>
      <c r="CB238" s="121"/>
      <c r="CC238" s="121"/>
      <c r="CD238" s="121"/>
      <c r="CE238" s="121"/>
      <c r="CF238" s="121"/>
      <c r="CG238" s="121"/>
      <c r="CH238" s="121"/>
      <c r="CI238" s="121"/>
      <c r="CJ238" s="121"/>
      <c r="CK238" s="121"/>
      <c r="CL238" s="121"/>
      <c r="CM238" s="121"/>
      <c r="CN238" s="121"/>
      <c r="CO238" s="121"/>
      <c r="CP238" s="121"/>
      <c r="CQ238" s="121"/>
    </row>
    <row r="239" spans="1:101" s="62" customFormat="1" ht="35.1" customHeight="1" x14ac:dyDescent="0.2">
      <c r="A239" s="487" t="s">
        <v>1838</v>
      </c>
      <c r="B239" s="318">
        <v>580350783</v>
      </c>
      <c r="C239" s="54">
        <v>1000539576</v>
      </c>
      <c r="D239" s="319">
        <v>40001703</v>
      </c>
      <c r="E239" s="46">
        <v>75000</v>
      </c>
      <c r="F239" s="46">
        <v>50000</v>
      </c>
      <c r="G239" s="46">
        <v>31511</v>
      </c>
      <c r="H239" s="297">
        <v>56511</v>
      </c>
      <c r="I239" s="119">
        <v>53802</v>
      </c>
      <c r="J239" s="46">
        <v>62478</v>
      </c>
      <c r="K239" s="46">
        <f t="shared" ref="K239:K241" si="10">J239*100%</f>
        <v>62478</v>
      </c>
      <c r="L239" s="59">
        <v>0</v>
      </c>
      <c r="M239" s="79"/>
      <c r="N239" s="121"/>
      <c r="O239" s="288">
        <f>MATCH(B239,'42-02-31 תרבות בקהילה'!$B$5:$B$120,0)</f>
        <v>21</v>
      </c>
      <c r="P239" s="288" t="e">
        <f>MATCH(B239,'42-02-31 תרבות בקהילה'!$B$122:$B$190,0)</f>
        <v>#N/A</v>
      </c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1"/>
      <c r="BA239" s="121"/>
      <c r="BB239" s="121"/>
      <c r="BC239" s="121"/>
      <c r="BD239" s="121"/>
      <c r="BE239" s="121"/>
      <c r="BF239" s="121"/>
      <c r="BG239" s="121"/>
      <c r="BH239" s="121"/>
      <c r="BI239" s="121"/>
      <c r="BJ239" s="121"/>
      <c r="BK239" s="121"/>
      <c r="BL239" s="121"/>
      <c r="BM239" s="121"/>
      <c r="BN239" s="121"/>
      <c r="BO239" s="121"/>
      <c r="BP239" s="121"/>
      <c r="BQ239" s="121"/>
      <c r="BR239" s="121"/>
      <c r="BS239" s="121"/>
      <c r="BT239" s="121"/>
      <c r="BU239" s="121"/>
      <c r="BV239" s="121"/>
      <c r="BW239" s="121"/>
      <c r="BX239" s="121"/>
      <c r="BY239" s="121"/>
      <c r="BZ239" s="121"/>
      <c r="CA239" s="121"/>
      <c r="CB239" s="121"/>
      <c r="CC239" s="121"/>
      <c r="CD239" s="121"/>
      <c r="CE239" s="121"/>
      <c r="CF239" s="121"/>
      <c r="CG239" s="121"/>
      <c r="CH239" s="121"/>
      <c r="CI239" s="121"/>
      <c r="CJ239" s="121"/>
      <c r="CK239" s="121"/>
      <c r="CL239" s="121"/>
      <c r="CM239" s="121"/>
      <c r="CN239" s="121"/>
      <c r="CO239" s="121"/>
      <c r="CP239" s="121"/>
      <c r="CQ239" s="121"/>
    </row>
    <row r="240" spans="1:101" s="62" customFormat="1" ht="35.1" customHeight="1" x14ac:dyDescent="0.2">
      <c r="A240" s="487" t="s">
        <v>1839</v>
      </c>
      <c r="B240" s="572">
        <v>580051415</v>
      </c>
      <c r="C240" s="494">
        <v>1000538055</v>
      </c>
      <c r="D240" s="319">
        <v>40000113</v>
      </c>
      <c r="E240" s="46">
        <v>20000</v>
      </c>
      <c r="F240" s="46">
        <v>20000</v>
      </c>
      <c r="G240" s="284">
        <v>20000</v>
      </c>
      <c r="H240" s="297">
        <v>20000</v>
      </c>
      <c r="I240" s="119">
        <v>24590</v>
      </c>
      <c r="J240" s="46">
        <v>28555</v>
      </c>
      <c r="K240" s="46">
        <f t="shared" si="10"/>
        <v>28555</v>
      </c>
      <c r="L240" s="59">
        <v>0</v>
      </c>
      <c r="M240" s="77"/>
      <c r="N240" s="121"/>
      <c r="O240" s="288">
        <f>MATCH(B240,'42-02-31 תרבות בקהילה'!$B$5:$B$120,0)</f>
        <v>12</v>
      </c>
      <c r="P240" s="288" t="e">
        <f>MATCH(B240,'42-02-31 תרבות בקהילה'!$B$122:$B$190,0)</f>
        <v>#N/A</v>
      </c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  <c r="BA240" s="121"/>
      <c r="BB240" s="121"/>
      <c r="BC240" s="121"/>
      <c r="BD240" s="121"/>
      <c r="BE240" s="121"/>
      <c r="BF240" s="121"/>
      <c r="BG240" s="121"/>
      <c r="BH240" s="121"/>
      <c r="BI240" s="121"/>
      <c r="BJ240" s="121"/>
      <c r="BK240" s="121"/>
      <c r="BL240" s="121"/>
      <c r="BM240" s="121"/>
      <c r="BN240" s="121"/>
      <c r="BO240" s="121"/>
      <c r="BP240" s="121"/>
      <c r="BQ240" s="121"/>
      <c r="BR240" s="121"/>
      <c r="BS240" s="121"/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  <c r="CK240" s="121"/>
      <c r="CL240" s="121"/>
      <c r="CM240" s="121"/>
      <c r="CN240" s="121"/>
      <c r="CO240" s="121"/>
      <c r="CP240" s="121"/>
      <c r="CQ240" s="121"/>
    </row>
    <row r="241" spans="1:101" s="62" customFormat="1" ht="35.1" customHeight="1" x14ac:dyDescent="0.2">
      <c r="A241" s="487" t="s">
        <v>1840</v>
      </c>
      <c r="B241" s="572">
        <v>580051415</v>
      </c>
      <c r="C241" s="494">
        <v>1000538054</v>
      </c>
      <c r="D241" s="319">
        <v>40000113</v>
      </c>
      <c r="E241" s="46">
        <v>0</v>
      </c>
      <c r="F241" s="46">
        <v>20000</v>
      </c>
      <c r="G241" s="284">
        <v>20000</v>
      </c>
      <c r="H241" s="284">
        <v>20000</v>
      </c>
      <c r="I241" s="119">
        <v>24590</v>
      </c>
      <c r="J241" s="46">
        <v>28555</v>
      </c>
      <c r="K241" s="46">
        <f t="shared" si="10"/>
        <v>28555</v>
      </c>
      <c r="L241" s="59">
        <v>0</v>
      </c>
      <c r="M241" s="77"/>
      <c r="N241" s="121"/>
      <c r="O241" s="288">
        <f>MATCH(B241,'42-02-31 תרבות בקהילה'!$B$5:$B$120,0)</f>
        <v>12</v>
      </c>
      <c r="P241" s="288" t="e">
        <f>MATCH(B241,'42-02-31 תרבות בקהילה'!$B$122:$B$190,0)</f>
        <v>#N/A</v>
      </c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  <c r="BA241" s="121"/>
      <c r="BB241" s="121"/>
      <c r="BC241" s="121"/>
      <c r="BD241" s="121"/>
      <c r="BE241" s="121"/>
      <c r="BF241" s="121"/>
      <c r="BG241" s="121"/>
      <c r="BH241" s="121"/>
      <c r="BI241" s="121"/>
      <c r="BJ241" s="121"/>
      <c r="BK241" s="121"/>
      <c r="BL241" s="121"/>
      <c r="BM241" s="121"/>
      <c r="BN241" s="121"/>
      <c r="BO241" s="121"/>
      <c r="BP241" s="121"/>
      <c r="BQ241" s="121"/>
      <c r="BR241" s="121"/>
      <c r="BS241" s="121"/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  <c r="CK241" s="121"/>
      <c r="CL241" s="121"/>
      <c r="CM241" s="121"/>
      <c r="CN241" s="121"/>
      <c r="CO241" s="121"/>
      <c r="CP241" s="121"/>
      <c r="CQ241" s="121"/>
    </row>
    <row r="242" spans="1:101" s="62" customFormat="1" ht="35.1" customHeight="1" x14ac:dyDescent="0.2">
      <c r="A242" s="45" t="s">
        <v>1841</v>
      </c>
      <c r="B242" s="96">
        <v>580490191</v>
      </c>
      <c r="C242" s="49">
        <v>1000545524</v>
      </c>
      <c r="D242" s="48">
        <v>40329274</v>
      </c>
      <c r="E242" s="46">
        <v>0</v>
      </c>
      <c r="F242" s="46">
        <v>0</v>
      </c>
      <c r="G242" s="284">
        <v>0</v>
      </c>
      <c r="H242" s="297">
        <v>40000</v>
      </c>
      <c r="I242" s="119">
        <v>40000</v>
      </c>
      <c r="J242" s="46">
        <v>35373</v>
      </c>
      <c r="K242" s="46">
        <f t="shared" si="8"/>
        <v>35373</v>
      </c>
      <c r="L242" s="59">
        <v>0</v>
      </c>
      <c r="M242" s="587"/>
      <c r="N242" s="121"/>
      <c r="O242" s="288">
        <f>MATCH(B242,'42-02-31 תרבות בקהילה'!$B$5:$B$120,0)</f>
        <v>72</v>
      </c>
      <c r="P242" s="288" t="e">
        <f>MATCH(B242,'42-02-31 תרבות בקהילה'!$B$122:$B$190,0)</f>
        <v>#N/A</v>
      </c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  <c r="BA242" s="121"/>
      <c r="BB242" s="121"/>
      <c r="BC242" s="121"/>
      <c r="BD242" s="121"/>
      <c r="BE242" s="121"/>
      <c r="BF242" s="121"/>
      <c r="BG242" s="121"/>
      <c r="BH242" s="121"/>
      <c r="BI242" s="121"/>
      <c r="BJ242" s="121"/>
      <c r="BK242" s="121"/>
      <c r="BL242" s="121"/>
      <c r="BM242" s="121"/>
      <c r="BN242" s="121"/>
      <c r="BO242" s="121"/>
      <c r="BP242" s="121"/>
      <c r="BQ242" s="121"/>
      <c r="BR242" s="121"/>
      <c r="BS242" s="121"/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  <c r="CK242" s="121"/>
      <c r="CL242" s="121"/>
      <c r="CM242" s="121"/>
      <c r="CN242" s="121"/>
      <c r="CO242" s="121"/>
      <c r="CP242" s="121"/>
      <c r="CQ242" s="121"/>
    </row>
    <row r="243" spans="1:101" ht="40.5" customHeight="1" x14ac:dyDescent="0.2">
      <c r="A243" s="487" t="s">
        <v>1842</v>
      </c>
      <c r="B243" s="572">
        <v>500237979</v>
      </c>
      <c r="C243" s="494">
        <v>1000542942</v>
      </c>
      <c r="D243" s="319">
        <v>20000181</v>
      </c>
      <c r="E243" s="46">
        <v>0</v>
      </c>
      <c r="F243" s="46">
        <v>20000</v>
      </c>
      <c r="G243" s="284">
        <v>25000</v>
      </c>
      <c r="H243" s="284">
        <v>0</v>
      </c>
      <c r="I243" s="119">
        <v>20000</v>
      </c>
      <c r="J243" s="46">
        <v>17687</v>
      </c>
      <c r="K243" s="46">
        <f t="shared" si="8"/>
        <v>17687</v>
      </c>
      <c r="L243" s="59">
        <v>0</v>
      </c>
      <c r="M243" s="474"/>
      <c r="N243" s="42"/>
      <c r="O243" s="288" t="e">
        <f>MATCH(B243,'42-02-31 תרבות בקהילה'!$B$5:$B$120,0)</f>
        <v>#N/A</v>
      </c>
      <c r="P243" s="288">
        <f>MATCH(B243,'42-02-31 תרבות בקהילה'!$B$122:$B$190,0)</f>
        <v>13</v>
      </c>
      <c r="Q243" s="42"/>
      <c r="CR243" s="41"/>
      <c r="CS243" s="41"/>
      <c r="CT243" s="41"/>
      <c r="CU243" s="41"/>
      <c r="CV243" s="41"/>
      <c r="CW243" s="41"/>
    </row>
    <row r="244" spans="1:101" s="62" customFormat="1" ht="35.1" customHeight="1" x14ac:dyDescent="0.2">
      <c r="A244" s="487" t="s">
        <v>1843</v>
      </c>
      <c r="B244" s="572">
        <v>500237979</v>
      </c>
      <c r="C244" s="494">
        <v>1000542981</v>
      </c>
      <c r="D244" s="319">
        <v>20000181</v>
      </c>
      <c r="E244" s="46">
        <v>60000</v>
      </c>
      <c r="F244" s="101">
        <v>97442</v>
      </c>
      <c r="G244" s="284">
        <v>89760</v>
      </c>
      <c r="H244" s="284">
        <v>60000</v>
      </c>
      <c r="I244" s="119">
        <v>30000</v>
      </c>
      <c r="J244" s="46">
        <v>26530</v>
      </c>
      <c r="K244" s="46">
        <f t="shared" si="8"/>
        <v>26530</v>
      </c>
      <c r="L244" s="59">
        <v>0</v>
      </c>
      <c r="M244" s="79"/>
      <c r="N244" s="121"/>
      <c r="O244" s="288" t="e">
        <f>MATCH(B244,'42-02-31 תרבות בקהילה'!$B$5:$B$120,0)</f>
        <v>#N/A</v>
      </c>
      <c r="P244" s="288">
        <f>MATCH(B244,'42-02-31 תרבות בקהילה'!$B$122:$B$190,0)</f>
        <v>13</v>
      </c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1"/>
      <c r="BA244" s="121"/>
      <c r="BB244" s="121"/>
      <c r="BC244" s="121"/>
      <c r="BD244" s="121"/>
      <c r="BE244" s="121"/>
      <c r="BF244" s="121"/>
      <c r="BG244" s="121"/>
      <c r="BH244" s="121"/>
      <c r="BI244" s="121"/>
      <c r="BJ244" s="121"/>
      <c r="BK244" s="121"/>
      <c r="BL244" s="121"/>
      <c r="BM244" s="121"/>
      <c r="BN244" s="121"/>
      <c r="BO244" s="121"/>
      <c r="BP244" s="121"/>
      <c r="BQ244" s="121"/>
      <c r="BR244" s="121"/>
      <c r="BS244" s="121"/>
      <c r="BT244" s="121"/>
      <c r="BU244" s="121"/>
      <c r="BV244" s="121"/>
      <c r="BW244" s="121"/>
      <c r="BX244" s="121"/>
      <c r="BY244" s="121"/>
      <c r="BZ244" s="121"/>
      <c r="CA244" s="121"/>
      <c r="CB244" s="121"/>
      <c r="CC244" s="121"/>
      <c r="CD244" s="121"/>
      <c r="CE244" s="121"/>
      <c r="CF244" s="121"/>
      <c r="CG244" s="121"/>
      <c r="CH244" s="121"/>
      <c r="CI244" s="121"/>
      <c r="CJ244" s="121"/>
      <c r="CK244" s="121"/>
      <c r="CL244" s="121"/>
      <c r="CM244" s="121"/>
      <c r="CN244" s="121"/>
      <c r="CO244" s="121"/>
      <c r="CP244" s="121"/>
      <c r="CQ244" s="121"/>
    </row>
    <row r="245" spans="1:101" s="62" customFormat="1" ht="35.1" customHeight="1" x14ac:dyDescent="0.2">
      <c r="A245" s="487" t="s">
        <v>1844</v>
      </c>
      <c r="B245" s="572">
        <v>500237979</v>
      </c>
      <c r="C245" s="494">
        <v>1000553236</v>
      </c>
      <c r="D245" s="319">
        <v>20000181</v>
      </c>
      <c r="E245" s="46"/>
      <c r="F245" s="101"/>
      <c r="G245" s="284"/>
      <c r="H245" s="297"/>
      <c r="I245" s="119">
        <v>0</v>
      </c>
      <c r="J245" s="46">
        <v>19898</v>
      </c>
      <c r="K245" s="46">
        <f t="shared" si="8"/>
        <v>19898</v>
      </c>
      <c r="L245" s="59">
        <v>0</v>
      </c>
      <c r="M245" s="79"/>
      <c r="N245" s="121"/>
      <c r="O245" s="288" t="e">
        <f>MATCH(B245,'42-02-31 תרבות בקהילה'!$B$5:$B$120,0)</f>
        <v>#N/A</v>
      </c>
      <c r="P245" s="288">
        <f>MATCH(B245,'42-02-31 תרבות בקהילה'!$B$122:$B$190,0)</f>
        <v>13</v>
      </c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1"/>
      <c r="BA245" s="121"/>
      <c r="BB245" s="121"/>
      <c r="BC245" s="121"/>
      <c r="BD245" s="121"/>
      <c r="BE245" s="121"/>
      <c r="BF245" s="121"/>
      <c r="BG245" s="121"/>
      <c r="BH245" s="121"/>
      <c r="BI245" s="121"/>
      <c r="BJ245" s="121"/>
      <c r="BK245" s="121"/>
      <c r="BL245" s="121"/>
      <c r="BM245" s="121"/>
      <c r="BN245" s="121"/>
      <c r="BO245" s="121"/>
      <c r="BP245" s="121"/>
      <c r="BQ245" s="121"/>
      <c r="BR245" s="121"/>
      <c r="BS245" s="121"/>
      <c r="BT245" s="121"/>
      <c r="BU245" s="121"/>
      <c r="BV245" s="121"/>
      <c r="BW245" s="121"/>
      <c r="BX245" s="121"/>
      <c r="BY245" s="121"/>
      <c r="BZ245" s="121"/>
      <c r="CA245" s="121"/>
      <c r="CB245" s="121"/>
      <c r="CC245" s="121"/>
      <c r="CD245" s="121"/>
      <c r="CE245" s="121"/>
      <c r="CF245" s="121"/>
      <c r="CG245" s="121"/>
      <c r="CH245" s="121"/>
      <c r="CI245" s="121"/>
      <c r="CJ245" s="121"/>
      <c r="CK245" s="121"/>
      <c r="CL245" s="121"/>
      <c r="CM245" s="121"/>
      <c r="CN245" s="121"/>
      <c r="CO245" s="121"/>
      <c r="CP245" s="121"/>
      <c r="CQ245" s="121"/>
    </row>
    <row r="246" spans="1:101" s="62" customFormat="1" ht="35.1" customHeight="1" x14ac:dyDescent="0.2">
      <c r="A246" s="487" t="s">
        <v>1845</v>
      </c>
      <c r="B246" s="318">
        <v>500237805</v>
      </c>
      <c r="C246" s="494">
        <v>1000546641</v>
      </c>
      <c r="D246" s="319">
        <v>20000180</v>
      </c>
      <c r="E246" s="46">
        <v>50000</v>
      </c>
      <c r="F246" s="101">
        <v>81200</v>
      </c>
      <c r="G246" s="284">
        <v>60000</v>
      </c>
      <c r="H246" s="297">
        <v>60000</v>
      </c>
      <c r="I246" s="119">
        <v>30000</v>
      </c>
      <c r="J246" s="46">
        <v>26530</v>
      </c>
      <c r="K246" s="46">
        <f t="shared" si="8"/>
        <v>26530</v>
      </c>
      <c r="L246" s="59">
        <v>0</v>
      </c>
      <c r="M246" s="77"/>
      <c r="N246" s="121"/>
      <c r="O246" s="288" t="e">
        <f>MATCH(B246,'42-02-31 תרבות בקהילה'!$B$5:$B$120,0)</f>
        <v>#N/A</v>
      </c>
      <c r="P246" s="288">
        <f>MATCH(B246,'42-02-31 תרבות בקהילה'!$B$122:$B$190,0)</f>
        <v>6</v>
      </c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  <c r="BA246" s="121"/>
      <c r="BB246" s="121"/>
      <c r="BC246" s="121"/>
      <c r="BD246" s="121"/>
      <c r="BE246" s="121"/>
      <c r="BF246" s="121"/>
      <c r="BG246" s="121"/>
      <c r="BH246" s="121"/>
      <c r="BI246" s="121"/>
      <c r="BJ246" s="121"/>
      <c r="BK246" s="121"/>
      <c r="BL246" s="121"/>
      <c r="BM246" s="121"/>
      <c r="BN246" s="121"/>
      <c r="BO246" s="121"/>
      <c r="BP246" s="121"/>
      <c r="BQ246" s="121"/>
      <c r="BR246" s="121"/>
      <c r="BS246" s="121"/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  <c r="CK246" s="121"/>
      <c r="CL246" s="121"/>
      <c r="CM246" s="121"/>
      <c r="CN246" s="121"/>
      <c r="CO246" s="121"/>
      <c r="CP246" s="121"/>
      <c r="CQ246" s="121"/>
    </row>
    <row r="247" spans="1:101" s="62" customFormat="1" ht="27.75" customHeight="1" x14ac:dyDescent="0.2">
      <c r="A247" s="487" t="s">
        <v>1846</v>
      </c>
      <c r="B247" s="318">
        <v>500237805</v>
      </c>
      <c r="C247" s="494">
        <v>1000546542</v>
      </c>
      <c r="D247" s="319">
        <v>20000180</v>
      </c>
      <c r="E247" s="46">
        <v>25000</v>
      </c>
      <c r="F247" s="101">
        <v>63933</v>
      </c>
      <c r="G247" s="284">
        <v>134320</v>
      </c>
      <c r="H247" s="297">
        <v>110000</v>
      </c>
      <c r="I247" s="119">
        <v>110000</v>
      </c>
      <c r="J247" s="46">
        <v>97277</v>
      </c>
      <c r="K247" s="46">
        <f t="shared" si="8"/>
        <v>97277</v>
      </c>
      <c r="L247" s="59">
        <v>0</v>
      </c>
      <c r="M247" s="588"/>
      <c r="N247" s="121"/>
      <c r="O247" s="288" t="e">
        <f>MATCH(B247,'42-02-31 תרבות בקהילה'!$B$5:$B$120,0)</f>
        <v>#N/A</v>
      </c>
      <c r="P247" s="288">
        <f>MATCH(B247,'42-02-31 תרבות בקהילה'!$B$122:$B$190,0)</f>
        <v>6</v>
      </c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  <c r="BA247" s="121"/>
      <c r="BB247" s="121"/>
      <c r="BC247" s="121"/>
      <c r="BD247" s="121"/>
      <c r="BE247" s="121"/>
      <c r="BF247" s="121"/>
      <c r="BG247" s="121"/>
      <c r="BH247" s="121"/>
      <c r="BI247" s="121"/>
      <c r="BJ247" s="121"/>
      <c r="BK247" s="121"/>
      <c r="BL247" s="121"/>
      <c r="BM247" s="121"/>
      <c r="BN247" s="121"/>
      <c r="BO247" s="121"/>
      <c r="BP247" s="121"/>
      <c r="BQ247" s="121"/>
      <c r="BR247" s="121"/>
      <c r="BS247" s="121"/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  <c r="CK247" s="121"/>
      <c r="CL247" s="121"/>
      <c r="CM247" s="121"/>
      <c r="CN247" s="121"/>
      <c r="CO247" s="121"/>
      <c r="CP247" s="121"/>
      <c r="CQ247" s="121"/>
    </row>
    <row r="248" spans="1:101" s="62" customFormat="1" ht="35.1" customHeight="1" x14ac:dyDescent="0.2">
      <c r="A248" s="487" t="s">
        <v>1847</v>
      </c>
      <c r="B248" s="318">
        <v>500237805</v>
      </c>
      <c r="C248" s="494">
        <v>1000546627</v>
      </c>
      <c r="D248" s="319">
        <v>20000180</v>
      </c>
      <c r="E248" s="46">
        <v>20000</v>
      </c>
      <c r="F248" s="101">
        <v>20815</v>
      </c>
      <c r="G248" s="284">
        <v>20000</v>
      </c>
      <c r="H248" s="284">
        <v>20000</v>
      </c>
      <c r="I248" s="46">
        <v>20000</v>
      </c>
      <c r="J248" s="46">
        <v>17687</v>
      </c>
      <c r="K248" s="46">
        <f t="shared" si="8"/>
        <v>17687</v>
      </c>
      <c r="L248" s="59">
        <v>0</v>
      </c>
      <c r="M248" s="77"/>
      <c r="N248" s="121"/>
      <c r="O248" s="288" t="e">
        <f>MATCH(B248,'42-02-31 תרבות בקהילה'!$B$5:$B$120,0)</f>
        <v>#N/A</v>
      </c>
      <c r="P248" s="288">
        <f>MATCH(B248,'42-02-31 תרבות בקהילה'!$B$122:$B$190,0)</f>
        <v>6</v>
      </c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1"/>
      <c r="BD248" s="121"/>
      <c r="BE248" s="121"/>
      <c r="BF248" s="121"/>
      <c r="BG248" s="121"/>
      <c r="BH248" s="121"/>
      <c r="BI248" s="121"/>
      <c r="BJ248" s="121"/>
      <c r="BK248" s="121"/>
      <c r="BL248" s="121"/>
      <c r="BM248" s="121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  <c r="CK248" s="121"/>
      <c r="CL248" s="121"/>
      <c r="CM248" s="121"/>
      <c r="CN248" s="121"/>
      <c r="CO248" s="121"/>
      <c r="CP248" s="121"/>
      <c r="CQ248" s="121"/>
    </row>
    <row r="249" spans="1:101" s="62" customFormat="1" ht="35.1" customHeight="1" x14ac:dyDescent="0.2">
      <c r="A249" s="487" t="s">
        <v>1848</v>
      </c>
      <c r="B249" s="318">
        <v>500237805</v>
      </c>
      <c r="C249" s="494">
        <v>1000546605</v>
      </c>
      <c r="D249" s="319">
        <v>20000180</v>
      </c>
      <c r="E249" s="46">
        <v>0</v>
      </c>
      <c r="F249" s="101">
        <v>0</v>
      </c>
      <c r="G249" s="284">
        <v>20000</v>
      </c>
      <c r="H249" s="284">
        <v>20000</v>
      </c>
      <c r="I249" s="46">
        <v>20000</v>
      </c>
      <c r="J249" s="46">
        <v>17687</v>
      </c>
      <c r="K249" s="46">
        <f>J249*100%</f>
        <v>17687</v>
      </c>
      <c r="L249" s="59">
        <v>0</v>
      </c>
      <c r="M249" s="77"/>
      <c r="N249" s="121"/>
      <c r="O249" s="288" t="e">
        <f>MATCH(B249,'42-02-31 תרבות בקהילה'!$B$5:$B$120,0)</f>
        <v>#N/A</v>
      </c>
      <c r="P249" s="288">
        <f>MATCH(B249,'42-02-31 תרבות בקהילה'!$B$122:$B$190,0)</f>
        <v>6</v>
      </c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1"/>
      <c r="BD249" s="121"/>
      <c r="BE249" s="121"/>
      <c r="BF249" s="121"/>
      <c r="BG249" s="121"/>
      <c r="BH249" s="121"/>
      <c r="BI249" s="121"/>
      <c r="BJ249" s="121"/>
      <c r="BK249" s="121"/>
      <c r="BL249" s="121"/>
      <c r="BM249" s="121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  <c r="CK249" s="121"/>
      <c r="CL249" s="121"/>
      <c r="CM249" s="121"/>
      <c r="CN249" s="121"/>
      <c r="CO249" s="121"/>
      <c r="CP249" s="121"/>
      <c r="CQ249" s="121"/>
    </row>
    <row r="250" spans="1:101" x14ac:dyDescent="0.2">
      <c r="J250" s="589">
        <f>SUM(J3:J249)</f>
        <v>13658265</v>
      </c>
    </row>
  </sheetData>
  <conditionalFormatting sqref="O3:P249">
    <cfRule type="containsErrors" dxfId="4" priority="1">
      <formula>ISERROR(O3)</formula>
    </cfRule>
  </conditionalFormatting>
  <pageMargins left="0.27559055118110237" right="0.23622047244094491" top="0.39370078740157483" bottom="0.47244094488188981" header="0.15748031496062992" footer="0.19685039370078741"/>
  <pageSetup paperSize="9" scale="98" fitToHeight="0" orientation="landscape" r:id="rId1"/>
  <headerFooter alignWithMargins="0">
    <oddHeader xml:space="preserve">&amp;C&amp;"Guttman Yad-Brush,רגיל"&amp;14תקנת תרבות בקהילה 42-02-31
</oddHeader>
    <oddFooter>&amp;L&amp;D&amp;C&amp;P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גיליון36"/>
  <dimension ref="A1:CR49"/>
  <sheetViews>
    <sheetView rightToLeft="1" zoomScale="80" zoomScaleNormal="80" zoomScaleSheetLayoutView="100" workbookViewId="0">
      <pane ySplit="1" topLeftCell="A53" activePane="bottomLeft" state="frozen"/>
      <selection pane="bottomLeft" activeCell="B5" sqref="B5"/>
    </sheetView>
  </sheetViews>
  <sheetFormatPr defaultColWidth="0.7109375" defaultRowHeight="12.75" x14ac:dyDescent="0.2"/>
  <cols>
    <col min="1" max="1" width="26.140625" style="41" customWidth="1"/>
    <col min="2" max="2" width="12" style="41" bestFit="1" customWidth="1"/>
    <col min="3" max="3" width="13.5703125" style="41" customWidth="1"/>
    <col min="4" max="4" width="10.42578125" style="41" customWidth="1"/>
    <col min="5" max="5" width="11.85546875" style="41" hidden="1" customWidth="1"/>
    <col min="6" max="6" width="13.140625" style="41" hidden="1" customWidth="1"/>
    <col min="7" max="7" width="12.85546875" style="117" hidden="1" customWidth="1"/>
    <col min="8" max="9" width="12.28515625" style="43" hidden="1" customWidth="1"/>
    <col min="10" max="12" width="12.85546875" style="43" customWidth="1"/>
    <col min="13" max="13" width="37.7109375" style="43" customWidth="1"/>
    <col min="14" max="14" width="31.85546875" style="115" customWidth="1"/>
    <col min="15" max="15" width="11.5703125" style="115" customWidth="1"/>
    <col min="16" max="17" width="11.42578125" style="115" customWidth="1"/>
    <col min="18" max="18" width="13" style="43" customWidth="1"/>
    <col min="19" max="19" width="25.7109375" style="43" customWidth="1"/>
    <col min="20" max="20" width="13" style="114" customWidth="1"/>
    <col min="21" max="80" width="0.7109375" style="42"/>
    <col min="81" max="16384" width="0.7109375" style="41"/>
  </cols>
  <sheetData>
    <row r="1" spans="1:95" s="99" customFormat="1" ht="41.25" customHeight="1" x14ac:dyDescent="0.2">
      <c r="A1" s="103" t="s">
        <v>273</v>
      </c>
      <c r="B1" s="103" t="s">
        <v>272</v>
      </c>
      <c r="C1" s="148" t="s">
        <v>1849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</row>
    <row r="2" spans="1:95" s="94" customFormat="1" ht="30" customHeight="1" x14ac:dyDescent="0.2">
      <c r="A2" s="145" t="s">
        <v>1850</v>
      </c>
      <c r="B2" s="144"/>
      <c r="C2" s="144"/>
      <c r="D2" s="144"/>
      <c r="E2" s="153"/>
      <c r="F2" s="153"/>
      <c r="G2" s="153"/>
      <c r="H2" s="243"/>
      <c r="I2" s="243"/>
      <c r="J2" s="243"/>
      <c r="K2" s="243"/>
      <c r="L2" s="243"/>
      <c r="M2" s="590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</row>
    <row r="3" spans="1:95" s="62" customFormat="1" ht="38.25" customHeight="1" x14ac:dyDescent="0.2">
      <c r="A3" s="55" t="s">
        <v>1851</v>
      </c>
      <c r="B3" s="182">
        <v>580038768</v>
      </c>
      <c r="C3" s="49">
        <v>1000540685</v>
      </c>
      <c r="D3" s="48">
        <v>40000385</v>
      </c>
      <c r="E3" s="46">
        <v>25000</v>
      </c>
      <c r="F3" s="119">
        <v>25000</v>
      </c>
      <c r="G3" s="119">
        <v>25000</v>
      </c>
      <c r="H3" s="46">
        <v>25000</v>
      </c>
      <c r="I3" s="46">
        <v>26413</v>
      </c>
      <c r="J3" s="150">
        <v>28063</v>
      </c>
      <c r="K3" s="101">
        <v>13206.5</v>
      </c>
      <c r="L3" s="149">
        <f>J3-K3</f>
        <v>14856.5</v>
      </c>
      <c r="M3" s="87" t="s">
        <v>186</v>
      </c>
      <c r="N3" s="44"/>
      <c r="O3" s="288" t="e">
        <f>MATCH(B3,#REF!,0)</f>
        <v>#REF!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</row>
    <row r="4" spans="1:95" s="62" customFormat="1" ht="40.5" customHeight="1" x14ac:dyDescent="0.2">
      <c r="A4" s="45" t="s">
        <v>1852</v>
      </c>
      <c r="B4" s="96">
        <v>580032381</v>
      </c>
      <c r="C4" s="130" t="s">
        <v>1853</v>
      </c>
      <c r="D4" s="48">
        <v>40000371</v>
      </c>
      <c r="E4" s="119">
        <v>115000</v>
      </c>
      <c r="F4" s="119">
        <v>114400</v>
      </c>
      <c r="G4" s="119">
        <v>80000</v>
      </c>
      <c r="H4" s="46">
        <v>80000</v>
      </c>
      <c r="I4" s="46">
        <v>80000</v>
      </c>
      <c r="J4" s="150">
        <v>82740</v>
      </c>
      <c r="K4" s="150">
        <v>32000</v>
      </c>
      <c r="L4" s="149">
        <f t="shared" ref="L4" si="0">J4-K4</f>
        <v>50740</v>
      </c>
      <c r="M4" s="78" t="s">
        <v>166</v>
      </c>
      <c r="N4" s="121"/>
      <c r="O4" s="288" t="e">
        <f>MATCH(B4,#REF!,0)</f>
        <v>#REF!</v>
      </c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</row>
    <row r="5" spans="1:95" s="298" customFormat="1" ht="48.75" customHeight="1" x14ac:dyDescent="0.2">
      <c r="A5" s="55" t="s">
        <v>1854</v>
      </c>
      <c r="B5" s="182">
        <v>580361285</v>
      </c>
      <c r="C5" s="49">
        <v>1000548698</v>
      </c>
      <c r="D5" s="48">
        <v>40016837</v>
      </c>
      <c r="E5" s="46">
        <v>342068</v>
      </c>
      <c r="F5" s="119">
        <v>462000</v>
      </c>
      <c r="G5" s="119">
        <v>288990</v>
      </c>
      <c r="H5" s="46">
        <v>250000</v>
      </c>
      <c r="I5" s="46">
        <v>230000</v>
      </c>
      <c r="J5" s="150">
        <v>258182</v>
      </c>
      <c r="K5" s="249"/>
      <c r="L5" s="149">
        <f>J5-K5</f>
        <v>258182</v>
      </c>
      <c r="M5" s="78" t="s">
        <v>166</v>
      </c>
      <c r="N5" s="44"/>
      <c r="O5" s="288" t="e">
        <f>MATCH(B5,#REF!,0)</f>
        <v>#REF!</v>
      </c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</row>
    <row r="6" spans="1:95" s="298" customFormat="1" ht="39.950000000000003" customHeight="1" x14ac:dyDescent="0.2">
      <c r="A6" s="85" t="s">
        <v>1855</v>
      </c>
      <c r="B6" s="66">
        <v>510748734</v>
      </c>
      <c r="C6" s="130">
        <v>1000542236</v>
      </c>
      <c r="D6" s="48">
        <v>40000028</v>
      </c>
      <c r="E6" s="46">
        <v>398250</v>
      </c>
      <c r="F6" s="119">
        <v>536360</v>
      </c>
      <c r="G6" s="119">
        <v>490000</v>
      </c>
      <c r="H6" s="46">
        <v>557123</v>
      </c>
      <c r="I6" s="46">
        <v>490000</v>
      </c>
      <c r="J6" s="150">
        <v>550041</v>
      </c>
      <c r="K6" s="150">
        <v>550041</v>
      </c>
      <c r="L6" s="150">
        <f t="shared" ref="L6:L13" si="1">J6-K6</f>
        <v>0</v>
      </c>
      <c r="M6" s="79"/>
      <c r="N6" s="44"/>
      <c r="O6" s="288" t="e">
        <f>MATCH(B6,#REF!,0)</f>
        <v>#REF!</v>
      </c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</row>
    <row r="7" spans="1:95" s="298" customFormat="1" ht="48" customHeight="1" x14ac:dyDescent="0.2">
      <c r="A7" s="55" t="s">
        <v>1856</v>
      </c>
      <c r="B7" s="182">
        <v>580015535</v>
      </c>
      <c r="C7" s="130">
        <v>1000541093</v>
      </c>
      <c r="D7" s="48">
        <v>40000065</v>
      </c>
      <c r="E7" s="46">
        <v>350000</v>
      </c>
      <c r="F7" s="119">
        <v>380000</v>
      </c>
      <c r="G7" s="119">
        <v>380000</v>
      </c>
      <c r="H7" s="46">
        <v>435000</v>
      </c>
      <c r="I7" s="46">
        <v>435000</v>
      </c>
      <c r="J7" s="150">
        <v>488302</v>
      </c>
      <c r="K7" s="150">
        <v>488302</v>
      </c>
      <c r="L7" s="150">
        <f t="shared" si="1"/>
        <v>0</v>
      </c>
      <c r="M7" s="79"/>
      <c r="N7" s="44"/>
      <c r="O7" s="288" t="e">
        <f>MATCH(B7,#REF!,0)</f>
        <v>#REF!</v>
      </c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</row>
    <row r="8" spans="1:95" s="62" customFormat="1" ht="74.25" customHeight="1" x14ac:dyDescent="0.2">
      <c r="A8" s="45" t="s">
        <v>1857</v>
      </c>
      <c r="B8" s="96">
        <v>580037596</v>
      </c>
      <c r="C8" s="130">
        <v>1000532709</v>
      </c>
      <c r="D8" s="48">
        <v>40000094</v>
      </c>
      <c r="E8" s="46">
        <v>290000</v>
      </c>
      <c r="F8" s="119">
        <v>350000</v>
      </c>
      <c r="G8" s="119">
        <v>350000</v>
      </c>
      <c r="H8" s="46">
        <v>350000</v>
      </c>
      <c r="I8" s="46">
        <v>350000</v>
      </c>
      <c r="J8" s="150">
        <v>392886</v>
      </c>
      <c r="K8" s="150">
        <v>392886</v>
      </c>
      <c r="L8" s="150">
        <f t="shared" si="1"/>
        <v>0</v>
      </c>
      <c r="M8" s="79"/>
      <c r="N8" s="121"/>
      <c r="O8" s="288" t="e">
        <f>MATCH(B8,#REF!,0)</f>
        <v>#REF!</v>
      </c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</row>
    <row r="9" spans="1:95" s="298" customFormat="1" ht="39.950000000000003" customHeight="1" x14ac:dyDescent="0.2">
      <c r="A9" s="45" t="s">
        <v>1858</v>
      </c>
      <c r="B9" s="96">
        <v>580145381</v>
      </c>
      <c r="C9" s="130">
        <v>1000542987</v>
      </c>
      <c r="D9" s="48">
        <v>40000151</v>
      </c>
      <c r="E9" s="46">
        <v>200000</v>
      </c>
      <c r="F9" s="119">
        <v>244134</v>
      </c>
      <c r="G9" s="119">
        <v>207319</v>
      </c>
      <c r="H9" s="46">
        <v>185000</v>
      </c>
      <c r="I9" s="46">
        <v>165000</v>
      </c>
      <c r="J9" s="150">
        <v>185218</v>
      </c>
      <c r="K9" s="150">
        <v>185218</v>
      </c>
      <c r="L9" s="150">
        <f t="shared" si="1"/>
        <v>0</v>
      </c>
      <c r="M9" s="77"/>
      <c r="N9" s="44"/>
      <c r="O9" s="288" t="e">
        <f>MATCH(B9,#REF!,0)</f>
        <v>#REF!</v>
      </c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</row>
    <row r="10" spans="1:95" s="62" customFormat="1" ht="39.950000000000003" customHeight="1" x14ac:dyDescent="0.2">
      <c r="A10" s="55" t="s">
        <v>1859</v>
      </c>
      <c r="B10" s="182">
        <v>580013522</v>
      </c>
      <c r="C10" s="130">
        <v>1000535127</v>
      </c>
      <c r="D10" s="48">
        <v>40000333</v>
      </c>
      <c r="E10" s="119">
        <v>445000</v>
      </c>
      <c r="F10" s="119">
        <v>506000</v>
      </c>
      <c r="G10" s="119">
        <v>400000</v>
      </c>
      <c r="H10" s="46">
        <v>415000</v>
      </c>
      <c r="I10" s="46">
        <v>400000</v>
      </c>
      <c r="J10" s="150">
        <v>449013</v>
      </c>
      <c r="K10" s="150">
        <v>449013</v>
      </c>
      <c r="L10" s="150">
        <f t="shared" si="1"/>
        <v>0</v>
      </c>
      <c r="M10" s="79"/>
      <c r="N10" s="121"/>
      <c r="O10" s="288" t="e">
        <f>MATCH(B10,#REF!,0)</f>
        <v>#REF!</v>
      </c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</row>
    <row r="11" spans="1:95" s="44" customFormat="1" ht="39.950000000000003" customHeight="1" x14ac:dyDescent="0.2">
      <c r="A11" s="85" t="s">
        <v>1860</v>
      </c>
      <c r="B11" s="66">
        <v>580029866</v>
      </c>
      <c r="C11" s="130">
        <v>1000540255</v>
      </c>
      <c r="D11" s="48">
        <v>40000365</v>
      </c>
      <c r="E11" s="46">
        <v>520000</v>
      </c>
      <c r="F11" s="119">
        <v>599500</v>
      </c>
      <c r="G11" s="119">
        <v>719938</v>
      </c>
      <c r="H11" s="46">
        <v>726058</v>
      </c>
      <c r="I11" s="46">
        <v>680000</v>
      </c>
      <c r="J11" s="150">
        <v>733322</v>
      </c>
      <c r="K11" s="150">
        <v>733322</v>
      </c>
      <c r="L11" s="150">
        <f t="shared" si="1"/>
        <v>0</v>
      </c>
      <c r="M11" s="79"/>
      <c r="O11" s="288" t="e">
        <f>MATCH(B11,#REF!,0)</f>
        <v>#REF!</v>
      </c>
    </row>
    <row r="12" spans="1:95" s="62" customFormat="1" ht="40.5" customHeight="1" x14ac:dyDescent="0.2">
      <c r="A12" s="55" t="s">
        <v>1861</v>
      </c>
      <c r="B12" s="182">
        <v>580065167</v>
      </c>
      <c r="C12" s="130">
        <v>1000543947</v>
      </c>
      <c r="D12" s="48">
        <v>40000417</v>
      </c>
      <c r="E12" s="392">
        <v>76932</v>
      </c>
      <c r="F12" s="119">
        <v>95600</v>
      </c>
      <c r="G12" s="119">
        <v>0</v>
      </c>
      <c r="H12" s="46">
        <v>50000</v>
      </c>
      <c r="I12" s="46">
        <v>50000</v>
      </c>
      <c r="J12" s="150">
        <v>56127</v>
      </c>
      <c r="K12" s="150">
        <v>56127</v>
      </c>
      <c r="L12" s="150">
        <f t="shared" si="1"/>
        <v>0</v>
      </c>
      <c r="M12" s="591"/>
      <c r="N12" s="44"/>
      <c r="O12" s="288" t="e">
        <f>MATCH(B12,#REF!,0)</f>
        <v>#REF!</v>
      </c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</row>
    <row r="13" spans="1:95" s="298" customFormat="1" ht="37.5" customHeight="1" x14ac:dyDescent="0.2">
      <c r="A13" s="134" t="s">
        <v>1862</v>
      </c>
      <c r="B13" s="126">
        <v>580186278</v>
      </c>
      <c r="C13" s="130">
        <v>1000537342</v>
      </c>
      <c r="D13" s="132">
        <v>40000541</v>
      </c>
      <c r="E13" s="46">
        <v>233500</v>
      </c>
      <c r="F13" s="119">
        <v>308000</v>
      </c>
      <c r="G13" s="46">
        <v>310000</v>
      </c>
      <c r="H13" s="46">
        <v>352466</v>
      </c>
      <c r="I13" s="46">
        <v>310000</v>
      </c>
      <c r="J13" s="150">
        <v>347985</v>
      </c>
      <c r="K13" s="150">
        <v>347985</v>
      </c>
      <c r="L13" s="150">
        <f t="shared" si="1"/>
        <v>0</v>
      </c>
      <c r="M13" s="79"/>
      <c r="N13" s="44"/>
      <c r="O13" s="288" t="e">
        <f>MATCH(B13,#REF!,0)</f>
        <v>#REF!</v>
      </c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</row>
    <row r="14" spans="1:95" s="62" customFormat="1" ht="39.950000000000003" customHeight="1" x14ac:dyDescent="0.2">
      <c r="A14" s="55" t="s">
        <v>1863</v>
      </c>
      <c r="B14" s="182">
        <v>580210870</v>
      </c>
      <c r="C14" s="130">
        <v>1000541818</v>
      </c>
      <c r="D14" s="48">
        <v>40000558</v>
      </c>
      <c r="E14" s="46">
        <v>142500</v>
      </c>
      <c r="F14" s="119">
        <v>140000</v>
      </c>
      <c r="G14" s="119">
        <v>140000</v>
      </c>
      <c r="H14" s="46">
        <v>140000</v>
      </c>
      <c r="I14" s="46">
        <v>147914</v>
      </c>
      <c r="J14" s="150">
        <v>157155</v>
      </c>
      <c r="K14" s="150">
        <v>157155</v>
      </c>
      <c r="L14" s="150">
        <f>J14-K14</f>
        <v>0</v>
      </c>
      <c r="M14" s="592"/>
      <c r="N14" s="44"/>
      <c r="O14" s="288" t="e">
        <f>MATCH(B14,#REF!,0)</f>
        <v>#REF!</v>
      </c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</row>
    <row r="15" spans="1:95" s="62" customFormat="1" ht="48" customHeight="1" x14ac:dyDescent="0.2">
      <c r="A15" s="55" t="s">
        <v>1864</v>
      </c>
      <c r="B15" s="182">
        <v>580337913</v>
      </c>
      <c r="C15" s="49">
        <v>1000544070</v>
      </c>
      <c r="D15" s="48">
        <v>40221476</v>
      </c>
      <c r="E15" s="119">
        <v>20000</v>
      </c>
      <c r="F15" s="119">
        <v>20000</v>
      </c>
      <c r="G15" s="119">
        <v>20000</v>
      </c>
      <c r="H15" s="46">
        <v>20000</v>
      </c>
      <c r="I15" s="46">
        <v>21131</v>
      </c>
      <c r="J15" s="150">
        <v>22451</v>
      </c>
      <c r="K15" s="150">
        <v>22451</v>
      </c>
      <c r="L15" s="150">
        <f>J15-K15</f>
        <v>0</v>
      </c>
      <c r="M15" s="82"/>
      <c r="N15" s="121"/>
      <c r="O15" s="288" t="e">
        <f>MATCH(B15,#REF!,0)</f>
        <v>#REF!</v>
      </c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</row>
    <row r="16" spans="1:95" s="62" customFormat="1" ht="47.25" customHeight="1" x14ac:dyDescent="0.2">
      <c r="A16" s="55" t="s">
        <v>1865</v>
      </c>
      <c r="B16" s="182">
        <v>580409449</v>
      </c>
      <c r="C16" s="130">
        <v>1000541844</v>
      </c>
      <c r="D16" s="48">
        <v>40221573</v>
      </c>
      <c r="E16" s="392">
        <v>80000</v>
      </c>
      <c r="F16" s="119">
        <v>80000</v>
      </c>
      <c r="G16" s="119">
        <v>100518</v>
      </c>
      <c r="H16" s="46">
        <v>100000</v>
      </c>
      <c r="I16" s="46">
        <v>80000</v>
      </c>
      <c r="J16" s="150">
        <v>89803</v>
      </c>
      <c r="K16" s="150">
        <v>89803</v>
      </c>
      <c r="L16" s="150">
        <f t="shared" ref="L16" si="2">J16-K16</f>
        <v>0</v>
      </c>
      <c r="M16" s="593"/>
      <c r="N16" s="121"/>
      <c r="O16" s="288" t="e">
        <f>MATCH(B16,#REF!,0)</f>
        <v>#REF!</v>
      </c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</row>
    <row r="17" spans="1:96" s="44" customFormat="1" ht="49.5" customHeight="1" x14ac:dyDescent="0.2">
      <c r="A17" s="51" t="s">
        <v>1866</v>
      </c>
      <c r="B17" s="182">
        <v>580281095</v>
      </c>
      <c r="C17" s="49">
        <v>1000545956</v>
      </c>
      <c r="D17" s="48">
        <v>40221530</v>
      </c>
      <c r="E17" s="46">
        <v>117500</v>
      </c>
      <c r="F17" s="119">
        <v>165000</v>
      </c>
      <c r="G17" s="119">
        <v>115000</v>
      </c>
      <c r="H17" s="46">
        <v>55000</v>
      </c>
      <c r="I17" s="46">
        <v>40000</v>
      </c>
      <c r="J17" s="150">
        <v>62204</v>
      </c>
      <c r="K17" s="150">
        <v>62204</v>
      </c>
      <c r="L17" s="150">
        <f>J17-K17</f>
        <v>0</v>
      </c>
      <c r="M17" s="77"/>
      <c r="O17" s="288" t="e">
        <f>MATCH(B17,#REF!,0)</f>
        <v>#REF!</v>
      </c>
    </row>
    <row r="18" spans="1:96" s="44" customFormat="1" ht="59.25" customHeight="1" x14ac:dyDescent="0.2">
      <c r="A18" s="55" t="s">
        <v>1867</v>
      </c>
      <c r="B18" s="182">
        <v>580181741</v>
      </c>
      <c r="C18" s="49">
        <v>1000535404</v>
      </c>
      <c r="D18" s="48">
        <v>40000538</v>
      </c>
      <c r="E18" s="119">
        <v>142500</v>
      </c>
      <c r="F18" s="119">
        <v>214500</v>
      </c>
      <c r="G18" s="119">
        <v>145000</v>
      </c>
      <c r="H18" s="46">
        <v>145000</v>
      </c>
      <c r="I18" s="46">
        <v>153197</v>
      </c>
      <c r="J18" s="150">
        <v>162767</v>
      </c>
      <c r="K18" s="150">
        <v>162767</v>
      </c>
      <c r="L18" s="150">
        <f>J18-K18</f>
        <v>0</v>
      </c>
      <c r="M18" s="79"/>
      <c r="O18" s="288" t="e">
        <f>MATCH(B18,#REF!,0)</f>
        <v>#REF!</v>
      </c>
    </row>
    <row r="19" spans="1:96" s="44" customFormat="1" ht="64.5" customHeight="1" x14ac:dyDescent="0.2">
      <c r="A19" s="72" t="s">
        <v>1868</v>
      </c>
      <c r="B19" s="53">
        <v>580229771</v>
      </c>
      <c r="C19" s="130">
        <v>1000548446</v>
      </c>
      <c r="D19" s="48">
        <v>40000188</v>
      </c>
      <c r="E19" s="46">
        <v>160000</v>
      </c>
      <c r="F19" s="119">
        <v>160000</v>
      </c>
      <c r="G19" s="46">
        <v>158854</v>
      </c>
      <c r="H19" s="46">
        <v>160000</v>
      </c>
      <c r="I19" s="46">
        <v>160000</v>
      </c>
      <c r="J19" s="150">
        <v>179605</v>
      </c>
      <c r="K19" s="150">
        <v>179605</v>
      </c>
      <c r="L19" s="150">
        <f>J19-K19</f>
        <v>0</v>
      </c>
      <c r="M19" s="79"/>
      <c r="O19" s="288" t="e">
        <f>MATCH(B19,#REF!,0)</f>
        <v>#REF!</v>
      </c>
    </row>
    <row r="20" spans="1:96" s="298" customFormat="1" ht="39.950000000000003" customHeight="1" x14ac:dyDescent="0.2">
      <c r="A20" s="134" t="s">
        <v>1869</v>
      </c>
      <c r="B20" s="349">
        <v>580001451</v>
      </c>
      <c r="C20" s="189">
        <v>1000544404</v>
      </c>
      <c r="D20" s="132">
        <v>40000308</v>
      </c>
      <c r="E20" s="46">
        <v>30000</v>
      </c>
      <c r="F20" s="119">
        <v>28600</v>
      </c>
      <c r="G20" s="46">
        <v>31412</v>
      </c>
      <c r="H20" s="46">
        <v>27917</v>
      </c>
      <c r="I20" s="46">
        <v>25000</v>
      </c>
      <c r="J20" s="150">
        <v>28063</v>
      </c>
      <c r="K20" s="150">
        <v>28063</v>
      </c>
      <c r="L20" s="150">
        <f>J20-K20</f>
        <v>0</v>
      </c>
      <c r="M20" s="473"/>
      <c r="N20" s="44"/>
      <c r="O20" s="288" t="e">
        <f>MATCH(B20,#REF!,0)</f>
        <v>#REF!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</row>
    <row r="21" spans="1:96" s="62" customFormat="1" ht="75.75" customHeight="1" x14ac:dyDescent="0.2">
      <c r="A21" s="55" t="s">
        <v>1870</v>
      </c>
      <c r="B21" s="50">
        <v>580135903</v>
      </c>
      <c r="C21" s="130">
        <v>1000531264</v>
      </c>
      <c r="D21" s="48">
        <v>40216034</v>
      </c>
      <c r="E21" s="46">
        <v>400000</v>
      </c>
      <c r="F21" s="119">
        <v>506000</v>
      </c>
      <c r="G21" s="119">
        <v>523847</v>
      </c>
      <c r="H21" s="46">
        <v>440000</v>
      </c>
      <c r="I21" s="46">
        <v>420000</v>
      </c>
      <c r="J21" s="150">
        <v>471464</v>
      </c>
      <c r="K21" s="150">
        <v>471464</v>
      </c>
      <c r="L21" s="150">
        <f>J21-K21</f>
        <v>0</v>
      </c>
      <c r="M21" s="75"/>
      <c r="N21" s="44"/>
      <c r="O21" s="288" t="e">
        <f>MATCH(B21,#REF!,0)</f>
        <v>#REF!</v>
      </c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</row>
    <row r="22" spans="1:96" s="62" customFormat="1" ht="42.75" customHeight="1" x14ac:dyDescent="0.2">
      <c r="A22" s="45" t="s">
        <v>1871</v>
      </c>
      <c r="B22" s="96">
        <v>580370344</v>
      </c>
      <c r="C22" s="130">
        <v>1000534680</v>
      </c>
      <c r="D22" s="48">
        <v>40132386</v>
      </c>
      <c r="E22" s="119">
        <v>260000</v>
      </c>
      <c r="F22" s="119">
        <v>286000</v>
      </c>
      <c r="G22" s="119">
        <v>326684</v>
      </c>
      <c r="H22" s="46">
        <v>363250</v>
      </c>
      <c r="I22" s="46">
        <v>260000</v>
      </c>
      <c r="J22" s="150">
        <v>290836</v>
      </c>
      <c r="K22" s="150">
        <v>290836</v>
      </c>
      <c r="L22" s="150">
        <f t="shared" ref="L22:L23" si="3">J22-K22</f>
        <v>0</v>
      </c>
      <c r="M22" s="592"/>
      <c r="N22" s="121"/>
      <c r="O22" s="288" t="e">
        <f>MATCH(B22,#REF!,0)</f>
        <v>#REF!</v>
      </c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</row>
    <row r="23" spans="1:96" s="298" customFormat="1" ht="39" customHeight="1" x14ac:dyDescent="0.2">
      <c r="A23" s="55" t="s">
        <v>1872</v>
      </c>
      <c r="B23" s="182">
        <v>580222552</v>
      </c>
      <c r="C23" s="130" t="s">
        <v>1873</v>
      </c>
      <c r="D23" s="48">
        <v>40000574</v>
      </c>
      <c r="E23" s="46">
        <v>50000</v>
      </c>
      <c r="F23" s="119">
        <v>55000</v>
      </c>
      <c r="G23" s="119">
        <v>55000</v>
      </c>
      <c r="H23" s="46">
        <v>0</v>
      </c>
      <c r="I23" s="46">
        <v>50000</v>
      </c>
      <c r="J23" s="150">
        <v>56127</v>
      </c>
      <c r="K23" s="150">
        <v>56127</v>
      </c>
      <c r="L23" s="150">
        <f t="shared" si="3"/>
        <v>0</v>
      </c>
      <c r="M23" s="473"/>
      <c r="N23" s="44"/>
      <c r="O23" s="288" t="e">
        <f>MATCH(B23,#REF!,0)</f>
        <v>#REF!</v>
      </c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</row>
    <row r="24" spans="1:96" s="44" customFormat="1" ht="43.5" customHeight="1" x14ac:dyDescent="0.2">
      <c r="A24" s="72" t="s">
        <v>1874</v>
      </c>
      <c r="B24" s="53">
        <v>580540672</v>
      </c>
      <c r="C24" s="130">
        <v>1000551164</v>
      </c>
      <c r="D24" s="48">
        <v>40526318</v>
      </c>
      <c r="E24" s="46"/>
      <c r="F24" s="119"/>
      <c r="G24" s="46"/>
      <c r="H24" s="46"/>
      <c r="I24" s="46">
        <v>0</v>
      </c>
      <c r="J24" s="150">
        <v>50514</v>
      </c>
      <c r="K24" s="150">
        <v>50514</v>
      </c>
      <c r="L24" s="150">
        <f>J24-K24</f>
        <v>0</v>
      </c>
      <c r="M24" s="79"/>
      <c r="O24" s="288" t="e">
        <f>MATCH(B24,#REF!,0)</f>
        <v>#REF!</v>
      </c>
    </row>
    <row r="25" spans="1:96" s="62" customFormat="1" ht="64.5" customHeight="1" x14ac:dyDescent="0.2">
      <c r="A25" s="51" t="s">
        <v>1875</v>
      </c>
      <c r="B25" s="105">
        <v>580041770</v>
      </c>
      <c r="C25" s="130">
        <v>1000542569</v>
      </c>
      <c r="D25" s="48">
        <v>40299606</v>
      </c>
      <c r="E25" s="46">
        <v>0</v>
      </c>
      <c r="F25" s="119">
        <v>262000</v>
      </c>
      <c r="G25" s="119">
        <v>250000</v>
      </c>
      <c r="H25" s="46">
        <v>353417</v>
      </c>
      <c r="I25" s="46">
        <v>350000</v>
      </c>
      <c r="J25" s="150">
        <v>392886</v>
      </c>
      <c r="K25" s="150">
        <v>392886</v>
      </c>
      <c r="L25" s="150">
        <f t="shared" ref="L25:L28" si="4">J25-K25</f>
        <v>0</v>
      </c>
      <c r="M25" s="593"/>
      <c r="N25" s="121"/>
      <c r="O25" s="288" t="e">
        <f>MATCH(B25,#REF!,0)</f>
        <v>#REF!</v>
      </c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</row>
    <row r="26" spans="1:96" s="62" customFormat="1" ht="91.5" customHeight="1" x14ac:dyDescent="0.2">
      <c r="A26" s="85" t="s">
        <v>1876</v>
      </c>
      <c r="B26" s="66">
        <v>580094977</v>
      </c>
      <c r="C26" s="130">
        <v>1000546263</v>
      </c>
      <c r="D26" s="48">
        <v>40000458</v>
      </c>
      <c r="E26" s="119">
        <v>1258250</v>
      </c>
      <c r="F26" s="119">
        <v>1145720</v>
      </c>
      <c r="G26" s="119">
        <v>1200000</v>
      </c>
      <c r="H26" s="46">
        <v>1200000</v>
      </c>
      <c r="I26" s="46">
        <v>1200000</v>
      </c>
      <c r="J26" s="150">
        <v>1347039</v>
      </c>
      <c r="K26" s="150">
        <v>1347039</v>
      </c>
      <c r="L26" s="150">
        <f t="shared" si="4"/>
        <v>0</v>
      </c>
      <c r="M26" s="79"/>
      <c r="N26" s="121"/>
      <c r="O26" s="288" t="e">
        <f>MATCH(B26,#REF!,0)</f>
        <v>#REF!</v>
      </c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</row>
    <row r="27" spans="1:96" s="44" customFormat="1" ht="48.75" customHeight="1" x14ac:dyDescent="0.2">
      <c r="A27" s="85" t="s">
        <v>1877</v>
      </c>
      <c r="B27" s="66">
        <v>580094977</v>
      </c>
      <c r="C27" s="130">
        <v>1000546264</v>
      </c>
      <c r="D27" s="48">
        <v>40000458</v>
      </c>
      <c r="E27" s="119">
        <v>610000</v>
      </c>
      <c r="F27" s="46">
        <v>847000</v>
      </c>
      <c r="G27" s="119">
        <v>730000</v>
      </c>
      <c r="H27" s="46">
        <v>830000</v>
      </c>
      <c r="I27" s="46">
        <v>805500</v>
      </c>
      <c r="J27" s="150">
        <v>918667</v>
      </c>
      <c r="K27" s="150">
        <v>918667</v>
      </c>
      <c r="L27" s="150">
        <f t="shared" si="4"/>
        <v>0</v>
      </c>
      <c r="M27" s="79"/>
      <c r="O27" s="288" t="e">
        <f>MATCH(B27,#REF!,0)</f>
        <v>#REF!</v>
      </c>
    </row>
    <row r="28" spans="1:96" s="298" customFormat="1" ht="57.75" customHeight="1" x14ac:dyDescent="0.2">
      <c r="A28" s="51" t="s">
        <v>1878</v>
      </c>
      <c r="B28" s="182">
        <v>580008027</v>
      </c>
      <c r="C28" s="49">
        <v>1000533502</v>
      </c>
      <c r="D28" s="48">
        <v>40000056</v>
      </c>
      <c r="E28" s="46">
        <v>60000</v>
      </c>
      <c r="F28" s="46">
        <v>110000</v>
      </c>
      <c r="G28" s="46">
        <v>110000</v>
      </c>
      <c r="H28" s="46">
        <v>94906</v>
      </c>
      <c r="I28" s="46">
        <v>0</v>
      </c>
      <c r="J28" s="150">
        <v>123479</v>
      </c>
      <c r="K28" s="150">
        <v>123479</v>
      </c>
      <c r="L28" s="150">
        <f t="shared" si="4"/>
        <v>0</v>
      </c>
      <c r="M28" s="79"/>
      <c r="N28" s="44"/>
      <c r="O28" s="288" t="e">
        <f>MATCH(B28,#REF!,0)</f>
        <v>#REF!</v>
      </c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</row>
    <row r="29" spans="1:96" s="62" customFormat="1" ht="39.950000000000003" customHeight="1" x14ac:dyDescent="0.2">
      <c r="A29" s="55" t="s">
        <v>1879</v>
      </c>
      <c r="B29" s="50">
        <v>580465011</v>
      </c>
      <c r="C29" s="49">
        <v>1000541973</v>
      </c>
      <c r="D29" s="48">
        <v>40374764</v>
      </c>
      <c r="E29" s="46"/>
      <c r="F29" s="119">
        <v>0</v>
      </c>
      <c r="G29" s="119">
        <v>46250</v>
      </c>
      <c r="H29" s="46">
        <v>75811</v>
      </c>
      <c r="I29" s="46">
        <v>75000</v>
      </c>
      <c r="J29" s="150">
        <v>84190</v>
      </c>
      <c r="K29" s="150">
        <v>84190</v>
      </c>
      <c r="L29" s="150">
        <f>J29-K29</f>
        <v>0</v>
      </c>
      <c r="M29" s="75"/>
      <c r="O29" s="288" t="e">
        <f>MATCH(B29,#REF!,0)</f>
        <v>#REF!</v>
      </c>
    </row>
    <row r="30" spans="1:96" s="44" customFormat="1" ht="57.75" customHeight="1" x14ac:dyDescent="0.2">
      <c r="A30" s="45" t="s">
        <v>1880</v>
      </c>
      <c r="B30" s="96">
        <v>580181394</v>
      </c>
      <c r="C30" s="49">
        <v>1000541769</v>
      </c>
      <c r="D30" s="48">
        <v>40000537</v>
      </c>
      <c r="E30" s="46">
        <v>20000</v>
      </c>
      <c r="F30" s="119">
        <v>20000</v>
      </c>
      <c r="G30" s="46">
        <v>40000</v>
      </c>
      <c r="H30" s="46">
        <v>29824</v>
      </c>
      <c r="I30" s="46">
        <v>42261</v>
      </c>
      <c r="J30" s="150">
        <v>44901</v>
      </c>
      <c r="K30" s="150">
        <v>44901</v>
      </c>
      <c r="L30" s="150">
        <f t="shared" ref="L30:L48" si="5">J30-K30</f>
        <v>0</v>
      </c>
      <c r="M30" s="594"/>
      <c r="O30" s="288" t="e">
        <f>MATCH(B30,#REF!,0)</f>
        <v>#REF!</v>
      </c>
    </row>
    <row r="31" spans="1:96" s="44" customFormat="1" ht="39.75" customHeight="1" x14ac:dyDescent="0.2">
      <c r="A31" s="51" t="s">
        <v>1881</v>
      </c>
      <c r="B31" s="105">
        <v>580002996</v>
      </c>
      <c r="C31" s="49">
        <v>1000546764</v>
      </c>
      <c r="D31" s="48">
        <v>40188794</v>
      </c>
      <c r="E31" s="46">
        <v>60000</v>
      </c>
      <c r="F31" s="119">
        <v>121000</v>
      </c>
      <c r="G31" s="119">
        <v>160000</v>
      </c>
      <c r="H31" s="46">
        <v>180000</v>
      </c>
      <c r="I31" s="46">
        <v>160000</v>
      </c>
      <c r="J31" s="150">
        <v>179605</v>
      </c>
      <c r="K31" s="150">
        <v>179605</v>
      </c>
      <c r="L31" s="150">
        <f t="shared" si="5"/>
        <v>0</v>
      </c>
      <c r="M31" s="473"/>
      <c r="O31" s="288" t="e">
        <f>MATCH(B31,#REF!,0)</f>
        <v>#REF!</v>
      </c>
    </row>
    <row r="32" spans="1:96" s="62" customFormat="1" ht="39.950000000000003" customHeight="1" x14ac:dyDescent="0.2">
      <c r="A32" s="72" t="s">
        <v>1882</v>
      </c>
      <c r="B32" s="182">
        <v>510290026</v>
      </c>
      <c r="C32" s="49">
        <v>1000532065</v>
      </c>
      <c r="D32" s="48">
        <v>40216012</v>
      </c>
      <c r="E32" s="46">
        <v>25000</v>
      </c>
      <c r="F32" s="119">
        <v>25000</v>
      </c>
      <c r="G32" s="119">
        <v>25000</v>
      </c>
      <c r="H32" s="46">
        <v>25000</v>
      </c>
      <c r="I32" s="46">
        <v>25000</v>
      </c>
      <c r="J32" s="150">
        <v>28063</v>
      </c>
      <c r="K32" s="150">
        <v>28063</v>
      </c>
      <c r="L32" s="150">
        <f t="shared" si="5"/>
        <v>0</v>
      </c>
      <c r="M32" s="248"/>
      <c r="N32" s="44"/>
      <c r="O32" s="288" t="e">
        <f>MATCH(B32,#REF!,0)</f>
        <v>#REF!</v>
      </c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</row>
    <row r="33" spans="1:53" s="62" customFormat="1" ht="39.950000000000003" customHeight="1" x14ac:dyDescent="0.2">
      <c r="A33" s="45" t="s">
        <v>1883</v>
      </c>
      <c r="B33" s="96">
        <v>580216372</v>
      </c>
      <c r="C33" s="49">
        <v>1000534071</v>
      </c>
      <c r="D33" s="48">
        <v>40000184</v>
      </c>
      <c r="E33" s="46">
        <v>25000</v>
      </c>
      <c r="F33" s="119">
        <v>25000</v>
      </c>
      <c r="G33" s="119">
        <v>25000</v>
      </c>
      <c r="H33" s="46">
        <v>25000</v>
      </c>
      <c r="I33" s="46">
        <v>26413</v>
      </c>
      <c r="J33" s="150">
        <v>28063</v>
      </c>
      <c r="K33" s="150">
        <v>28063</v>
      </c>
      <c r="L33" s="150">
        <f t="shared" si="5"/>
        <v>0</v>
      </c>
      <c r="M33" s="595"/>
      <c r="N33" s="44"/>
      <c r="O33" s="288" t="e">
        <f>MATCH(B33,#REF!,0)</f>
        <v>#REF!</v>
      </c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</row>
    <row r="34" spans="1:53" s="298" customFormat="1" ht="39.950000000000003" customHeight="1" x14ac:dyDescent="0.2">
      <c r="A34" s="72" t="s">
        <v>1884</v>
      </c>
      <c r="B34" s="53">
        <v>580229771</v>
      </c>
      <c r="C34" s="49">
        <v>1000548690</v>
      </c>
      <c r="D34" s="48">
        <v>40000188</v>
      </c>
      <c r="E34" s="46">
        <v>20000</v>
      </c>
      <c r="F34" s="119">
        <v>20000</v>
      </c>
      <c r="G34" s="119">
        <v>20000</v>
      </c>
      <c r="H34" s="46">
        <v>20000</v>
      </c>
      <c r="I34" s="46">
        <v>20000</v>
      </c>
      <c r="J34" s="150">
        <v>22451</v>
      </c>
      <c r="K34" s="150">
        <v>22451</v>
      </c>
      <c r="L34" s="150">
        <f t="shared" si="5"/>
        <v>0</v>
      </c>
      <c r="M34" s="596"/>
      <c r="N34" s="44"/>
      <c r="O34" s="288" t="e">
        <f>MATCH(B34,#REF!,0)</f>
        <v>#REF!</v>
      </c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</row>
    <row r="35" spans="1:53" s="62" customFormat="1" ht="39.950000000000003" customHeight="1" x14ac:dyDescent="0.2">
      <c r="A35" s="55" t="s">
        <v>1885</v>
      </c>
      <c r="B35" s="50">
        <v>580020501</v>
      </c>
      <c r="C35" s="49">
        <v>1000546015</v>
      </c>
      <c r="D35" s="48">
        <v>40000071</v>
      </c>
      <c r="E35" s="46">
        <v>40000</v>
      </c>
      <c r="F35" s="119">
        <v>40000</v>
      </c>
      <c r="G35" s="119">
        <v>30000</v>
      </c>
      <c r="H35" s="46">
        <v>30000</v>
      </c>
      <c r="I35" s="46">
        <v>30000</v>
      </c>
      <c r="J35" s="150">
        <v>33676</v>
      </c>
      <c r="K35" s="150">
        <v>33676</v>
      </c>
      <c r="L35" s="150">
        <f t="shared" si="5"/>
        <v>0</v>
      </c>
      <c r="M35" s="129"/>
      <c r="N35" s="44"/>
      <c r="O35" s="288" t="e">
        <f>MATCH(B35,#REF!,0)</f>
        <v>#REF!</v>
      </c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</row>
    <row r="36" spans="1:53" s="62" customFormat="1" ht="39.950000000000003" customHeight="1" x14ac:dyDescent="0.2">
      <c r="A36" s="55" t="s">
        <v>1886</v>
      </c>
      <c r="B36" s="50">
        <v>580131480</v>
      </c>
      <c r="C36" s="49">
        <v>1000548055</v>
      </c>
      <c r="D36" s="48">
        <v>40016734</v>
      </c>
      <c r="E36" s="46">
        <v>0</v>
      </c>
      <c r="F36" s="119">
        <v>0</v>
      </c>
      <c r="G36" s="119">
        <v>30000</v>
      </c>
      <c r="H36" s="46">
        <v>30000</v>
      </c>
      <c r="I36" s="46">
        <v>30000</v>
      </c>
      <c r="J36" s="150">
        <v>33676</v>
      </c>
      <c r="K36" s="150">
        <v>33676</v>
      </c>
      <c r="L36" s="150">
        <f t="shared" si="5"/>
        <v>0</v>
      </c>
      <c r="M36" s="587"/>
      <c r="N36" s="44"/>
      <c r="O36" s="288" t="e">
        <f>MATCH(B36,#REF!,0)</f>
        <v>#REF!</v>
      </c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</row>
    <row r="37" spans="1:53" s="62" customFormat="1" ht="39.950000000000003" customHeight="1" x14ac:dyDescent="0.2">
      <c r="A37" s="72" t="s">
        <v>1887</v>
      </c>
      <c r="B37" s="182">
        <v>580020634</v>
      </c>
      <c r="C37" s="49">
        <v>1000540010</v>
      </c>
      <c r="D37" s="48">
        <v>40216016</v>
      </c>
      <c r="E37" s="46">
        <v>15000</v>
      </c>
      <c r="F37" s="119">
        <v>15000</v>
      </c>
      <c r="G37" s="119">
        <v>15000</v>
      </c>
      <c r="H37" s="46">
        <v>15000</v>
      </c>
      <c r="I37" s="46">
        <v>15000</v>
      </c>
      <c r="J37" s="150">
        <v>16838</v>
      </c>
      <c r="K37" s="150">
        <v>16838</v>
      </c>
      <c r="L37" s="150">
        <f t="shared" si="5"/>
        <v>0</v>
      </c>
      <c r="M37" s="150"/>
      <c r="N37" s="44"/>
      <c r="O37" s="288" t="e">
        <f>MATCH(B37,#REF!,0)</f>
        <v>#REF!</v>
      </c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</row>
    <row r="38" spans="1:53" s="62" customFormat="1" ht="39.950000000000003" customHeight="1" x14ac:dyDescent="0.2">
      <c r="A38" s="55" t="s">
        <v>1888</v>
      </c>
      <c r="B38" s="50">
        <v>580044725</v>
      </c>
      <c r="C38" s="49">
        <v>1000543996</v>
      </c>
      <c r="D38" s="48">
        <v>40214659</v>
      </c>
      <c r="E38" s="46">
        <v>0</v>
      </c>
      <c r="F38" s="46">
        <v>20000</v>
      </c>
      <c r="G38" s="119">
        <v>20000</v>
      </c>
      <c r="H38" s="46">
        <v>20000</v>
      </c>
      <c r="I38" s="46">
        <v>20000</v>
      </c>
      <c r="J38" s="150">
        <v>22451</v>
      </c>
      <c r="K38" s="150">
        <v>22451</v>
      </c>
      <c r="L38" s="150">
        <f t="shared" si="5"/>
        <v>0</v>
      </c>
      <c r="M38" s="597"/>
      <c r="O38" s="288" t="e">
        <f>MATCH(B38,#REF!,0)</f>
        <v>#REF!</v>
      </c>
    </row>
    <row r="39" spans="1:53" s="44" customFormat="1" ht="39.950000000000003" customHeight="1" x14ac:dyDescent="0.2">
      <c r="A39" s="51" t="s">
        <v>1889</v>
      </c>
      <c r="B39" s="105">
        <v>580021889</v>
      </c>
      <c r="C39" s="49">
        <v>1000538975</v>
      </c>
      <c r="D39" s="48">
        <v>40000353</v>
      </c>
      <c r="E39" s="46">
        <v>16000</v>
      </c>
      <c r="F39" s="119">
        <v>15000</v>
      </c>
      <c r="G39" s="119">
        <v>15000</v>
      </c>
      <c r="H39" s="46">
        <v>0</v>
      </c>
      <c r="I39" s="46">
        <v>15000</v>
      </c>
      <c r="J39" s="150">
        <v>16838</v>
      </c>
      <c r="K39" s="150">
        <v>16838</v>
      </c>
      <c r="L39" s="150">
        <f t="shared" si="5"/>
        <v>0</v>
      </c>
      <c r="M39" s="587"/>
      <c r="O39" s="288" t="e">
        <f>MATCH(B39,#REF!,0)</f>
        <v>#REF!</v>
      </c>
    </row>
    <row r="40" spans="1:53" s="44" customFormat="1" ht="39.950000000000003" customHeight="1" x14ac:dyDescent="0.2">
      <c r="A40" s="72" t="s">
        <v>1890</v>
      </c>
      <c r="B40" s="182">
        <v>580037208</v>
      </c>
      <c r="C40" s="49">
        <v>1000546262</v>
      </c>
      <c r="D40" s="48">
        <v>40215996</v>
      </c>
      <c r="E40" s="46">
        <v>25000</v>
      </c>
      <c r="F40" s="119">
        <v>82500</v>
      </c>
      <c r="G40" s="119">
        <v>75000</v>
      </c>
      <c r="H40" s="46">
        <v>86272</v>
      </c>
      <c r="I40" s="46">
        <v>75000</v>
      </c>
      <c r="J40" s="150">
        <v>84190</v>
      </c>
      <c r="K40" s="150">
        <v>84190</v>
      </c>
      <c r="L40" s="150">
        <f t="shared" si="5"/>
        <v>0</v>
      </c>
      <c r="M40" s="393"/>
      <c r="O40" s="288" t="e">
        <f>MATCH(B40,#REF!,0)</f>
        <v>#REF!</v>
      </c>
    </row>
    <row r="41" spans="1:53" s="62" customFormat="1" ht="39.950000000000003" customHeight="1" x14ac:dyDescent="0.2">
      <c r="A41" s="45" t="s">
        <v>1891</v>
      </c>
      <c r="B41" s="96">
        <v>580110740</v>
      </c>
      <c r="C41" s="49">
        <v>1000539794</v>
      </c>
      <c r="D41" s="48">
        <v>40000139</v>
      </c>
      <c r="E41" s="46">
        <v>20000</v>
      </c>
      <c r="F41" s="119">
        <v>20000</v>
      </c>
      <c r="G41" s="119">
        <v>30000</v>
      </c>
      <c r="H41" s="46">
        <v>50000</v>
      </c>
      <c r="I41" s="46">
        <v>50000</v>
      </c>
      <c r="J41" s="150">
        <v>56127</v>
      </c>
      <c r="K41" s="150">
        <v>56127</v>
      </c>
      <c r="L41" s="150">
        <f t="shared" si="5"/>
        <v>0</v>
      </c>
      <c r="M41" s="393"/>
      <c r="N41" s="44"/>
      <c r="O41" s="288" t="e">
        <f>MATCH(B41,#REF!,0)</f>
        <v>#REF!</v>
      </c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</row>
    <row r="42" spans="1:53" s="44" customFormat="1" ht="39.950000000000003" customHeight="1" x14ac:dyDescent="0.2">
      <c r="A42" s="45" t="s">
        <v>1892</v>
      </c>
      <c r="B42" s="96">
        <v>580306306</v>
      </c>
      <c r="C42" s="49">
        <v>1000537683</v>
      </c>
      <c r="D42" s="48">
        <v>40145897</v>
      </c>
      <c r="E42" s="46">
        <v>0</v>
      </c>
      <c r="F42" s="119">
        <v>33000</v>
      </c>
      <c r="G42" s="119">
        <v>24000</v>
      </c>
      <c r="H42" s="46">
        <v>25000</v>
      </c>
      <c r="I42" s="46">
        <v>25000</v>
      </c>
      <c r="J42" s="150">
        <v>28063</v>
      </c>
      <c r="K42" s="150">
        <v>28063</v>
      </c>
      <c r="L42" s="150">
        <f>J42-K42</f>
        <v>0</v>
      </c>
      <c r="M42" s="393"/>
      <c r="O42" s="288" t="e">
        <f>MATCH(B42,#REF!,0)</f>
        <v>#REF!</v>
      </c>
    </row>
    <row r="43" spans="1:53" s="44" customFormat="1" ht="39.950000000000003" customHeight="1" x14ac:dyDescent="0.2">
      <c r="A43" s="45" t="s">
        <v>1893</v>
      </c>
      <c r="B43" s="96">
        <v>580306306</v>
      </c>
      <c r="C43" s="49">
        <v>1000537662</v>
      </c>
      <c r="D43" s="48">
        <v>40145897</v>
      </c>
      <c r="E43" s="46">
        <v>0</v>
      </c>
      <c r="F43" s="119">
        <v>27500</v>
      </c>
      <c r="G43" s="119">
        <v>25000</v>
      </c>
      <c r="H43" s="46">
        <v>30000</v>
      </c>
      <c r="I43" s="46">
        <v>25000</v>
      </c>
      <c r="J43" s="150">
        <v>28063</v>
      </c>
      <c r="K43" s="150">
        <v>28063</v>
      </c>
      <c r="L43" s="150">
        <f>J43-K43</f>
        <v>0</v>
      </c>
      <c r="M43" s="598"/>
      <c r="O43" s="288" t="e">
        <f>MATCH(B43,#REF!,0)</f>
        <v>#REF!</v>
      </c>
    </row>
    <row r="44" spans="1:53" s="62" customFormat="1" ht="39.950000000000003" customHeight="1" x14ac:dyDescent="0.2">
      <c r="A44" s="55" t="s">
        <v>1894</v>
      </c>
      <c r="B44" s="50">
        <v>580041887</v>
      </c>
      <c r="C44" s="49">
        <v>1000549282</v>
      </c>
      <c r="D44" s="48">
        <v>40000102</v>
      </c>
      <c r="E44" s="46">
        <v>0</v>
      </c>
      <c r="F44" s="119">
        <v>66000</v>
      </c>
      <c r="G44" s="119">
        <v>55000</v>
      </c>
      <c r="H44" s="46">
        <v>0</v>
      </c>
      <c r="I44" s="46">
        <v>55000</v>
      </c>
      <c r="J44" s="150">
        <v>61739</v>
      </c>
      <c r="K44" s="150">
        <v>61739</v>
      </c>
      <c r="L44" s="150">
        <f>J44-K44</f>
        <v>0</v>
      </c>
      <c r="M44" s="77"/>
      <c r="O44" s="288" t="e">
        <f>MATCH(B44,#REF!,0)</f>
        <v>#REF!</v>
      </c>
    </row>
    <row r="45" spans="1:53" s="44" customFormat="1" ht="39.950000000000003" customHeight="1" x14ac:dyDescent="0.2">
      <c r="A45" s="55" t="s">
        <v>1895</v>
      </c>
      <c r="B45" s="96">
        <v>580094977</v>
      </c>
      <c r="C45" s="49">
        <v>1000546282</v>
      </c>
      <c r="D45" s="48">
        <v>40000458</v>
      </c>
      <c r="E45" s="46">
        <v>90000</v>
      </c>
      <c r="F45" s="119">
        <v>99000</v>
      </c>
      <c r="G45" s="119">
        <v>90000</v>
      </c>
      <c r="H45" s="46">
        <v>88650</v>
      </c>
      <c r="I45" s="46">
        <v>90000</v>
      </c>
      <c r="J45" s="150">
        <v>90000</v>
      </c>
      <c r="K45" s="150">
        <v>90000</v>
      </c>
      <c r="L45" s="150">
        <f>J45-K45</f>
        <v>0</v>
      </c>
      <c r="M45" s="473"/>
      <c r="O45" s="288" t="e">
        <f>MATCH(B45,#REF!,0)</f>
        <v>#REF!</v>
      </c>
    </row>
    <row r="46" spans="1:53" s="44" customFormat="1" ht="39.950000000000003" customHeight="1" x14ac:dyDescent="0.2">
      <c r="A46" s="51" t="s">
        <v>1896</v>
      </c>
      <c r="B46" s="50">
        <v>580158921</v>
      </c>
      <c r="C46" s="49">
        <v>1000541876</v>
      </c>
      <c r="D46" s="48">
        <v>40000517</v>
      </c>
      <c r="E46" s="46">
        <v>25000</v>
      </c>
      <c r="F46" s="46">
        <v>30000</v>
      </c>
      <c r="G46" s="46">
        <v>30000</v>
      </c>
      <c r="H46" s="46">
        <v>30000</v>
      </c>
      <c r="I46" s="46">
        <v>30000</v>
      </c>
      <c r="J46" s="150">
        <v>33676</v>
      </c>
      <c r="K46" s="150">
        <v>33676</v>
      </c>
      <c r="L46" s="150">
        <f t="shared" si="5"/>
        <v>0</v>
      </c>
      <c r="M46" s="587"/>
      <c r="O46" s="288" t="e">
        <f>MATCH(B46,#REF!,0)</f>
        <v>#REF!</v>
      </c>
    </row>
    <row r="47" spans="1:53" s="298" customFormat="1" ht="39.950000000000003" customHeight="1" x14ac:dyDescent="0.2">
      <c r="A47" s="51" t="s">
        <v>1897</v>
      </c>
      <c r="B47" s="50">
        <v>580158921</v>
      </c>
      <c r="C47" s="49">
        <v>1000541888</v>
      </c>
      <c r="D47" s="48">
        <v>40000517</v>
      </c>
      <c r="E47" s="46">
        <v>20000</v>
      </c>
      <c r="F47" s="119">
        <v>20000</v>
      </c>
      <c r="G47" s="119">
        <v>20000</v>
      </c>
      <c r="H47" s="46">
        <v>20000</v>
      </c>
      <c r="I47" s="46">
        <v>20000</v>
      </c>
      <c r="J47" s="150">
        <v>22451</v>
      </c>
      <c r="K47" s="150">
        <v>22451</v>
      </c>
      <c r="L47" s="150">
        <f t="shared" si="5"/>
        <v>0</v>
      </c>
      <c r="M47" s="587"/>
      <c r="N47" s="44"/>
      <c r="O47" s="288" t="e">
        <f>MATCH(B47,#REF!,0)</f>
        <v>#REF!</v>
      </c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</row>
    <row r="48" spans="1:53" s="121" customFormat="1" ht="39.950000000000003" customHeight="1" x14ac:dyDescent="0.2">
      <c r="A48" s="134" t="s">
        <v>1898</v>
      </c>
      <c r="B48" s="599">
        <v>580344638</v>
      </c>
      <c r="C48" s="189">
        <v>1000544693</v>
      </c>
      <c r="D48" s="132">
        <v>40016833</v>
      </c>
      <c r="E48" s="46">
        <v>29999</v>
      </c>
      <c r="F48" s="119">
        <v>30000</v>
      </c>
      <c r="G48" s="119">
        <v>30000</v>
      </c>
      <c r="H48" s="46">
        <v>60000</v>
      </c>
      <c r="I48" s="46">
        <v>0</v>
      </c>
      <c r="J48" s="150">
        <v>60000</v>
      </c>
      <c r="K48" s="150">
        <v>60000</v>
      </c>
      <c r="L48" s="150">
        <f t="shared" si="5"/>
        <v>0</v>
      </c>
      <c r="M48" s="150"/>
      <c r="N48" s="44"/>
      <c r="O48" s="288" t="e">
        <f>MATCH(B48,#REF!,0)</f>
        <v>#REF!</v>
      </c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</row>
    <row r="49" spans="10:10" x14ac:dyDescent="0.2">
      <c r="J49" s="150">
        <f>SUM(J3:J48)</f>
        <v>8900000</v>
      </c>
    </row>
  </sheetData>
  <conditionalFormatting sqref="O3:O48">
    <cfRule type="containsErrors" dxfId="3" priority="1">
      <formula>ISERROR(O3)</formula>
    </cfRule>
  </conditionalFormatting>
  <pageMargins left="0.11811023622047245" right="0.15748031496062992" top="0.47244094488188981" bottom="0.47244094488188981" header="0.15748031496062992" footer="0.19685039370078741"/>
  <pageSetup paperSize="9" scale="80" orientation="landscape" r:id="rId1"/>
  <headerFooter alignWithMargins="0">
    <oddHeader>&amp;C&amp;"Guttman Yad-Brush,רגיל"&amp;14תקנת מורשת 42-02-32</oddHeader>
    <oddFooter>&amp;L&amp;D&amp;C&amp;P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7">
    <pageSetUpPr fitToPage="1"/>
  </sheetPr>
  <dimension ref="A1:CB38"/>
  <sheetViews>
    <sheetView rightToLeft="1" zoomScale="80" zoomScaleNormal="80" zoomScaleSheetLayoutView="100" workbookViewId="0">
      <pane ySplit="1" topLeftCell="A2" activePane="bottomLeft" state="frozen"/>
      <selection pane="bottomLeft" activeCell="A8" sqref="A8"/>
    </sheetView>
  </sheetViews>
  <sheetFormatPr defaultColWidth="0.7109375" defaultRowHeight="12.75" x14ac:dyDescent="0.2"/>
  <cols>
    <col min="1" max="1" width="24.28515625" style="41" customWidth="1"/>
    <col min="2" max="2" width="10.85546875" style="41" bestFit="1" customWidth="1"/>
    <col min="3" max="3" width="13.5703125" style="41" customWidth="1"/>
    <col min="4" max="4" width="10.42578125" style="41" customWidth="1"/>
    <col min="5" max="5" width="11.85546875" style="41" hidden="1" customWidth="1"/>
    <col min="6" max="6" width="13.140625" style="41" hidden="1" customWidth="1"/>
    <col min="7" max="7" width="12.5703125" style="41" hidden="1" customWidth="1"/>
    <col min="8" max="8" width="0.140625" style="117" customWidth="1"/>
    <col min="9" max="9" width="13" style="117" hidden="1" customWidth="1"/>
    <col min="10" max="10" width="12.28515625" style="117" customWidth="1"/>
    <col min="11" max="12" width="13" style="117" customWidth="1"/>
    <col min="13" max="13" width="32.42578125" style="43" customWidth="1"/>
    <col min="14" max="34" width="5.140625" style="42" customWidth="1"/>
    <col min="35" max="57" width="0.7109375" style="42"/>
    <col min="58" max="16384" width="0.7109375" style="41"/>
  </cols>
  <sheetData>
    <row r="1" spans="1:78" s="99" customFormat="1" ht="41.2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</row>
    <row r="2" spans="1:78" s="94" customFormat="1" ht="30" customHeight="1" x14ac:dyDescent="0.2">
      <c r="A2" s="145" t="s">
        <v>1959</v>
      </c>
      <c r="B2" s="144"/>
      <c r="C2" s="144"/>
      <c r="D2" s="144"/>
      <c r="E2" s="153"/>
      <c r="F2" s="153"/>
      <c r="G2" s="243"/>
      <c r="H2" s="153"/>
      <c r="I2" s="153"/>
      <c r="J2" s="153"/>
      <c r="K2" s="153"/>
      <c r="L2" s="153"/>
      <c r="M2" s="611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</row>
    <row r="3" spans="1:78" s="379" customFormat="1" ht="39.950000000000003" customHeight="1" x14ac:dyDescent="0.2">
      <c r="A3" s="51" t="s">
        <v>1958</v>
      </c>
      <c r="B3" s="50">
        <v>580365443</v>
      </c>
      <c r="C3" s="607">
        <v>1000542280</v>
      </c>
      <c r="D3" s="610">
        <v>40006204</v>
      </c>
      <c r="E3" s="46">
        <v>0</v>
      </c>
      <c r="F3" s="46">
        <v>0</v>
      </c>
      <c r="G3" s="46">
        <v>200000</v>
      </c>
      <c r="H3" s="46">
        <v>40000</v>
      </c>
      <c r="I3" s="46">
        <v>200000</v>
      </c>
      <c r="J3" s="46">
        <v>216830</v>
      </c>
      <c r="K3" s="46">
        <v>216830</v>
      </c>
      <c r="L3" s="46">
        <v>0</v>
      </c>
      <c r="M3" s="88"/>
      <c r="P3" s="288">
        <f>MATCH(B3,'42-02-34 מוסדות מחקר תורניים'!$A$4:$A$37,0)</f>
        <v>34</v>
      </c>
    </row>
    <row r="4" spans="1:78" s="385" customFormat="1" ht="46.5" customHeight="1" x14ac:dyDescent="0.2">
      <c r="A4" s="51" t="s">
        <v>1957</v>
      </c>
      <c r="B4" s="50">
        <v>580008589</v>
      </c>
      <c r="C4" s="607">
        <v>1000532779</v>
      </c>
      <c r="D4" s="90">
        <v>40015160</v>
      </c>
      <c r="E4" s="46">
        <v>176510</v>
      </c>
      <c r="F4" s="46">
        <v>210480</v>
      </c>
      <c r="G4" s="46">
        <v>202606</v>
      </c>
      <c r="H4" s="46">
        <v>0</v>
      </c>
      <c r="I4" s="46">
        <v>208599</v>
      </c>
      <c r="J4" s="46">
        <v>156856</v>
      </c>
      <c r="K4" s="46">
        <v>156856</v>
      </c>
      <c r="L4" s="46">
        <v>0</v>
      </c>
      <c r="M4" s="50"/>
      <c r="N4" s="609"/>
      <c r="O4" s="609"/>
      <c r="P4" s="288">
        <f>MATCH(B4,'42-02-34 מוסדות מחקר תורניים'!$A$4:$A$37,0)</f>
        <v>27</v>
      </c>
      <c r="Q4" s="609"/>
      <c r="R4" s="609"/>
      <c r="S4" s="609"/>
      <c r="T4" s="609"/>
      <c r="U4" s="609"/>
      <c r="V4" s="609"/>
      <c r="W4" s="609"/>
      <c r="X4" s="609"/>
      <c r="Y4" s="609"/>
      <c r="Z4" s="609"/>
      <c r="AA4" s="609"/>
      <c r="AB4" s="609"/>
      <c r="AC4" s="609"/>
      <c r="AD4" s="609"/>
      <c r="AE4" s="609"/>
      <c r="AF4" s="609"/>
      <c r="AG4" s="609"/>
      <c r="AH4" s="609"/>
      <c r="AI4" s="609"/>
      <c r="AJ4" s="609"/>
      <c r="AK4" s="609"/>
      <c r="AL4" s="609"/>
      <c r="AM4" s="609"/>
      <c r="AN4" s="609"/>
      <c r="AO4" s="609"/>
      <c r="AP4" s="609"/>
      <c r="AQ4" s="609"/>
      <c r="AR4" s="609"/>
      <c r="AS4" s="609"/>
      <c r="AT4" s="609"/>
      <c r="AU4" s="609"/>
      <c r="AV4" s="609"/>
      <c r="AW4" s="609"/>
      <c r="AX4" s="609"/>
      <c r="AY4" s="609"/>
      <c r="AZ4" s="609"/>
      <c r="BA4" s="609"/>
      <c r="BB4" s="609"/>
      <c r="BC4" s="609"/>
    </row>
    <row r="5" spans="1:78" s="379" customFormat="1" ht="39.950000000000003" customHeight="1" x14ac:dyDescent="0.2">
      <c r="A5" s="51" t="s">
        <v>1956</v>
      </c>
      <c r="B5" s="50">
        <v>580008589</v>
      </c>
      <c r="C5" s="607">
        <v>1000538003</v>
      </c>
      <c r="D5" s="90">
        <v>40015160</v>
      </c>
      <c r="E5" s="46"/>
      <c r="F5" s="46"/>
      <c r="G5" s="46"/>
      <c r="H5" s="46"/>
      <c r="I5" s="46">
        <v>0</v>
      </c>
      <c r="J5" s="46">
        <v>161469</v>
      </c>
      <c r="K5" s="46">
        <v>161469</v>
      </c>
      <c r="L5" s="46">
        <v>0</v>
      </c>
      <c r="M5" s="50"/>
      <c r="P5" s="288">
        <f>MATCH(B5,'42-02-34 מוסדות מחקר תורניים'!$A$4:$A$37,0)</f>
        <v>27</v>
      </c>
    </row>
    <row r="6" spans="1:78" s="379" customFormat="1" ht="62.25" customHeight="1" x14ac:dyDescent="0.2">
      <c r="A6" s="51" t="s">
        <v>1955</v>
      </c>
      <c r="B6" s="50">
        <v>580035236</v>
      </c>
      <c r="C6" s="607">
        <v>1000544444</v>
      </c>
      <c r="D6" s="90">
        <v>40015651</v>
      </c>
      <c r="E6" s="46">
        <v>231669</v>
      </c>
      <c r="F6" s="46">
        <v>261505</v>
      </c>
      <c r="G6" s="46">
        <v>231550</v>
      </c>
      <c r="H6" s="46">
        <v>168387</v>
      </c>
      <c r="I6" s="46">
        <v>202804</v>
      </c>
      <c r="J6" s="46">
        <v>161468</v>
      </c>
      <c r="K6" s="46">
        <v>161468</v>
      </c>
      <c r="L6" s="46">
        <v>0</v>
      </c>
      <c r="M6" s="249"/>
      <c r="P6" s="288">
        <f>MATCH(B6,'42-02-34 מוסדות מחקר תורניים'!$A$4:$A$37,0)</f>
        <v>9</v>
      </c>
    </row>
    <row r="7" spans="1:78" s="379" customFormat="1" ht="52.5" customHeight="1" x14ac:dyDescent="0.2">
      <c r="A7" s="51" t="s">
        <v>1954</v>
      </c>
      <c r="B7" s="50">
        <v>580020998</v>
      </c>
      <c r="C7" s="607">
        <v>1000539728</v>
      </c>
      <c r="D7" s="90">
        <v>40015827</v>
      </c>
      <c r="E7" s="46">
        <v>353019</v>
      </c>
      <c r="F7" s="119">
        <v>600000</v>
      </c>
      <c r="G7" s="46">
        <v>578874</v>
      </c>
      <c r="H7" s="46">
        <v>505162</v>
      </c>
      <c r="I7" s="46">
        <v>480936</v>
      </c>
      <c r="J7" s="46">
        <v>327552</v>
      </c>
      <c r="K7" s="46">
        <v>327552</v>
      </c>
      <c r="L7" s="46">
        <v>0</v>
      </c>
      <c r="M7" s="249"/>
      <c r="P7" s="288">
        <f>MATCH(B7,'42-02-34 מוסדות מחקר תורניים'!$A$4:$A$37,0)</f>
        <v>1</v>
      </c>
    </row>
    <row r="8" spans="1:78" s="379" customFormat="1" ht="39.950000000000003" customHeight="1" x14ac:dyDescent="0.2">
      <c r="A8" s="51" t="s">
        <v>1953</v>
      </c>
      <c r="B8" s="50">
        <v>580004059</v>
      </c>
      <c r="C8" s="607">
        <v>1000545222</v>
      </c>
      <c r="D8" s="90">
        <v>40016849</v>
      </c>
      <c r="E8" s="46">
        <v>194896</v>
      </c>
      <c r="F8" s="46">
        <v>299774</v>
      </c>
      <c r="G8" s="46">
        <v>318381</v>
      </c>
      <c r="H8" s="46">
        <v>342388</v>
      </c>
      <c r="I8" s="46">
        <v>330281</v>
      </c>
      <c r="J8" s="46">
        <v>249124</v>
      </c>
      <c r="K8" s="46">
        <v>249124</v>
      </c>
      <c r="L8" s="46">
        <v>0</v>
      </c>
      <c r="M8" s="249"/>
      <c r="P8" s="288">
        <f>MATCH(B8,'42-02-34 מוסדות מחקר תורניים'!$A$4:$A$37,0)</f>
        <v>6</v>
      </c>
    </row>
    <row r="9" spans="1:78" s="379" customFormat="1" ht="39.950000000000003" customHeight="1" x14ac:dyDescent="0.2">
      <c r="A9" s="51" t="s">
        <v>1952</v>
      </c>
      <c r="B9" s="50">
        <v>580104263</v>
      </c>
      <c r="C9" s="607">
        <v>1000532520</v>
      </c>
      <c r="D9" s="90">
        <v>40019122</v>
      </c>
      <c r="E9" s="46">
        <v>242701</v>
      </c>
      <c r="F9" s="46">
        <v>191345</v>
      </c>
      <c r="G9" s="46">
        <v>155060</v>
      </c>
      <c r="H9" s="46">
        <v>207678</v>
      </c>
      <c r="I9" s="46">
        <v>220187</v>
      </c>
      <c r="J9" s="46">
        <v>170696</v>
      </c>
      <c r="K9" s="46">
        <v>170696</v>
      </c>
      <c r="L9" s="46">
        <v>0</v>
      </c>
      <c r="M9" s="88"/>
      <c r="P9" s="288">
        <f>MATCH(B9,'42-02-34 מוסדות מחקר תורניים'!$A$4:$A$37,0)</f>
        <v>16</v>
      </c>
    </row>
    <row r="10" spans="1:78" ht="51" customHeight="1" x14ac:dyDescent="0.2">
      <c r="A10" s="51" t="s">
        <v>1951</v>
      </c>
      <c r="B10" s="50">
        <v>580268563</v>
      </c>
      <c r="C10" s="607">
        <v>1000544716</v>
      </c>
      <c r="D10" s="90">
        <v>40127702</v>
      </c>
      <c r="E10" s="46">
        <v>275796</v>
      </c>
      <c r="F10" s="46">
        <v>400000</v>
      </c>
      <c r="G10" s="46">
        <v>544141</v>
      </c>
      <c r="H10" s="46">
        <v>527614</v>
      </c>
      <c r="I10" s="46">
        <v>469347</v>
      </c>
      <c r="J10" s="46">
        <v>341392</v>
      </c>
      <c r="K10" s="46">
        <v>341392</v>
      </c>
      <c r="L10" s="46">
        <v>0</v>
      </c>
      <c r="M10" s="436"/>
      <c r="P10" s="288">
        <f>MATCH(B10,'42-02-34 מוסדות מחקר תורניים'!$A$4:$A$37,0)</f>
        <v>26</v>
      </c>
      <c r="BD10" s="41"/>
      <c r="BE10" s="41"/>
    </row>
    <row r="11" spans="1:78" s="379" customFormat="1" ht="39.950000000000003" customHeight="1" x14ac:dyDescent="0.2">
      <c r="A11" s="51" t="s">
        <v>1950</v>
      </c>
      <c r="B11" s="50">
        <v>580070035</v>
      </c>
      <c r="C11" s="607">
        <v>1000538346</v>
      </c>
      <c r="D11" s="90">
        <v>40143373</v>
      </c>
      <c r="E11" s="46">
        <v>154446</v>
      </c>
      <c r="F11" s="119">
        <v>159454</v>
      </c>
      <c r="G11" s="46">
        <v>121564</v>
      </c>
      <c r="H11" s="46">
        <v>134710</v>
      </c>
      <c r="I11" s="46">
        <v>214393</v>
      </c>
      <c r="J11" s="46">
        <v>184536</v>
      </c>
      <c r="K11" s="46">
        <v>184536</v>
      </c>
      <c r="L11" s="46">
        <v>0</v>
      </c>
      <c r="M11" s="249"/>
      <c r="P11" s="288">
        <f>MATCH(B11,'42-02-34 מוסדות מחקר תורניים'!$A$4:$A$37,0)</f>
        <v>18</v>
      </c>
    </row>
    <row r="12" spans="1:78" s="379" customFormat="1" ht="51.75" customHeight="1" x14ac:dyDescent="0.2">
      <c r="A12" s="51" t="s">
        <v>1949</v>
      </c>
      <c r="B12" s="50">
        <v>580024503</v>
      </c>
      <c r="C12" s="607">
        <v>1000538254</v>
      </c>
      <c r="D12" s="90">
        <v>40188700</v>
      </c>
      <c r="E12" s="46">
        <v>147091</v>
      </c>
      <c r="F12" s="46">
        <v>465606</v>
      </c>
      <c r="G12" s="46">
        <v>538353</v>
      </c>
      <c r="H12" s="46">
        <v>538840</v>
      </c>
      <c r="I12" s="46">
        <v>527291</v>
      </c>
      <c r="J12" s="46">
        <v>429047</v>
      </c>
      <c r="K12" s="46">
        <v>429047</v>
      </c>
      <c r="L12" s="46">
        <v>0</v>
      </c>
      <c r="M12" s="249"/>
      <c r="P12" s="288">
        <f>MATCH(B12,'42-02-34 מוסדות מחקר תורניים'!$A$4:$A$37,0)</f>
        <v>11</v>
      </c>
    </row>
    <row r="13" spans="1:78" s="379" customFormat="1" ht="39.950000000000003" customHeight="1" x14ac:dyDescent="0.2">
      <c r="A13" s="51" t="s">
        <v>1948</v>
      </c>
      <c r="B13" s="50">
        <v>510058738</v>
      </c>
      <c r="C13" s="607">
        <v>1000554364</v>
      </c>
      <c r="D13" s="90">
        <v>40215985</v>
      </c>
      <c r="E13" s="46">
        <v>338310</v>
      </c>
      <c r="F13" s="119">
        <v>637817</v>
      </c>
      <c r="G13" s="46">
        <v>578874</v>
      </c>
      <c r="H13" s="46">
        <v>505162</v>
      </c>
      <c r="I13" s="46">
        <v>515702</v>
      </c>
      <c r="J13" s="46">
        <v>382913</v>
      </c>
      <c r="K13" s="46">
        <v>382913</v>
      </c>
      <c r="L13" s="46">
        <v>0</v>
      </c>
      <c r="M13" s="249"/>
      <c r="P13" s="288">
        <f>MATCH(B13,'42-02-34 מוסדות מחקר תורניים'!$A$4:$A$37,0)</f>
        <v>5</v>
      </c>
    </row>
    <row r="14" spans="1:78" s="379" customFormat="1" ht="36.75" customHeight="1" x14ac:dyDescent="0.2">
      <c r="A14" s="51" t="s">
        <v>1947</v>
      </c>
      <c r="B14" s="50">
        <v>580009546</v>
      </c>
      <c r="C14" s="607">
        <v>1000544050</v>
      </c>
      <c r="D14" s="90">
        <v>40215992</v>
      </c>
      <c r="E14" s="46">
        <v>323601</v>
      </c>
      <c r="F14" s="46">
        <v>267883</v>
      </c>
      <c r="G14" s="119">
        <v>243127</v>
      </c>
      <c r="H14" s="46">
        <v>561291</v>
      </c>
      <c r="I14" s="46">
        <v>579440</v>
      </c>
      <c r="J14" s="46">
        <v>461341</v>
      </c>
      <c r="K14" s="46">
        <v>461341</v>
      </c>
      <c r="L14" s="46">
        <v>0</v>
      </c>
      <c r="M14" s="88"/>
      <c r="P14" s="288">
        <f>MATCH(B14,'42-02-34 מוסדות מחקר תורניים'!$A$4:$A$37,0)</f>
        <v>20</v>
      </c>
    </row>
    <row r="15" spans="1:78" s="379" customFormat="1" ht="37.5" customHeight="1" x14ac:dyDescent="0.2">
      <c r="A15" s="51" t="s">
        <v>1946</v>
      </c>
      <c r="B15" s="50">
        <v>580010015</v>
      </c>
      <c r="C15" s="607">
        <v>1000534112</v>
      </c>
      <c r="D15" s="90">
        <v>40215993</v>
      </c>
      <c r="E15" s="46">
        <v>286828</v>
      </c>
      <c r="F15" s="119">
        <v>637817</v>
      </c>
      <c r="G15" s="46">
        <v>578874</v>
      </c>
      <c r="H15" s="46">
        <v>550065</v>
      </c>
      <c r="I15" s="46">
        <v>498319</v>
      </c>
      <c r="J15" s="46">
        <v>461341</v>
      </c>
      <c r="K15" s="46">
        <v>461341</v>
      </c>
      <c r="L15" s="46">
        <v>0</v>
      </c>
      <c r="M15" s="436"/>
      <c r="P15" s="288">
        <f>MATCH(B15,'42-02-34 מוסדות מחקר תורניים'!$A$4:$A$37,0)</f>
        <v>14</v>
      </c>
    </row>
    <row r="16" spans="1:78" s="379" customFormat="1" ht="36" customHeight="1" x14ac:dyDescent="0.2">
      <c r="A16" s="51" t="s">
        <v>1945</v>
      </c>
      <c r="B16" s="50">
        <v>580088706</v>
      </c>
      <c r="C16" s="607">
        <v>1000535684</v>
      </c>
      <c r="D16" s="90">
        <v>40215998</v>
      </c>
      <c r="E16" s="46">
        <v>202251</v>
      </c>
      <c r="F16" s="46">
        <v>220000</v>
      </c>
      <c r="G16" s="46">
        <v>173662</v>
      </c>
      <c r="H16" s="46">
        <v>140323</v>
      </c>
      <c r="I16" s="46">
        <v>197010</v>
      </c>
      <c r="J16" s="46">
        <v>166083</v>
      </c>
      <c r="K16" s="46">
        <v>166083</v>
      </c>
      <c r="L16" s="46">
        <v>0</v>
      </c>
      <c r="M16" s="88"/>
      <c r="P16" s="288">
        <f>MATCH(B16,'42-02-34 מוסדות מחקר תורניים'!$A$4:$A$37,0)</f>
        <v>19</v>
      </c>
    </row>
    <row r="17" spans="1:57" ht="53.25" customHeight="1" x14ac:dyDescent="0.2">
      <c r="A17" s="51" t="s">
        <v>1944</v>
      </c>
      <c r="B17" s="50">
        <v>580185544</v>
      </c>
      <c r="C17" s="607">
        <v>1000546014</v>
      </c>
      <c r="D17" s="90">
        <v>40216001</v>
      </c>
      <c r="E17" s="46">
        <v>216960</v>
      </c>
      <c r="F17" s="46">
        <v>446472</v>
      </c>
      <c r="G17" s="46">
        <v>428367</v>
      </c>
      <c r="H17" s="46">
        <v>392904</v>
      </c>
      <c r="I17" s="46">
        <v>446169</v>
      </c>
      <c r="J17" s="46">
        <v>364459</v>
      </c>
      <c r="K17" s="46">
        <v>364459</v>
      </c>
      <c r="L17" s="46">
        <v>0</v>
      </c>
      <c r="M17" s="88"/>
      <c r="P17" s="288">
        <f>MATCH(B17,'42-02-34 מוסדות מחקר תורניים'!$A$4:$A$37,0)</f>
        <v>22</v>
      </c>
    </row>
    <row r="18" spans="1:57" s="379" customFormat="1" ht="37.5" customHeight="1" x14ac:dyDescent="0.2">
      <c r="A18" s="51" t="s">
        <v>1943</v>
      </c>
      <c r="B18" s="50">
        <v>580292167</v>
      </c>
      <c r="C18" s="607">
        <v>1000537406</v>
      </c>
      <c r="D18" s="90">
        <v>40216006</v>
      </c>
      <c r="E18" s="46">
        <v>158123</v>
      </c>
      <c r="F18" s="46">
        <v>0</v>
      </c>
      <c r="G18" s="46">
        <v>0</v>
      </c>
      <c r="H18" s="46">
        <v>112258</v>
      </c>
      <c r="I18" s="46">
        <v>191215</v>
      </c>
      <c r="J18" s="46">
        <v>119949</v>
      </c>
      <c r="K18" s="46">
        <v>119949</v>
      </c>
      <c r="L18" s="46">
        <v>0</v>
      </c>
      <c r="M18" s="249"/>
      <c r="P18" s="288">
        <f>MATCH(B18,'42-02-34 מוסדות מחקר תורניים'!$A$4:$A$37,0)</f>
        <v>3</v>
      </c>
    </row>
    <row r="19" spans="1:57" s="379" customFormat="1" ht="34.5" customHeight="1" x14ac:dyDescent="0.2">
      <c r="A19" s="51" t="s">
        <v>1942</v>
      </c>
      <c r="B19" s="50">
        <v>580020022</v>
      </c>
      <c r="C19" s="607">
        <v>1000533323</v>
      </c>
      <c r="D19" s="90">
        <v>40216015</v>
      </c>
      <c r="E19" s="46">
        <v>169155</v>
      </c>
      <c r="F19" s="119">
        <v>200000</v>
      </c>
      <c r="G19" s="46">
        <v>208395</v>
      </c>
      <c r="H19" s="46">
        <v>185226</v>
      </c>
      <c r="I19" s="46">
        <v>180000</v>
      </c>
      <c r="J19" s="46">
        <v>189150</v>
      </c>
      <c r="K19" s="46">
        <v>189150</v>
      </c>
      <c r="L19" s="46">
        <v>0</v>
      </c>
      <c r="M19" s="249"/>
      <c r="P19" s="288">
        <f>MATCH(B19,'42-02-34 מוסדות מחקר תורניים'!$A$4:$A$37,0)</f>
        <v>21</v>
      </c>
    </row>
    <row r="20" spans="1:57" s="379" customFormat="1" ht="39.950000000000003" customHeight="1" x14ac:dyDescent="0.2">
      <c r="A20" s="51" t="s">
        <v>1941</v>
      </c>
      <c r="B20" s="50">
        <v>580024560</v>
      </c>
      <c r="C20" s="607">
        <v>1000541078</v>
      </c>
      <c r="D20" s="90">
        <v>40216019</v>
      </c>
      <c r="E20" s="46">
        <v>99287</v>
      </c>
      <c r="F20" s="119">
        <v>63782</v>
      </c>
      <c r="G20" s="46">
        <v>0</v>
      </c>
      <c r="H20" s="46">
        <v>84194</v>
      </c>
      <c r="I20" s="46">
        <v>92710</v>
      </c>
      <c r="J20" s="46">
        <v>55361</v>
      </c>
      <c r="K20" s="46">
        <v>55361</v>
      </c>
      <c r="L20" s="46">
        <v>0</v>
      </c>
      <c r="M20" s="249"/>
      <c r="P20" s="288">
        <f>MATCH(B20,'42-02-34 מוסדות מחקר תורניים'!$A$4:$A$37,0)</f>
        <v>4</v>
      </c>
    </row>
    <row r="21" spans="1:57" s="379" customFormat="1" ht="39.950000000000003" customHeight="1" x14ac:dyDescent="0.2">
      <c r="A21" s="51" t="s">
        <v>1940</v>
      </c>
      <c r="B21" s="50">
        <v>580099810</v>
      </c>
      <c r="C21" s="607">
        <v>1000540459</v>
      </c>
      <c r="D21" s="90">
        <v>40216028</v>
      </c>
      <c r="E21" s="46">
        <v>161800</v>
      </c>
      <c r="F21" s="119">
        <v>250000</v>
      </c>
      <c r="G21" s="46">
        <v>300000</v>
      </c>
      <c r="H21" s="46">
        <v>392904</v>
      </c>
      <c r="I21" s="46">
        <v>382431</v>
      </c>
      <c r="J21" s="46">
        <v>369073</v>
      </c>
      <c r="K21" s="46">
        <v>369073</v>
      </c>
      <c r="L21" s="46">
        <v>0</v>
      </c>
      <c r="M21" s="249"/>
      <c r="P21" s="288">
        <f>MATCH(B21,'42-02-34 מוסדות מחקר תורניים'!$A$4:$A$37,0)</f>
        <v>2</v>
      </c>
    </row>
    <row r="22" spans="1:57" s="379" customFormat="1" ht="39.950000000000003" customHeight="1" x14ac:dyDescent="0.2">
      <c r="A22" s="51" t="s">
        <v>1939</v>
      </c>
      <c r="B22" s="50">
        <v>580111573</v>
      </c>
      <c r="C22" s="607">
        <v>1000545831</v>
      </c>
      <c r="D22" s="90">
        <v>40216032</v>
      </c>
      <c r="E22" s="46">
        <v>180187</v>
      </c>
      <c r="F22" s="46">
        <v>210000</v>
      </c>
      <c r="G22" s="46">
        <v>86831</v>
      </c>
      <c r="H22" s="46">
        <v>0</v>
      </c>
      <c r="I22" s="608">
        <v>179627</v>
      </c>
      <c r="J22" s="46">
        <v>179923</v>
      </c>
      <c r="K22" s="46">
        <v>179923</v>
      </c>
      <c r="L22" s="46">
        <v>0</v>
      </c>
      <c r="M22" s="88"/>
      <c r="P22" s="288">
        <f>MATCH(B22,'42-02-34 מוסדות מחקר תורניים'!$A$4:$A$37,0)</f>
        <v>10</v>
      </c>
    </row>
    <row r="23" spans="1:57" s="379" customFormat="1" ht="55.5" customHeight="1" x14ac:dyDescent="0.2">
      <c r="A23" s="51" t="s">
        <v>1938</v>
      </c>
      <c r="B23" s="50">
        <v>580140143</v>
      </c>
      <c r="C23" s="607">
        <v>1000538093</v>
      </c>
      <c r="D23" s="90">
        <v>40216035</v>
      </c>
      <c r="E23" s="46">
        <v>194896</v>
      </c>
      <c r="F23" s="46">
        <v>240000</v>
      </c>
      <c r="G23" s="46">
        <v>555719</v>
      </c>
      <c r="H23" s="46">
        <v>550065</v>
      </c>
      <c r="I23" s="46">
        <v>475141</v>
      </c>
      <c r="J23" s="46">
        <v>429047</v>
      </c>
      <c r="K23" s="46">
        <v>429047</v>
      </c>
      <c r="L23" s="46">
        <v>0</v>
      </c>
      <c r="M23" s="436"/>
      <c r="P23" s="288">
        <f>MATCH(B23,'42-02-34 מוסדות מחקר תורניים'!$A$4:$A$37,0)</f>
        <v>13</v>
      </c>
    </row>
    <row r="24" spans="1:57" ht="30" customHeight="1" x14ac:dyDescent="0.2">
      <c r="A24" s="51" t="s">
        <v>1937</v>
      </c>
      <c r="B24" s="50">
        <v>580144327</v>
      </c>
      <c r="C24" s="607">
        <v>1000534971</v>
      </c>
      <c r="D24" s="90">
        <v>40216036</v>
      </c>
      <c r="E24" s="46">
        <v>246378</v>
      </c>
      <c r="F24" s="46">
        <v>357177</v>
      </c>
      <c r="G24" s="46">
        <v>329958</v>
      </c>
      <c r="H24" s="46">
        <v>336775</v>
      </c>
      <c r="I24" s="46">
        <v>318692</v>
      </c>
      <c r="J24" s="46">
        <v>262964</v>
      </c>
      <c r="K24" s="46">
        <v>262964</v>
      </c>
      <c r="L24" s="46">
        <v>0</v>
      </c>
      <c r="M24" s="88"/>
      <c r="P24" s="288">
        <f>MATCH(B24,'42-02-34 מוסדות מחקר תורניים'!$A$4:$A$37,0)</f>
        <v>15</v>
      </c>
      <c r="BD24" s="41"/>
      <c r="BE24" s="41"/>
    </row>
    <row r="25" spans="1:57" s="379" customFormat="1" ht="40.5" customHeight="1" x14ac:dyDescent="0.2">
      <c r="A25" s="51" t="s">
        <v>1936</v>
      </c>
      <c r="B25" s="50">
        <v>580151728</v>
      </c>
      <c r="C25" s="607">
        <v>1000554386</v>
      </c>
      <c r="D25" s="90">
        <v>40216037</v>
      </c>
      <c r="E25" s="46">
        <v>139737</v>
      </c>
      <c r="F25" s="119">
        <v>89294</v>
      </c>
      <c r="G25" s="46">
        <v>0</v>
      </c>
      <c r="H25" s="46">
        <v>0</v>
      </c>
      <c r="I25" s="608">
        <v>52150</v>
      </c>
      <c r="J25" s="46">
        <v>55361</v>
      </c>
      <c r="K25" s="46">
        <v>55361</v>
      </c>
      <c r="L25" s="46">
        <v>0</v>
      </c>
      <c r="M25" s="50"/>
      <c r="P25" s="288">
        <f>MATCH(B25,'42-02-34 מוסדות מחקר תורניים'!$A$4:$A$37,0)</f>
        <v>12</v>
      </c>
    </row>
    <row r="26" spans="1:57" s="379" customFormat="1" ht="39.950000000000003" customHeight="1" x14ac:dyDescent="0.2">
      <c r="A26" s="51" t="s">
        <v>1935</v>
      </c>
      <c r="B26" s="50">
        <v>580228625</v>
      </c>
      <c r="C26" s="607">
        <v>1000541993</v>
      </c>
      <c r="D26" s="90">
        <v>40216046</v>
      </c>
      <c r="E26" s="46">
        <v>170310</v>
      </c>
      <c r="F26" s="46">
        <v>146698</v>
      </c>
      <c r="G26" s="46">
        <v>138930</v>
      </c>
      <c r="H26" s="46">
        <v>200000</v>
      </c>
      <c r="I26" s="46">
        <v>214393</v>
      </c>
      <c r="J26" s="46">
        <v>179923</v>
      </c>
      <c r="K26" s="46">
        <v>179923</v>
      </c>
      <c r="L26" s="46">
        <v>0</v>
      </c>
      <c r="M26" s="88"/>
      <c r="P26" s="288">
        <f>MATCH(B26,'42-02-34 מוסדות מחקר תורניים'!$A$4:$A$37,0)</f>
        <v>25</v>
      </c>
    </row>
    <row r="27" spans="1:57" s="379" customFormat="1" ht="51" customHeight="1" x14ac:dyDescent="0.2">
      <c r="A27" s="51" t="s">
        <v>1934</v>
      </c>
      <c r="B27" s="50">
        <v>580228856</v>
      </c>
      <c r="C27" s="607">
        <v>1000540014</v>
      </c>
      <c r="D27" s="90">
        <v>40216047</v>
      </c>
      <c r="E27" s="46">
        <v>147091</v>
      </c>
      <c r="F27" s="46">
        <v>200000</v>
      </c>
      <c r="G27" s="46">
        <v>250000</v>
      </c>
      <c r="H27" s="46">
        <v>255856</v>
      </c>
      <c r="I27" s="46">
        <v>283926</v>
      </c>
      <c r="J27" s="46">
        <v>170696</v>
      </c>
      <c r="K27" s="46">
        <v>170696</v>
      </c>
      <c r="L27" s="46">
        <v>0</v>
      </c>
      <c r="M27" s="249"/>
      <c r="P27" s="288">
        <f>MATCH(B27,'42-02-34 מוסדות מחקר תורניים'!$A$4:$A$37,0)</f>
        <v>7</v>
      </c>
    </row>
    <row r="28" spans="1:57" ht="36" customHeight="1" x14ac:dyDescent="0.2">
      <c r="A28" s="51" t="s">
        <v>1933</v>
      </c>
      <c r="B28" s="50">
        <v>580254845</v>
      </c>
      <c r="C28" s="607">
        <v>1000545401</v>
      </c>
      <c r="D28" s="90">
        <v>40216048</v>
      </c>
      <c r="E28" s="46">
        <v>154446</v>
      </c>
      <c r="F28" s="119">
        <v>250000</v>
      </c>
      <c r="G28" s="46">
        <v>520986</v>
      </c>
      <c r="H28" s="46">
        <v>516388</v>
      </c>
      <c r="I28" s="46">
        <v>521496</v>
      </c>
      <c r="J28" s="46">
        <v>373686</v>
      </c>
      <c r="K28" s="46">
        <v>373686</v>
      </c>
      <c r="L28" s="46">
        <v>0</v>
      </c>
      <c r="M28" s="249"/>
      <c r="P28" s="288">
        <f>MATCH(B28,'42-02-34 מוסדות מחקר תורניים'!$A$4:$A$37,0)</f>
        <v>23</v>
      </c>
      <c r="BD28" s="41"/>
      <c r="BE28" s="41"/>
    </row>
    <row r="29" spans="1:57" s="379" customFormat="1" ht="36" customHeight="1" x14ac:dyDescent="0.2">
      <c r="A29" s="51" t="s">
        <v>1932</v>
      </c>
      <c r="B29" s="50">
        <v>580284800</v>
      </c>
      <c r="C29" s="607">
        <v>1000538375</v>
      </c>
      <c r="D29" s="90">
        <v>40216056</v>
      </c>
      <c r="E29" s="46">
        <v>242701</v>
      </c>
      <c r="F29" s="46">
        <v>300000</v>
      </c>
      <c r="G29" s="119">
        <v>191028</v>
      </c>
      <c r="H29" s="46">
        <v>168387</v>
      </c>
      <c r="I29" s="46">
        <v>173832</v>
      </c>
      <c r="J29" s="46">
        <v>124562</v>
      </c>
      <c r="K29" s="46">
        <v>124562</v>
      </c>
      <c r="L29" s="46">
        <v>0</v>
      </c>
      <c r="M29" s="436"/>
      <c r="P29" s="288">
        <f>MATCH(B29,'42-02-34 מוסדות מחקר תורניים'!$A$4:$A$37,0)</f>
        <v>8</v>
      </c>
    </row>
    <row r="30" spans="1:57" s="379" customFormat="1" ht="39.950000000000003" customHeight="1" x14ac:dyDescent="0.2">
      <c r="A30" s="51" t="s">
        <v>1931</v>
      </c>
      <c r="B30" s="50">
        <v>580317535</v>
      </c>
      <c r="C30" s="54">
        <v>1000540710</v>
      </c>
      <c r="D30" s="90">
        <v>40216063</v>
      </c>
      <c r="E30" s="46">
        <v>279473</v>
      </c>
      <c r="F30" s="46">
        <v>369934</v>
      </c>
      <c r="G30" s="46">
        <v>450000</v>
      </c>
      <c r="H30" s="46">
        <v>527614</v>
      </c>
      <c r="I30" s="46">
        <v>556263</v>
      </c>
      <c r="J30" s="46">
        <v>355232</v>
      </c>
      <c r="K30" s="46">
        <v>355232</v>
      </c>
      <c r="L30" s="46">
        <v>0</v>
      </c>
      <c r="M30" s="88"/>
      <c r="P30" s="288">
        <f>MATCH(B30,'42-02-34 מוסדות מחקר תורניים'!$A$4:$A$37,0)</f>
        <v>24</v>
      </c>
    </row>
    <row r="31" spans="1:57" s="379" customFormat="1" ht="39" customHeight="1" x14ac:dyDescent="0.2">
      <c r="A31" s="51" t="s">
        <v>1930</v>
      </c>
      <c r="B31" s="50">
        <v>580176808</v>
      </c>
      <c r="C31" s="607">
        <v>1000545634</v>
      </c>
      <c r="D31" s="90">
        <v>40272403</v>
      </c>
      <c r="E31" s="46">
        <v>0</v>
      </c>
      <c r="F31" s="46">
        <v>287018</v>
      </c>
      <c r="G31" s="46">
        <v>248916</v>
      </c>
      <c r="H31" s="46">
        <v>213291</v>
      </c>
      <c r="I31" s="46">
        <v>243365</v>
      </c>
      <c r="J31" s="46">
        <v>221444</v>
      </c>
      <c r="K31" s="46">
        <v>221444</v>
      </c>
      <c r="L31" s="46">
        <v>0</v>
      </c>
      <c r="M31" s="249"/>
      <c r="P31" s="288">
        <f>MATCH(B31,'42-02-34 מוסדות מחקר תורניים'!$A$4:$A$37,0)</f>
        <v>29</v>
      </c>
    </row>
    <row r="32" spans="1:57" s="379" customFormat="1" ht="39.950000000000003" customHeight="1" x14ac:dyDescent="0.2">
      <c r="A32" s="51" t="s">
        <v>1929</v>
      </c>
      <c r="B32" s="50">
        <v>580010536</v>
      </c>
      <c r="C32" s="607">
        <v>1000532769</v>
      </c>
      <c r="D32" s="90">
        <v>40293106</v>
      </c>
      <c r="E32" s="46">
        <v>0</v>
      </c>
      <c r="F32" s="46">
        <v>0</v>
      </c>
      <c r="G32" s="46">
        <v>0</v>
      </c>
      <c r="H32" s="46">
        <v>224517</v>
      </c>
      <c r="I32" s="46">
        <v>289720</v>
      </c>
      <c r="J32" s="46">
        <v>230670</v>
      </c>
      <c r="K32" s="46">
        <v>230670</v>
      </c>
      <c r="L32" s="46">
        <v>0</v>
      </c>
      <c r="M32" s="88"/>
      <c r="P32" s="288">
        <f>MATCH(B32,'42-02-34 מוסדות מחקר תורניים'!$A$4:$A$37,0)</f>
        <v>32</v>
      </c>
    </row>
    <row r="33" spans="1:80" s="379" customFormat="1" ht="39.950000000000003" customHeight="1" x14ac:dyDescent="0.2">
      <c r="A33" s="51" t="s">
        <v>1928</v>
      </c>
      <c r="B33" s="50">
        <v>580041101</v>
      </c>
      <c r="C33" s="607">
        <v>1000544917</v>
      </c>
      <c r="D33" s="90">
        <v>40303383</v>
      </c>
      <c r="E33" s="46"/>
      <c r="F33" s="119"/>
      <c r="G33" s="46"/>
      <c r="H33" s="46">
        <v>0</v>
      </c>
      <c r="I33" s="46">
        <v>185421</v>
      </c>
      <c r="J33" s="46">
        <v>170696</v>
      </c>
      <c r="K33" s="46">
        <v>170696</v>
      </c>
      <c r="L33" s="46">
        <v>0</v>
      </c>
      <c r="M33" s="249"/>
      <c r="P33" s="288">
        <f>MATCH(B33,'42-02-34 מוסדות מחקר תורניים'!$A$4:$A$37,0)</f>
        <v>33</v>
      </c>
    </row>
    <row r="34" spans="1:80" s="379" customFormat="1" ht="55.5" customHeight="1" x14ac:dyDescent="0.2">
      <c r="A34" s="51" t="s">
        <v>1927</v>
      </c>
      <c r="B34" s="50">
        <v>580270163</v>
      </c>
      <c r="C34" s="607">
        <v>1000542579</v>
      </c>
      <c r="D34" s="90">
        <v>40383313</v>
      </c>
      <c r="E34" s="46">
        <v>0</v>
      </c>
      <c r="F34" s="46">
        <v>231000</v>
      </c>
      <c r="G34" s="46">
        <v>468888</v>
      </c>
      <c r="H34" s="46">
        <v>477098</v>
      </c>
      <c r="I34" s="46">
        <v>409683</v>
      </c>
      <c r="J34" s="46">
        <v>383521</v>
      </c>
      <c r="K34" s="46">
        <v>383521</v>
      </c>
      <c r="L34" s="46">
        <v>0</v>
      </c>
      <c r="M34" s="88"/>
      <c r="P34" s="288">
        <f>MATCH(B34,'42-02-34 מוסדות מחקר תורניים'!$A$4:$A$37,0)</f>
        <v>28</v>
      </c>
    </row>
    <row r="35" spans="1:80" s="379" customFormat="1" ht="62.25" customHeight="1" x14ac:dyDescent="0.2">
      <c r="A35" s="51" t="s">
        <v>1926</v>
      </c>
      <c r="B35" s="50">
        <v>580213973</v>
      </c>
      <c r="C35" s="607">
        <v>1000534187</v>
      </c>
      <c r="D35" s="90">
        <v>40394900</v>
      </c>
      <c r="E35" s="46">
        <v>0</v>
      </c>
      <c r="F35" s="119">
        <v>0</v>
      </c>
      <c r="G35" s="46">
        <v>0</v>
      </c>
      <c r="H35" s="46">
        <v>112258</v>
      </c>
      <c r="I35" s="46">
        <v>144860</v>
      </c>
      <c r="J35" s="46">
        <v>119949</v>
      </c>
      <c r="K35" s="46">
        <v>119949</v>
      </c>
      <c r="L35" s="46">
        <v>0</v>
      </c>
      <c r="M35" s="249"/>
      <c r="P35" s="288">
        <f>MATCH(B35,'42-02-34 מוסדות מחקר תורניים'!$A$4:$A$37,0)</f>
        <v>31</v>
      </c>
    </row>
    <row r="36" spans="1:80" s="42" customFormat="1" ht="53.25" customHeight="1" x14ac:dyDescent="0.2">
      <c r="A36" s="51" t="s">
        <v>1925</v>
      </c>
      <c r="B36" s="50">
        <v>580461754</v>
      </c>
      <c r="C36" s="607">
        <v>1000540440</v>
      </c>
      <c r="D36" s="90">
        <v>40526317</v>
      </c>
      <c r="E36" s="46">
        <v>0</v>
      </c>
      <c r="F36" s="119">
        <v>0</v>
      </c>
      <c r="G36" s="46">
        <v>0</v>
      </c>
      <c r="H36" s="46">
        <v>387291</v>
      </c>
      <c r="I36" s="46">
        <v>463552</v>
      </c>
      <c r="J36" s="46">
        <v>373686</v>
      </c>
      <c r="K36" s="46">
        <v>373686</v>
      </c>
      <c r="L36" s="46">
        <v>0</v>
      </c>
      <c r="M36" s="249"/>
      <c r="P36" s="288">
        <f>MATCH(B36,'42-02-34 מוסדות מחקר תורניים'!$A$4:$A$37,0)</f>
        <v>30</v>
      </c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s="42" customFormat="1" x14ac:dyDescent="0.2">
      <c r="A37" s="62"/>
      <c r="B37" s="62"/>
      <c r="C37" s="62"/>
      <c r="D37" s="62"/>
      <c r="E37" s="62"/>
      <c r="F37" s="62"/>
      <c r="G37" s="556"/>
      <c r="H37" s="606"/>
      <c r="I37" s="605"/>
      <c r="J37" s="787">
        <f>SUM(J3:J36)</f>
        <v>8600000</v>
      </c>
      <c r="K37" s="605"/>
      <c r="L37" s="605"/>
      <c r="M37" s="556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</row>
    <row r="38" spans="1:80" s="42" customFormat="1" x14ac:dyDescent="0.2">
      <c r="A38" s="62"/>
      <c r="B38" s="62"/>
      <c r="C38" s="62"/>
      <c r="D38" s="62"/>
      <c r="E38" s="62"/>
      <c r="F38" s="62"/>
      <c r="G38" s="556"/>
      <c r="H38" s="606"/>
      <c r="I38" s="605"/>
      <c r="J38" s="605"/>
      <c r="K38" s="605"/>
      <c r="L38" s="605"/>
      <c r="M38" s="556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</row>
  </sheetData>
  <conditionalFormatting sqref="P3:P36">
    <cfRule type="containsErrors" dxfId="2" priority="1">
      <formula>ISERROR(P3)</formula>
    </cfRule>
  </conditionalFormatting>
  <pageMargins left="0.11811023622047245" right="0.15748031496062992" top="0.47244094488188981" bottom="0.47244094488188981" header="0.15748031496062992" footer="0.19685039370078741"/>
  <pageSetup paperSize="9" scale="85" fitToHeight="0" orientation="landscape" r:id="rId1"/>
  <headerFooter alignWithMargins="0">
    <oddHeader>&amp;C&amp;"Guttman Yad-Brush,רגיל"&amp;14תקנת מחקר תורני 42-02-34</oddHeader>
    <oddFooter>&amp;L&amp;D&amp;C&amp;P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8"/>
  <dimension ref="A1:CS61"/>
  <sheetViews>
    <sheetView rightToLeft="1" zoomScale="80" zoomScaleNormal="80" zoomScaleSheetLayoutView="100" workbookViewId="0">
      <pane ySplit="1" topLeftCell="A56" activePane="bottomLeft" state="frozen"/>
      <selection pane="bottomLeft" activeCell="B3" sqref="B3"/>
    </sheetView>
  </sheetViews>
  <sheetFormatPr defaultColWidth="0.7109375" defaultRowHeight="12.75" x14ac:dyDescent="0.2"/>
  <cols>
    <col min="1" max="1" width="29.140625" style="41" customWidth="1"/>
    <col min="2" max="2" width="10.85546875" style="41" bestFit="1" customWidth="1"/>
    <col min="3" max="3" width="13.5703125" style="41" customWidth="1"/>
    <col min="4" max="4" width="10.42578125" style="41" customWidth="1"/>
    <col min="5" max="5" width="11.85546875" style="41" hidden="1" customWidth="1"/>
    <col min="6" max="6" width="13.140625" style="41" hidden="1" customWidth="1"/>
    <col min="7" max="7" width="11.85546875" style="41" hidden="1" customWidth="1"/>
    <col min="8" max="9" width="13" style="510" hidden="1" customWidth="1"/>
    <col min="10" max="12" width="13" style="510" customWidth="1"/>
    <col min="13" max="13" width="34.7109375" style="115" customWidth="1"/>
    <col min="14" max="14" width="22.140625" style="43" customWidth="1"/>
    <col min="15" max="15" width="10.5703125" style="43" customWidth="1"/>
    <col min="16" max="16" width="13" style="114" customWidth="1"/>
    <col min="17" max="17" width="8.28515625" style="42" customWidth="1"/>
    <col min="18" max="18" width="8.140625" style="42" customWidth="1"/>
    <col min="19" max="19" width="4.85546875" style="42" customWidth="1"/>
    <col min="20" max="20" width="5.5703125" style="42" customWidth="1"/>
    <col min="21" max="21" width="6.42578125" style="42" customWidth="1"/>
    <col min="22" max="22" width="4.85546875" style="42" customWidth="1"/>
    <col min="23" max="76" width="0.7109375" style="42"/>
    <col min="77" max="16384" width="0.7109375" style="41"/>
  </cols>
  <sheetData>
    <row r="1" spans="1:97" s="99" customFormat="1" ht="41.2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</row>
    <row r="2" spans="1:97" s="94" customFormat="1" ht="30" customHeight="1" x14ac:dyDescent="0.2">
      <c r="A2" s="145" t="s">
        <v>2022</v>
      </c>
      <c r="B2" s="144"/>
      <c r="C2" s="144"/>
      <c r="D2" s="144"/>
      <c r="E2" s="153"/>
      <c r="F2" s="243"/>
      <c r="G2" s="524"/>
      <c r="H2" s="153"/>
      <c r="I2" s="153"/>
      <c r="J2" s="153"/>
      <c r="K2" s="153"/>
      <c r="L2" s="153"/>
      <c r="M2" s="676"/>
      <c r="N2" s="98"/>
      <c r="O2" s="43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</row>
    <row r="3" spans="1:97" s="62" customFormat="1" ht="51" customHeight="1" x14ac:dyDescent="0.2">
      <c r="A3" s="677" t="s">
        <v>2023</v>
      </c>
      <c r="B3" s="678">
        <v>580365849</v>
      </c>
      <c r="C3" s="49">
        <v>1000545097</v>
      </c>
      <c r="D3" s="305">
        <v>40216078</v>
      </c>
      <c r="E3" s="46">
        <v>90000</v>
      </c>
      <c r="F3" s="46">
        <v>120000</v>
      </c>
      <c r="G3" s="46">
        <v>120000</v>
      </c>
      <c r="H3" s="46">
        <v>120000</v>
      </c>
      <c r="I3" s="46">
        <v>120000</v>
      </c>
      <c r="J3" s="46">
        <v>60000</v>
      </c>
      <c r="K3" s="299">
        <v>0</v>
      </c>
      <c r="L3" s="74">
        <f t="shared" ref="L3:L34" si="0">J3-K3</f>
        <v>60000</v>
      </c>
      <c r="M3" s="78" t="s">
        <v>166</v>
      </c>
      <c r="O3" s="288" t="e">
        <f>MATCH(B3,#REF!,0)</f>
        <v>#REF!</v>
      </c>
      <c r="P3" s="288" t="e">
        <f>MATCH(B3,#REF!,0)</f>
        <v>#REF!</v>
      </c>
      <c r="Q3" s="288" t="e">
        <f>MATCH(B3,#REF!,0)</f>
        <v>#REF!</v>
      </c>
      <c r="R3" s="288" t="e">
        <f>MATCH(B3,#REF!,0)</f>
        <v>#REF!</v>
      </c>
      <c r="S3" s="288" t="e">
        <f>MATCH(B3,#REF!,0)</f>
        <v>#REF!</v>
      </c>
      <c r="T3" s="288" t="e">
        <f>MATCH(B3,#REF!,0)</f>
        <v>#REF!</v>
      </c>
      <c r="U3" s="288" t="e">
        <f>MATCH(B3,#REF!,0)</f>
        <v>#REF!</v>
      </c>
    </row>
    <row r="4" spans="1:97" s="62" customFormat="1" ht="51" customHeight="1" x14ac:dyDescent="0.2">
      <c r="A4" s="51" t="s">
        <v>2024</v>
      </c>
      <c r="B4" s="105">
        <v>500262381</v>
      </c>
      <c r="C4" s="49">
        <v>1000544886</v>
      </c>
      <c r="D4" s="48">
        <v>20000212</v>
      </c>
      <c r="E4" s="119">
        <v>60000</v>
      </c>
      <c r="F4" s="46">
        <v>80000</v>
      </c>
      <c r="G4" s="46">
        <v>82494</v>
      </c>
      <c r="H4" s="46">
        <v>81038</v>
      </c>
      <c r="I4" s="46">
        <v>76000</v>
      </c>
      <c r="J4" s="46">
        <v>76019</v>
      </c>
      <c r="K4" s="46">
        <v>76019</v>
      </c>
      <c r="L4" s="46">
        <f t="shared" si="0"/>
        <v>0</v>
      </c>
      <c r="M4" s="254"/>
      <c r="O4" s="288" t="e">
        <f>MATCH(B4,#REF!,0)</f>
        <v>#REF!</v>
      </c>
      <c r="P4" s="288" t="e">
        <f>MATCH(B4,#REF!,0)</f>
        <v>#REF!</v>
      </c>
      <c r="Q4" s="288" t="e">
        <f>MATCH(B4,#REF!,0)</f>
        <v>#REF!</v>
      </c>
      <c r="R4" s="288" t="e">
        <f>MATCH(B4,#REF!,0)</f>
        <v>#REF!</v>
      </c>
      <c r="S4" s="288" t="e">
        <f>MATCH(B4,#REF!,0)</f>
        <v>#REF!</v>
      </c>
      <c r="T4" s="288" t="e">
        <f>MATCH(B4,#REF!,0)</f>
        <v>#REF!</v>
      </c>
      <c r="U4" s="288" t="e">
        <f>MATCH(B4,#REF!,0)</f>
        <v>#REF!</v>
      </c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</row>
    <row r="5" spans="1:97" s="62" customFormat="1" ht="37.5" customHeight="1" x14ac:dyDescent="0.2">
      <c r="A5" s="679" t="s">
        <v>2025</v>
      </c>
      <c r="B5" s="66">
        <v>580079887</v>
      </c>
      <c r="C5" s="49">
        <v>1000540608</v>
      </c>
      <c r="D5" s="48">
        <v>40002883</v>
      </c>
      <c r="E5" s="119">
        <v>1080000</v>
      </c>
      <c r="F5" s="46">
        <v>1150000</v>
      </c>
      <c r="G5" s="46">
        <v>1092592</v>
      </c>
      <c r="H5" s="46">
        <v>1113752</v>
      </c>
      <c r="I5" s="46">
        <v>1032000</v>
      </c>
      <c r="J5" s="46">
        <v>1032259</v>
      </c>
      <c r="K5" s="46">
        <v>1032259</v>
      </c>
      <c r="L5" s="46">
        <f t="shared" si="0"/>
        <v>0</v>
      </c>
      <c r="M5" s="437"/>
      <c r="O5" s="288" t="e">
        <f>MATCH(B5,#REF!,0)</f>
        <v>#REF!</v>
      </c>
      <c r="P5" s="288" t="e">
        <f>MATCH(B5,#REF!,0)</f>
        <v>#REF!</v>
      </c>
      <c r="Q5" s="288" t="e">
        <f>MATCH(B5,#REF!,0)</f>
        <v>#REF!</v>
      </c>
      <c r="R5" s="288" t="e">
        <f>MATCH(B5,#REF!,0)</f>
        <v>#REF!</v>
      </c>
      <c r="S5" s="288" t="e">
        <f>MATCH(B5,#REF!,0)</f>
        <v>#REF!</v>
      </c>
      <c r="T5" s="288" t="e">
        <f>MATCH(B5,#REF!,0)</f>
        <v>#REF!</v>
      </c>
      <c r="U5" s="288" t="e">
        <f>MATCH(B5,#REF!,0)</f>
        <v>#REF!</v>
      </c>
    </row>
    <row r="6" spans="1:97" s="44" customFormat="1" ht="41.25" customHeight="1" x14ac:dyDescent="0.2">
      <c r="A6" s="677" t="s">
        <v>2026</v>
      </c>
      <c r="B6" s="678">
        <v>580037745</v>
      </c>
      <c r="C6" s="390">
        <v>1000537720</v>
      </c>
      <c r="D6" s="305">
        <v>40000095</v>
      </c>
      <c r="E6" s="46">
        <v>0</v>
      </c>
      <c r="F6" s="46">
        <v>0</v>
      </c>
      <c r="G6" s="46">
        <v>0</v>
      </c>
      <c r="H6" s="46">
        <v>0</v>
      </c>
      <c r="I6" s="46">
        <v>40000</v>
      </c>
      <c r="J6" s="46">
        <v>40000</v>
      </c>
      <c r="K6" s="299">
        <v>40000</v>
      </c>
      <c r="L6" s="46">
        <f t="shared" si="0"/>
        <v>0</v>
      </c>
      <c r="M6" s="680"/>
      <c r="O6" s="288" t="e">
        <f>MATCH(B6,#REF!,0)</f>
        <v>#REF!</v>
      </c>
      <c r="P6" s="288" t="e">
        <f>MATCH(B6,#REF!,0)</f>
        <v>#REF!</v>
      </c>
      <c r="Q6" s="288" t="e">
        <f>MATCH(B6,#REF!,0)</f>
        <v>#REF!</v>
      </c>
      <c r="R6" s="288" t="e">
        <f>MATCH(B6,#REF!,0)</f>
        <v>#REF!</v>
      </c>
      <c r="S6" s="288" t="e">
        <f>MATCH(B6,#REF!,0)</f>
        <v>#REF!</v>
      </c>
      <c r="T6" s="288" t="e">
        <f>MATCH(B6,#REF!,0)</f>
        <v>#REF!</v>
      </c>
      <c r="U6" s="288" t="e">
        <f>MATCH(B6,#REF!,0)</f>
        <v>#REF!</v>
      </c>
    </row>
    <row r="7" spans="1:97" s="62" customFormat="1" ht="48" customHeight="1" x14ac:dyDescent="0.2">
      <c r="A7" s="85" t="s">
        <v>2015</v>
      </c>
      <c r="B7" s="66">
        <v>580398832</v>
      </c>
      <c r="C7" s="681">
        <v>1000547631</v>
      </c>
      <c r="D7" s="48">
        <v>40222375</v>
      </c>
      <c r="E7" s="119">
        <v>154000</v>
      </c>
      <c r="F7" s="46">
        <v>230000</v>
      </c>
      <c r="G7" s="46">
        <v>230000</v>
      </c>
      <c r="H7" s="46">
        <v>164525</v>
      </c>
      <c r="I7" s="46">
        <v>195475</v>
      </c>
      <c r="J7" s="46">
        <v>230000</v>
      </c>
      <c r="K7" s="46">
        <v>230000</v>
      </c>
      <c r="L7" s="46">
        <f t="shared" si="0"/>
        <v>0</v>
      </c>
      <c r="M7" s="682"/>
      <c r="O7" s="288" t="e">
        <f>MATCH(B7,#REF!,0)</f>
        <v>#REF!</v>
      </c>
      <c r="P7" s="288" t="e">
        <f>MATCH(B7,#REF!,0)</f>
        <v>#REF!</v>
      </c>
      <c r="Q7" s="288" t="e">
        <f>MATCH(B7,#REF!,0)</f>
        <v>#REF!</v>
      </c>
      <c r="R7" s="288" t="e">
        <f>MATCH(B7,#REF!,0)</f>
        <v>#REF!</v>
      </c>
      <c r="S7" s="288" t="e">
        <f>MATCH(B7,#REF!,0)</f>
        <v>#REF!</v>
      </c>
      <c r="T7" s="288" t="e">
        <f>MATCH(B7,#REF!,0)</f>
        <v>#REF!</v>
      </c>
      <c r="U7" s="288" t="e">
        <f>MATCH(B7,#REF!,0)</f>
        <v>#REF!</v>
      </c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</row>
    <row r="8" spans="1:97" s="62" customFormat="1" ht="36" customHeight="1" x14ac:dyDescent="0.2">
      <c r="A8" s="679" t="s">
        <v>1997</v>
      </c>
      <c r="B8" s="66">
        <v>580139061</v>
      </c>
      <c r="C8" s="681">
        <v>1000536438</v>
      </c>
      <c r="D8" s="48">
        <v>40000148</v>
      </c>
      <c r="E8" s="46">
        <v>500000</v>
      </c>
      <c r="F8" s="46">
        <v>450000</v>
      </c>
      <c r="G8" s="46">
        <v>444130</v>
      </c>
      <c r="H8" s="46">
        <v>444130</v>
      </c>
      <c r="I8" s="46">
        <v>444130</v>
      </c>
      <c r="J8" s="46">
        <v>444130</v>
      </c>
      <c r="K8" s="46">
        <v>444130</v>
      </c>
      <c r="L8" s="46">
        <f t="shared" si="0"/>
        <v>0</v>
      </c>
      <c r="M8" s="248"/>
      <c r="O8" s="288" t="e">
        <f>MATCH(B8,#REF!,0)</f>
        <v>#REF!</v>
      </c>
      <c r="P8" s="288" t="e">
        <f>MATCH(B8,#REF!,0)</f>
        <v>#REF!</v>
      </c>
      <c r="Q8" s="288" t="e">
        <f>MATCH(B8,#REF!,0)</f>
        <v>#REF!</v>
      </c>
      <c r="R8" s="288" t="e">
        <f>MATCH(B8,#REF!,0)</f>
        <v>#REF!</v>
      </c>
      <c r="S8" s="288" t="e">
        <f>MATCH(B8,#REF!,0)</f>
        <v>#REF!</v>
      </c>
      <c r="T8" s="288" t="e">
        <f>MATCH(B8,#REF!,0)</f>
        <v>#REF!</v>
      </c>
      <c r="U8" s="288" t="e">
        <f>MATCH(B8,#REF!,0)</f>
        <v>#REF!</v>
      </c>
    </row>
    <row r="9" spans="1:97" s="62" customFormat="1" ht="43.5" customHeight="1" x14ac:dyDescent="0.2">
      <c r="A9" s="51" t="s">
        <v>2027</v>
      </c>
      <c r="B9" s="105">
        <v>500261375</v>
      </c>
      <c r="C9" s="49">
        <v>1000540939</v>
      </c>
      <c r="D9" s="48">
        <v>20000209</v>
      </c>
      <c r="E9" s="46">
        <v>80000</v>
      </c>
      <c r="F9" s="46">
        <v>80000</v>
      </c>
      <c r="G9" s="284">
        <v>82494</v>
      </c>
      <c r="H9" s="46">
        <v>81038</v>
      </c>
      <c r="I9" s="46">
        <v>76000</v>
      </c>
      <c r="J9" s="46">
        <v>76019</v>
      </c>
      <c r="K9" s="46">
        <v>76019</v>
      </c>
      <c r="L9" s="46">
        <f t="shared" si="0"/>
        <v>0</v>
      </c>
      <c r="M9" s="254"/>
      <c r="O9" s="288" t="e">
        <f>MATCH(B9,#REF!,0)</f>
        <v>#REF!</v>
      </c>
      <c r="P9" s="288" t="e">
        <f>MATCH(B9,#REF!,0)</f>
        <v>#REF!</v>
      </c>
      <c r="Q9" s="288" t="e">
        <f>MATCH(B9,#REF!,0)</f>
        <v>#REF!</v>
      </c>
      <c r="R9" s="288" t="e">
        <f>MATCH(B9,#REF!,0)</f>
        <v>#REF!</v>
      </c>
      <c r="S9" s="288" t="e">
        <f>MATCH(B9,#REF!,0)</f>
        <v>#REF!</v>
      </c>
      <c r="T9" s="288" t="e">
        <f>MATCH(B9,#REF!,0)</f>
        <v>#REF!</v>
      </c>
      <c r="U9" s="288" t="e">
        <f>MATCH(B9,#REF!,0)</f>
        <v>#REF!</v>
      </c>
    </row>
    <row r="10" spans="1:97" s="62" customFormat="1" ht="36" customHeight="1" x14ac:dyDescent="0.2">
      <c r="A10" s="677" t="s">
        <v>2028</v>
      </c>
      <c r="B10" s="678">
        <v>580049591</v>
      </c>
      <c r="C10" s="49">
        <v>1000541589</v>
      </c>
      <c r="D10" s="305">
        <v>40000109</v>
      </c>
      <c r="E10" s="119">
        <v>100000</v>
      </c>
      <c r="F10" s="119">
        <v>100000</v>
      </c>
      <c r="G10" s="46">
        <v>95000</v>
      </c>
      <c r="H10" s="46">
        <v>95000</v>
      </c>
      <c r="I10" s="46">
        <v>95000</v>
      </c>
      <c r="J10" s="46">
        <v>95024</v>
      </c>
      <c r="K10" s="46">
        <v>95024</v>
      </c>
      <c r="L10" s="46">
        <f t="shared" si="0"/>
        <v>0</v>
      </c>
      <c r="M10" s="474"/>
      <c r="O10" s="288" t="e">
        <f>MATCH(B10,#REF!,0)</f>
        <v>#REF!</v>
      </c>
      <c r="P10" s="288" t="e">
        <f>MATCH(B10,#REF!,0)</f>
        <v>#REF!</v>
      </c>
      <c r="Q10" s="288" t="e">
        <f>MATCH(B10,#REF!,0)</f>
        <v>#REF!</v>
      </c>
      <c r="R10" s="288" t="e">
        <f>MATCH(B10,#REF!,0)</f>
        <v>#REF!</v>
      </c>
      <c r="S10" s="288" t="e">
        <f>MATCH(B10,#REF!,0)</f>
        <v>#REF!</v>
      </c>
      <c r="T10" s="288" t="e">
        <f>MATCH(B10,#REF!,0)</f>
        <v>#REF!</v>
      </c>
      <c r="U10" s="288" t="e">
        <f>MATCH(B10,#REF!,0)</f>
        <v>#REF!</v>
      </c>
    </row>
    <row r="11" spans="1:97" s="62" customFormat="1" ht="42.75" customHeight="1" x14ac:dyDescent="0.2">
      <c r="A11" s="683" t="s">
        <v>2029</v>
      </c>
      <c r="B11" s="678">
        <v>500266002</v>
      </c>
      <c r="C11" s="416">
        <v>1000545087</v>
      </c>
      <c r="D11" s="305">
        <v>20000224</v>
      </c>
      <c r="E11" s="46">
        <v>50000</v>
      </c>
      <c r="F11" s="46">
        <v>50000</v>
      </c>
      <c r="G11" s="284">
        <v>50000</v>
      </c>
      <c r="H11" s="46">
        <v>50000</v>
      </c>
      <c r="I11" s="46">
        <v>77174</v>
      </c>
      <c r="J11" s="46">
        <v>75000</v>
      </c>
      <c r="K11" s="46">
        <v>75000</v>
      </c>
      <c r="L11" s="46">
        <f t="shared" si="0"/>
        <v>0</v>
      </c>
      <c r="M11" s="75"/>
      <c r="O11" s="288" t="e">
        <f>MATCH(B11,#REF!,0)</f>
        <v>#REF!</v>
      </c>
      <c r="P11" s="288" t="e">
        <f>MATCH(B11,#REF!,0)</f>
        <v>#REF!</v>
      </c>
      <c r="Q11" s="288" t="e">
        <f>MATCH(B11,#REF!,0)</f>
        <v>#REF!</v>
      </c>
      <c r="R11" s="288" t="e">
        <f>MATCH(B11,#REF!,0)</f>
        <v>#REF!</v>
      </c>
      <c r="S11" s="288" t="e">
        <f>MATCH(B11,#REF!,0)</f>
        <v>#REF!</v>
      </c>
      <c r="T11" s="288" t="e">
        <f>MATCH(B11,#REF!,0)</f>
        <v>#REF!</v>
      </c>
      <c r="U11" s="288" t="e">
        <f>MATCH(B11,#REF!,0)</f>
        <v>#REF!</v>
      </c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</row>
    <row r="12" spans="1:97" s="388" customFormat="1" ht="55.5" customHeight="1" x14ac:dyDescent="0.2">
      <c r="A12" s="496" t="s">
        <v>2030</v>
      </c>
      <c r="B12" s="678">
        <v>580150761</v>
      </c>
      <c r="C12" s="681">
        <v>1000536766</v>
      </c>
      <c r="D12" s="305">
        <v>40000155</v>
      </c>
      <c r="E12" s="46">
        <v>50000</v>
      </c>
      <c r="F12" s="46">
        <v>100000</v>
      </c>
      <c r="G12" s="46">
        <v>98696</v>
      </c>
      <c r="H12" s="46">
        <v>100522</v>
      </c>
      <c r="I12" s="46">
        <v>100522</v>
      </c>
      <c r="J12" s="46">
        <v>100522</v>
      </c>
      <c r="K12" s="46">
        <v>100522</v>
      </c>
      <c r="L12" s="46">
        <f t="shared" si="0"/>
        <v>0</v>
      </c>
      <c r="M12" s="75"/>
      <c r="O12" s="288" t="e">
        <f>MATCH(B12,#REF!,0)</f>
        <v>#REF!</v>
      </c>
      <c r="P12" s="288" t="e">
        <f>MATCH(B12,#REF!,0)</f>
        <v>#REF!</v>
      </c>
      <c r="Q12" s="288" t="e">
        <f>MATCH(B12,#REF!,0)</f>
        <v>#REF!</v>
      </c>
      <c r="R12" s="288" t="e">
        <f>MATCH(B12,#REF!,0)</f>
        <v>#REF!</v>
      </c>
      <c r="S12" s="288" t="e">
        <f>MATCH(B12,#REF!,0)</f>
        <v>#REF!</v>
      </c>
      <c r="T12" s="288" t="e">
        <f>MATCH(B12,#REF!,0)</f>
        <v>#REF!</v>
      </c>
      <c r="U12" s="288" t="e">
        <f>MATCH(B12,#REF!,0)</f>
        <v>#REF!</v>
      </c>
    </row>
    <row r="13" spans="1:97" s="62" customFormat="1" ht="51" customHeight="1" x14ac:dyDescent="0.2">
      <c r="A13" s="86" t="s">
        <v>2031</v>
      </c>
      <c r="B13" s="66">
        <v>580150761</v>
      </c>
      <c r="C13" s="681">
        <v>1000536728</v>
      </c>
      <c r="D13" s="48">
        <v>40000155</v>
      </c>
      <c r="E13" s="119">
        <v>1063000</v>
      </c>
      <c r="F13" s="46">
        <v>1050000</v>
      </c>
      <c r="G13" s="46">
        <v>1040000</v>
      </c>
      <c r="H13" s="46">
        <v>1040000</v>
      </c>
      <c r="I13" s="46">
        <v>1040000</v>
      </c>
      <c r="J13" s="46">
        <v>1040000</v>
      </c>
      <c r="K13" s="46">
        <v>1040000</v>
      </c>
      <c r="L13" s="46">
        <f t="shared" si="0"/>
        <v>0</v>
      </c>
      <c r="M13" s="79"/>
      <c r="O13" s="288" t="e">
        <f>MATCH(B13,#REF!,0)</f>
        <v>#REF!</v>
      </c>
      <c r="P13" s="288" t="e">
        <f>MATCH(B13,#REF!,0)</f>
        <v>#REF!</v>
      </c>
      <c r="Q13" s="288" t="e">
        <f>MATCH(B13,#REF!,0)</f>
        <v>#REF!</v>
      </c>
      <c r="R13" s="288" t="e">
        <f>MATCH(B13,#REF!,0)</f>
        <v>#REF!</v>
      </c>
      <c r="S13" s="288" t="e">
        <f>MATCH(B13,#REF!,0)</f>
        <v>#REF!</v>
      </c>
      <c r="T13" s="288" t="e">
        <f>MATCH(B13,#REF!,0)</f>
        <v>#REF!</v>
      </c>
      <c r="U13" s="288" t="e">
        <f>MATCH(B13,#REF!,0)</f>
        <v>#REF!</v>
      </c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</row>
    <row r="14" spans="1:97" s="388" customFormat="1" ht="47.25" customHeight="1" x14ac:dyDescent="0.2">
      <c r="A14" s="85" t="s">
        <v>2032</v>
      </c>
      <c r="B14" s="66">
        <v>580145696</v>
      </c>
      <c r="C14" s="416">
        <v>1000545412</v>
      </c>
      <c r="D14" s="48">
        <v>40000502</v>
      </c>
      <c r="E14" s="46">
        <v>325000</v>
      </c>
      <c r="F14" s="46">
        <v>340000</v>
      </c>
      <c r="G14" s="46">
        <v>412469</v>
      </c>
      <c r="H14" s="46">
        <v>420000</v>
      </c>
      <c r="I14" s="46">
        <v>400000</v>
      </c>
      <c r="J14" s="46">
        <v>400000</v>
      </c>
      <c r="K14" s="46">
        <v>400000</v>
      </c>
      <c r="L14" s="46">
        <f t="shared" si="0"/>
        <v>0</v>
      </c>
      <c r="M14" s="684"/>
      <c r="O14" s="288" t="e">
        <f>MATCH(B14,#REF!,0)</f>
        <v>#REF!</v>
      </c>
      <c r="P14" s="288" t="e">
        <f>MATCH(B14,#REF!,0)</f>
        <v>#REF!</v>
      </c>
      <c r="Q14" s="288" t="e">
        <f>MATCH(B14,#REF!,0)</f>
        <v>#REF!</v>
      </c>
      <c r="R14" s="288" t="e">
        <f>MATCH(B14,#REF!,0)</f>
        <v>#REF!</v>
      </c>
      <c r="S14" s="288" t="e">
        <f>MATCH(B14,#REF!,0)</f>
        <v>#REF!</v>
      </c>
      <c r="T14" s="288" t="e">
        <f>MATCH(B14,#REF!,0)</f>
        <v>#REF!</v>
      </c>
      <c r="U14" s="288" t="e">
        <f>MATCH(B14,#REF!,0)</f>
        <v>#REF!</v>
      </c>
    </row>
    <row r="15" spans="1:97" s="62" customFormat="1" ht="47.25" customHeight="1" x14ac:dyDescent="0.2">
      <c r="A15" s="487" t="s">
        <v>2033</v>
      </c>
      <c r="B15" s="564">
        <v>500262548</v>
      </c>
      <c r="C15" s="494">
        <v>1000552552</v>
      </c>
      <c r="D15" s="319">
        <v>20000220</v>
      </c>
      <c r="E15" s="119">
        <v>0</v>
      </c>
      <c r="F15" s="46">
        <v>0</v>
      </c>
      <c r="G15" s="284">
        <v>0</v>
      </c>
      <c r="H15" s="46">
        <v>25500</v>
      </c>
      <c r="I15" s="46">
        <v>25500</v>
      </c>
      <c r="J15" s="46">
        <v>25506</v>
      </c>
      <c r="K15" s="299">
        <v>25506</v>
      </c>
      <c r="L15" s="46">
        <f t="shared" si="0"/>
        <v>0</v>
      </c>
      <c r="M15" s="75"/>
      <c r="O15" s="288" t="e">
        <f>MATCH(B15,#REF!,0)</f>
        <v>#REF!</v>
      </c>
      <c r="P15" s="288" t="e">
        <f>MATCH(B15,#REF!,0)</f>
        <v>#REF!</v>
      </c>
      <c r="Q15" s="288" t="e">
        <f>MATCH(B15,#REF!,0)</f>
        <v>#REF!</v>
      </c>
      <c r="R15" s="288" t="e">
        <f>MATCH(B15,#REF!,0)</f>
        <v>#REF!</v>
      </c>
      <c r="S15" s="288" t="e">
        <f>MATCH(B15,#REF!,0)</f>
        <v>#REF!</v>
      </c>
      <c r="T15" s="288" t="e">
        <f>MATCH(B15,#REF!,0)</f>
        <v>#REF!</v>
      </c>
      <c r="U15" s="288" t="e">
        <f>MATCH(B15,#REF!,0)</f>
        <v>#REF!</v>
      </c>
    </row>
    <row r="16" spans="1:97" s="388" customFormat="1" ht="43.5" customHeight="1" x14ac:dyDescent="0.2">
      <c r="A16" s="72" t="s">
        <v>2034</v>
      </c>
      <c r="B16" s="53">
        <v>580255875</v>
      </c>
      <c r="C16" s="49">
        <v>1000577415</v>
      </c>
      <c r="D16" s="48">
        <v>40000623</v>
      </c>
      <c r="E16" s="46">
        <v>100000</v>
      </c>
      <c r="F16" s="46">
        <v>86576</v>
      </c>
      <c r="G16" s="46">
        <v>103117</v>
      </c>
      <c r="H16" s="46">
        <v>69375</v>
      </c>
      <c r="I16" s="46">
        <v>65000</v>
      </c>
      <c r="J16" s="46">
        <v>65016</v>
      </c>
      <c r="K16" s="46">
        <v>65016</v>
      </c>
      <c r="L16" s="46">
        <f t="shared" si="0"/>
        <v>0</v>
      </c>
      <c r="M16" s="685"/>
      <c r="O16" s="288" t="e">
        <f>MATCH(B16,#REF!,0)</f>
        <v>#REF!</v>
      </c>
      <c r="P16" s="288" t="e">
        <f>MATCH(B16,#REF!,0)</f>
        <v>#REF!</v>
      </c>
      <c r="Q16" s="288" t="e">
        <f>MATCH(B16,#REF!,0)</f>
        <v>#REF!</v>
      </c>
      <c r="R16" s="288" t="e">
        <f>MATCH(B16,#REF!,0)</f>
        <v>#REF!</v>
      </c>
      <c r="S16" s="288" t="e">
        <f>MATCH(B16,#REF!,0)</f>
        <v>#REF!</v>
      </c>
      <c r="T16" s="288" t="e">
        <f>MATCH(B16,#REF!,0)</f>
        <v>#REF!</v>
      </c>
      <c r="U16" s="288" t="e">
        <f>MATCH(B16,#REF!,0)</f>
        <v>#REF!</v>
      </c>
    </row>
    <row r="17" spans="1:94" s="44" customFormat="1" ht="48" customHeight="1" x14ac:dyDescent="0.2">
      <c r="A17" s="679" t="s">
        <v>2020</v>
      </c>
      <c r="B17" s="66">
        <v>580042901</v>
      </c>
      <c r="C17" s="681">
        <v>1000534450</v>
      </c>
      <c r="D17" s="48">
        <v>40000104</v>
      </c>
      <c r="E17" s="46">
        <v>3282000</v>
      </c>
      <c r="F17" s="46">
        <v>3215487</v>
      </c>
      <c r="G17" s="46">
        <v>3063375</v>
      </c>
      <c r="H17" s="46">
        <v>2790818</v>
      </c>
      <c r="I17" s="46">
        <v>2548377</v>
      </c>
      <c r="J17" s="46">
        <v>2583338</v>
      </c>
      <c r="K17" s="46">
        <v>2583338</v>
      </c>
      <c r="L17" s="46">
        <f t="shared" si="0"/>
        <v>0</v>
      </c>
      <c r="M17" s="248"/>
      <c r="O17" s="288" t="e">
        <f>MATCH(B17,#REF!,0)</f>
        <v>#REF!</v>
      </c>
      <c r="P17" s="288" t="e">
        <f>MATCH(B17,#REF!,0)</f>
        <v>#REF!</v>
      </c>
      <c r="Q17" s="288" t="e">
        <f>MATCH(B17,#REF!,0)</f>
        <v>#REF!</v>
      </c>
      <c r="R17" s="288" t="e">
        <f>MATCH(B17,#REF!,0)</f>
        <v>#REF!</v>
      </c>
      <c r="S17" s="288" t="e">
        <f>MATCH(B17,#REF!,0)</f>
        <v>#REF!</v>
      </c>
      <c r="T17" s="288" t="e">
        <f>MATCH(B17,#REF!,0)</f>
        <v>#REF!</v>
      </c>
      <c r="U17" s="288" t="e">
        <f>MATCH(B17,#REF!,0)</f>
        <v>#REF!</v>
      </c>
    </row>
    <row r="18" spans="1:94" s="388" customFormat="1" ht="36.75" customHeight="1" x14ac:dyDescent="0.2">
      <c r="A18" s="86" t="s">
        <v>2035</v>
      </c>
      <c r="B18" s="66">
        <v>580101152</v>
      </c>
      <c r="C18" s="681">
        <v>1000544963</v>
      </c>
      <c r="D18" s="48">
        <v>40000461</v>
      </c>
      <c r="E18" s="46">
        <v>1230000</v>
      </c>
      <c r="F18" s="46">
        <v>1229808</v>
      </c>
      <c r="G18" s="46">
        <v>1148066</v>
      </c>
      <c r="H18" s="46">
        <v>1165901</v>
      </c>
      <c r="I18" s="46">
        <v>1179289</v>
      </c>
      <c r="J18" s="46">
        <v>1181943</v>
      </c>
      <c r="K18" s="46">
        <v>1181943</v>
      </c>
      <c r="L18" s="46">
        <f t="shared" si="0"/>
        <v>0</v>
      </c>
      <c r="M18" s="76"/>
      <c r="O18" s="288" t="e">
        <f>MATCH(B18,#REF!,0)</f>
        <v>#REF!</v>
      </c>
      <c r="P18" s="288" t="e">
        <f>MATCH(B18,#REF!,0)</f>
        <v>#REF!</v>
      </c>
      <c r="Q18" s="288" t="e">
        <f>MATCH(B18,#REF!,0)</f>
        <v>#REF!</v>
      </c>
      <c r="R18" s="288" t="e">
        <f>MATCH(B18,#REF!,0)</f>
        <v>#REF!</v>
      </c>
      <c r="S18" s="288" t="e">
        <f>MATCH(B18,#REF!,0)</f>
        <v>#REF!</v>
      </c>
      <c r="T18" s="288" t="e">
        <f>MATCH(B18,#REF!,0)</f>
        <v>#REF!</v>
      </c>
      <c r="U18" s="288" t="e">
        <f>MATCH(B18,#REF!,0)</f>
        <v>#REF!</v>
      </c>
    </row>
    <row r="19" spans="1:94" s="388" customFormat="1" ht="39.950000000000003" customHeight="1" x14ac:dyDescent="0.2">
      <c r="A19" s="86" t="s">
        <v>2036</v>
      </c>
      <c r="B19" s="66">
        <v>580101152</v>
      </c>
      <c r="C19" s="681">
        <v>1000546248</v>
      </c>
      <c r="D19" s="48">
        <v>40000461</v>
      </c>
      <c r="E19" s="46">
        <v>1282000</v>
      </c>
      <c r="F19" s="46">
        <v>1281800</v>
      </c>
      <c r="G19" s="46">
        <v>1230143</v>
      </c>
      <c r="H19" s="46">
        <v>1304605</v>
      </c>
      <c r="I19" s="46">
        <v>1330619</v>
      </c>
      <c r="J19" s="46">
        <v>1388963</v>
      </c>
      <c r="K19" s="46">
        <v>1388963</v>
      </c>
      <c r="L19" s="46">
        <f t="shared" si="0"/>
        <v>0</v>
      </c>
      <c r="M19" s="76"/>
      <c r="O19" s="288" t="e">
        <f>MATCH(B19,#REF!,0)</f>
        <v>#REF!</v>
      </c>
      <c r="P19" s="288" t="e">
        <f>MATCH(B19,#REF!,0)</f>
        <v>#REF!</v>
      </c>
      <c r="Q19" s="288" t="e">
        <f>MATCH(B19,#REF!,0)</f>
        <v>#REF!</v>
      </c>
      <c r="R19" s="288" t="e">
        <f>MATCH(B19,#REF!,0)</f>
        <v>#REF!</v>
      </c>
      <c r="S19" s="288" t="e">
        <f>MATCH(B19,#REF!,0)</f>
        <v>#REF!</v>
      </c>
      <c r="T19" s="288" t="e">
        <f>MATCH(B19,#REF!,0)</f>
        <v>#REF!</v>
      </c>
      <c r="U19" s="288" t="e">
        <f>MATCH(B19,#REF!,0)</f>
        <v>#REF!</v>
      </c>
    </row>
    <row r="20" spans="1:94" s="62" customFormat="1" ht="36" customHeight="1" x14ac:dyDescent="0.2">
      <c r="A20" s="86" t="s">
        <v>2037</v>
      </c>
      <c r="B20" s="686">
        <v>580450823</v>
      </c>
      <c r="C20" s="687">
        <v>1000540260</v>
      </c>
      <c r="D20" s="132">
        <v>40221855</v>
      </c>
      <c r="E20" s="119">
        <v>495000</v>
      </c>
      <c r="F20" s="119">
        <v>660983</v>
      </c>
      <c r="G20" s="119">
        <v>732926</v>
      </c>
      <c r="H20" s="46">
        <v>1000000</v>
      </c>
      <c r="I20" s="46">
        <v>1398689</v>
      </c>
      <c r="J20" s="46">
        <v>1595660</v>
      </c>
      <c r="K20" s="46">
        <v>1595660</v>
      </c>
      <c r="L20" s="46">
        <f t="shared" si="0"/>
        <v>0</v>
      </c>
      <c r="M20" s="688"/>
      <c r="O20" s="288" t="e">
        <f>MATCH(B20,#REF!,0)</f>
        <v>#REF!</v>
      </c>
      <c r="P20" s="288" t="e">
        <f>MATCH(B20,#REF!,0)</f>
        <v>#REF!</v>
      </c>
      <c r="Q20" s="288" t="e">
        <f>MATCH(B20,#REF!,0)</f>
        <v>#REF!</v>
      </c>
      <c r="R20" s="288" t="e">
        <f>MATCH(B20,#REF!,0)</f>
        <v>#REF!</v>
      </c>
      <c r="S20" s="288" t="e">
        <f>MATCH(B20,#REF!,0)</f>
        <v>#REF!</v>
      </c>
      <c r="T20" s="288" t="e">
        <f>MATCH(B20,#REF!,0)</f>
        <v>#REF!</v>
      </c>
      <c r="U20" s="288" t="e">
        <f>MATCH(B20,#REF!,0)</f>
        <v>#REF!</v>
      </c>
    </row>
    <row r="21" spans="1:94" s="62" customFormat="1" ht="42.75" customHeight="1" x14ac:dyDescent="0.2">
      <c r="A21" s="689" t="s">
        <v>2038</v>
      </c>
      <c r="B21" s="686">
        <v>580162220</v>
      </c>
      <c r="C21" s="681">
        <v>1000540489</v>
      </c>
      <c r="D21" s="132">
        <v>40000160</v>
      </c>
      <c r="E21" s="119">
        <v>320864</v>
      </c>
      <c r="F21" s="119">
        <v>540000</v>
      </c>
      <c r="G21" s="119">
        <v>486025</v>
      </c>
      <c r="H21" s="46">
        <v>543095</v>
      </c>
      <c r="I21" s="46">
        <v>662697</v>
      </c>
      <c r="J21" s="46">
        <v>602558</v>
      </c>
      <c r="K21" s="46">
        <v>602558</v>
      </c>
      <c r="L21" s="46">
        <f t="shared" si="0"/>
        <v>0</v>
      </c>
      <c r="M21" s="80"/>
      <c r="O21" s="288" t="e">
        <f>MATCH(B21,#REF!,0)</f>
        <v>#REF!</v>
      </c>
      <c r="P21" s="288" t="e">
        <f>MATCH(B21,#REF!,0)</f>
        <v>#REF!</v>
      </c>
      <c r="Q21" s="288" t="e">
        <f>MATCH(B21,#REF!,0)</f>
        <v>#REF!</v>
      </c>
      <c r="R21" s="288" t="e">
        <f>MATCH(B21,#REF!,0)</f>
        <v>#REF!</v>
      </c>
      <c r="S21" s="288" t="e">
        <f>MATCH(B21,#REF!,0)</f>
        <v>#REF!</v>
      </c>
      <c r="T21" s="288" t="e">
        <f>MATCH(B21,#REF!,0)</f>
        <v>#REF!</v>
      </c>
      <c r="U21" s="288" t="e">
        <f>MATCH(B21,#REF!,0)</f>
        <v>#REF!</v>
      </c>
    </row>
    <row r="22" spans="1:94" s="62" customFormat="1" ht="36" customHeight="1" x14ac:dyDescent="0.2">
      <c r="A22" s="679" t="s">
        <v>2039</v>
      </c>
      <c r="B22" s="66">
        <v>580162220</v>
      </c>
      <c r="C22" s="681">
        <v>1000540573</v>
      </c>
      <c r="D22" s="48">
        <v>40000160</v>
      </c>
      <c r="E22" s="119">
        <v>1496923</v>
      </c>
      <c r="F22" s="46">
        <v>1572771</v>
      </c>
      <c r="G22" s="46">
        <v>1512399</v>
      </c>
      <c r="H22" s="46">
        <v>1682591</v>
      </c>
      <c r="I22" s="46">
        <f>1805872-64440</f>
        <v>1741432</v>
      </c>
      <c r="J22" s="46">
        <v>1860758</v>
      </c>
      <c r="K22" s="46">
        <v>1860758</v>
      </c>
      <c r="L22" s="46">
        <f t="shared" si="0"/>
        <v>0</v>
      </c>
      <c r="M22" s="80"/>
      <c r="O22" s="288" t="e">
        <f>MATCH(B22,#REF!,0)</f>
        <v>#REF!</v>
      </c>
      <c r="P22" s="288" t="e">
        <f>MATCH(B22,#REF!,0)</f>
        <v>#REF!</v>
      </c>
      <c r="Q22" s="288" t="e">
        <f>MATCH(B22,#REF!,0)</f>
        <v>#REF!</v>
      </c>
      <c r="R22" s="288" t="e">
        <f>MATCH(B22,#REF!,0)</f>
        <v>#REF!</v>
      </c>
      <c r="S22" s="288" t="e">
        <f>MATCH(B22,#REF!,0)</f>
        <v>#REF!</v>
      </c>
      <c r="T22" s="288" t="e">
        <f>MATCH(B22,#REF!,0)</f>
        <v>#REF!</v>
      </c>
      <c r="U22" s="288" t="e">
        <f>MATCH(B22,#REF!,0)</f>
        <v>#REF!</v>
      </c>
    </row>
    <row r="23" spans="1:94" s="62" customFormat="1" ht="36" customHeight="1" x14ac:dyDescent="0.2">
      <c r="A23" s="391" t="s">
        <v>2013</v>
      </c>
      <c r="B23" s="690">
        <v>580408896</v>
      </c>
      <c r="C23" s="416">
        <v>1000538895</v>
      </c>
      <c r="D23" s="305">
        <v>40221572</v>
      </c>
      <c r="E23" s="46">
        <v>41000</v>
      </c>
      <c r="F23" s="536">
        <v>50000</v>
      </c>
      <c r="G23" s="284">
        <v>50000</v>
      </c>
      <c r="H23" s="46">
        <v>50000</v>
      </c>
      <c r="I23" s="46">
        <v>50000</v>
      </c>
      <c r="J23" s="46">
        <v>70000</v>
      </c>
      <c r="K23" s="46">
        <v>70000</v>
      </c>
      <c r="L23" s="46">
        <f t="shared" si="0"/>
        <v>0</v>
      </c>
      <c r="M23" s="79"/>
      <c r="O23" s="288" t="e">
        <f>MATCH(B23,#REF!,0)</f>
        <v>#REF!</v>
      </c>
      <c r="P23" s="288" t="e">
        <f>MATCH(B23,#REF!,0)</f>
        <v>#REF!</v>
      </c>
      <c r="Q23" s="288" t="e">
        <f>MATCH(B23,#REF!,0)</f>
        <v>#REF!</v>
      </c>
      <c r="R23" s="288" t="e">
        <f>MATCH(B23,#REF!,0)</f>
        <v>#REF!</v>
      </c>
      <c r="S23" s="288" t="e">
        <f>MATCH(B23,#REF!,0)</f>
        <v>#REF!</v>
      </c>
      <c r="T23" s="288" t="e">
        <f>MATCH(B23,#REF!,0)</f>
        <v>#REF!</v>
      </c>
      <c r="U23" s="288" t="e">
        <f>MATCH(B23,#REF!,0)</f>
        <v>#REF!</v>
      </c>
    </row>
    <row r="24" spans="1:94" s="62" customFormat="1" ht="50.25" customHeight="1" x14ac:dyDescent="0.2">
      <c r="A24" s="72" t="s">
        <v>2040</v>
      </c>
      <c r="B24" s="50">
        <v>510513435</v>
      </c>
      <c r="C24" s="49">
        <v>1000550489</v>
      </c>
      <c r="D24" s="48">
        <v>40000011</v>
      </c>
      <c r="E24" s="119">
        <v>100000</v>
      </c>
      <c r="F24" s="46">
        <v>41600</v>
      </c>
      <c r="G24" s="284">
        <v>103117</v>
      </c>
      <c r="H24" s="46">
        <v>132992</v>
      </c>
      <c r="I24" s="46">
        <v>125000</v>
      </c>
      <c r="J24" s="46">
        <v>125031</v>
      </c>
      <c r="K24" s="46">
        <v>125031</v>
      </c>
      <c r="L24" s="46">
        <f t="shared" si="0"/>
        <v>0</v>
      </c>
      <c r="M24" s="248"/>
      <c r="O24" s="288" t="e">
        <f>MATCH(B24,#REF!,0)</f>
        <v>#REF!</v>
      </c>
      <c r="P24" s="288" t="e">
        <f>MATCH(B24,#REF!,0)</f>
        <v>#REF!</v>
      </c>
      <c r="Q24" s="288" t="e">
        <f>MATCH(B24,#REF!,0)</f>
        <v>#REF!</v>
      </c>
      <c r="R24" s="288" t="e">
        <f>MATCH(B24,#REF!,0)</f>
        <v>#REF!</v>
      </c>
      <c r="S24" s="288" t="e">
        <f>MATCH(B24,#REF!,0)</f>
        <v>#REF!</v>
      </c>
      <c r="T24" s="288" t="e">
        <f>MATCH(B24,#REF!,0)</f>
        <v>#REF!</v>
      </c>
      <c r="U24" s="288" t="e">
        <f>MATCH(B24,#REF!,0)</f>
        <v>#REF!</v>
      </c>
    </row>
    <row r="25" spans="1:94" s="62" customFormat="1" ht="59.25" customHeight="1" x14ac:dyDescent="0.2">
      <c r="A25" s="45" t="s">
        <v>2041</v>
      </c>
      <c r="B25" s="686">
        <v>580085371</v>
      </c>
      <c r="C25" s="681">
        <v>1000542602</v>
      </c>
      <c r="D25" s="132">
        <v>40000129</v>
      </c>
      <c r="E25" s="119">
        <v>500000</v>
      </c>
      <c r="F25" s="46">
        <v>550000</v>
      </c>
      <c r="G25" s="46">
        <v>542826</v>
      </c>
      <c r="H25" s="46">
        <v>600000</v>
      </c>
      <c r="I25" s="46">
        <v>675000</v>
      </c>
      <c r="J25" s="46">
        <v>750000</v>
      </c>
      <c r="K25" s="46">
        <v>750000</v>
      </c>
      <c r="L25" s="46">
        <f t="shared" si="0"/>
        <v>0</v>
      </c>
      <c r="M25" s="77"/>
      <c r="O25" s="288" t="e">
        <f>MATCH(B25,#REF!,0)</f>
        <v>#REF!</v>
      </c>
      <c r="P25" s="288" t="e">
        <f>MATCH(B25,#REF!,0)</f>
        <v>#REF!</v>
      </c>
      <c r="Q25" s="288" t="e">
        <f>MATCH(B25,#REF!,0)</f>
        <v>#REF!</v>
      </c>
      <c r="R25" s="288" t="e">
        <f>MATCH(B25,#REF!,0)</f>
        <v>#REF!</v>
      </c>
      <c r="S25" s="288" t="e">
        <f>MATCH(B25,#REF!,0)</f>
        <v>#REF!</v>
      </c>
      <c r="T25" s="288" t="e">
        <f>MATCH(B25,#REF!,0)</f>
        <v>#REF!</v>
      </c>
      <c r="U25" s="288" t="e">
        <f>MATCH(B25,#REF!,0)</f>
        <v>#REF!</v>
      </c>
    </row>
    <row r="26" spans="1:94" s="44" customFormat="1" ht="51.75" customHeight="1" x14ac:dyDescent="0.2">
      <c r="A26" s="679" t="s">
        <v>2042</v>
      </c>
      <c r="B26" s="66">
        <v>580352482</v>
      </c>
      <c r="C26" s="681">
        <v>1000541757</v>
      </c>
      <c r="D26" s="48">
        <v>40000705</v>
      </c>
      <c r="E26" s="46">
        <v>1025000</v>
      </c>
      <c r="F26" s="46">
        <v>1000000</v>
      </c>
      <c r="G26" s="46">
        <v>1000000</v>
      </c>
      <c r="H26" s="46">
        <v>1000000</v>
      </c>
      <c r="I26" s="46">
        <v>1028988</v>
      </c>
      <c r="J26" s="46">
        <v>1000000</v>
      </c>
      <c r="K26" s="46">
        <v>1000000</v>
      </c>
      <c r="L26" s="46">
        <f t="shared" si="0"/>
        <v>0</v>
      </c>
      <c r="M26" s="75"/>
      <c r="O26" s="288" t="e">
        <f>MATCH(B26,#REF!,0)</f>
        <v>#REF!</v>
      </c>
      <c r="P26" s="288" t="e">
        <f>MATCH(B26,#REF!,0)</f>
        <v>#REF!</v>
      </c>
      <c r="Q26" s="288" t="e">
        <f>MATCH(B26,#REF!,0)</f>
        <v>#REF!</v>
      </c>
      <c r="R26" s="288" t="e">
        <f>MATCH(B26,#REF!,0)</f>
        <v>#REF!</v>
      </c>
      <c r="S26" s="288" t="e">
        <f>MATCH(B26,#REF!,0)</f>
        <v>#REF!</v>
      </c>
      <c r="T26" s="288" t="e">
        <f>MATCH(B26,#REF!,0)</f>
        <v>#REF!</v>
      </c>
      <c r="U26" s="288" t="e">
        <f>MATCH(B26,#REF!,0)</f>
        <v>#REF!</v>
      </c>
    </row>
    <row r="27" spans="1:94" s="62" customFormat="1" ht="39.75" customHeight="1" x14ac:dyDescent="0.2">
      <c r="A27" s="85" t="s">
        <v>2043</v>
      </c>
      <c r="B27" s="66">
        <v>580201309</v>
      </c>
      <c r="C27" s="681">
        <v>1000537742</v>
      </c>
      <c r="D27" s="48">
        <v>40000175</v>
      </c>
      <c r="E27" s="119">
        <v>243682</v>
      </c>
      <c r="F27" s="46">
        <v>250000</v>
      </c>
      <c r="G27" s="46">
        <v>324395</v>
      </c>
      <c r="H27" s="46">
        <v>374214</v>
      </c>
      <c r="I27" s="46">
        <v>400000</v>
      </c>
      <c r="J27" s="46">
        <v>350011</v>
      </c>
      <c r="K27" s="46">
        <v>350011</v>
      </c>
      <c r="L27" s="46">
        <f t="shared" si="0"/>
        <v>0</v>
      </c>
      <c r="M27" s="75"/>
      <c r="O27" s="288" t="e">
        <f>MATCH(B27,#REF!,0)</f>
        <v>#REF!</v>
      </c>
      <c r="P27" s="288" t="e">
        <f>MATCH(B27,#REF!,0)</f>
        <v>#REF!</v>
      </c>
      <c r="Q27" s="288" t="e">
        <f>MATCH(B27,#REF!,0)</f>
        <v>#REF!</v>
      </c>
      <c r="R27" s="288" t="e">
        <f>MATCH(B27,#REF!,0)</f>
        <v>#REF!</v>
      </c>
      <c r="S27" s="288" t="e">
        <f>MATCH(B27,#REF!,0)</f>
        <v>#REF!</v>
      </c>
      <c r="T27" s="288" t="e">
        <f>MATCH(B27,#REF!,0)</f>
        <v>#REF!</v>
      </c>
      <c r="U27" s="288" t="e">
        <f>MATCH(B27,#REF!,0)</f>
        <v>#REF!</v>
      </c>
    </row>
    <row r="28" spans="1:94" s="62" customFormat="1" ht="39.950000000000003" customHeight="1" x14ac:dyDescent="0.2">
      <c r="A28" s="86" t="s">
        <v>2044</v>
      </c>
      <c r="B28" s="66">
        <v>580201309</v>
      </c>
      <c r="C28" s="416">
        <v>1000537779</v>
      </c>
      <c r="D28" s="48">
        <v>40000175</v>
      </c>
      <c r="E28" s="46">
        <v>1095148</v>
      </c>
      <c r="F28" s="46">
        <v>1071405</v>
      </c>
      <c r="G28" s="46">
        <v>1096554</v>
      </c>
      <c r="H28" s="46">
        <v>1149208</v>
      </c>
      <c r="I28" s="46">
        <v>1182616</v>
      </c>
      <c r="J28" s="46">
        <v>1267719</v>
      </c>
      <c r="K28" s="46">
        <v>1267719</v>
      </c>
      <c r="L28" s="46">
        <f t="shared" si="0"/>
        <v>0</v>
      </c>
      <c r="M28" s="75"/>
      <c r="O28" s="288" t="e">
        <f>MATCH(B28,#REF!,0)</f>
        <v>#REF!</v>
      </c>
      <c r="P28" s="288" t="e">
        <f>MATCH(B28,#REF!,0)</f>
        <v>#REF!</v>
      </c>
      <c r="Q28" s="288" t="e">
        <f>MATCH(B28,#REF!,0)</f>
        <v>#REF!</v>
      </c>
      <c r="R28" s="288" t="e">
        <f>MATCH(B28,#REF!,0)</f>
        <v>#REF!</v>
      </c>
      <c r="S28" s="288" t="e">
        <f>MATCH(B28,#REF!,0)</f>
        <v>#REF!</v>
      </c>
      <c r="T28" s="288" t="e">
        <f>MATCH(B28,#REF!,0)</f>
        <v>#REF!</v>
      </c>
      <c r="U28" s="288" t="e">
        <f>MATCH(B28,#REF!,0)</f>
        <v>#REF!</v>
      </c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</row>
    <row r="29" spans="1:94" s="62" customFormat="1" ht="46.5" customHeight="1" x14ac:dyDescent="0.2">
      <c r="A29" s="679" t="s">
        <v>1453</v>
      </c>
      <c r="B29" s="66">
        <v>580234524</v>
      </c>
      <c r="C29" s="681">
        <v>1000535526</v>
      </c>
      <c r="D29" s="48">
        <v>40000190</v>
      </c>
      <c r="E29" s="46">
        <v>1130000</v>
      </c>
      <c r="F29" s="46">
        <v>1238190</v>
      </c>
      <c r="G29" s="46">
        <v>1217079</v>
      </c>
      <c r="H29" s="46">
        <v>1339371</v>
      </c>
      <c r="I29" s="46">
        <v>1434525</v>
      </c>
      <c r="J29" s="46">
        <v>1523816</v>
      </c>
      <c r="K29" s="46">
        <v>1523816</v>
      </c>
      <c r="L29" s="46">
        <f t="shared" si="0"/>
        <v>0</v>
      </c>
      <c r="M29" s="79"/>
      <c r="O29" s="288" t="e">
        <f>MATCH(B29,#REF!,0)</f>
        <v>#REF!</v>
      </c>
      <c r="P29" s="288" t="e">
        <f>MATCH(B29,#REF!,0)</f>
        <v>#REF!</v>
      </c>
      <c r="Q29" s="288" t="e">
        <f>MATCH(B29,#REF!,0)</f>
        <v>#REF!</v>
      </c>
      <c r="R29" s="288" t="e">
        <f>MATCH(B29,#REF!,0)</f>
        <v>#REF!</v>
      </c>
      <c r="S29" s="288" t="e">
        <f>MATCH(B29,#REF!,0)</f>
        <v>#REF!</v>
      </c>
      <c r="T29" s="288" t="e">
        <f>MATCH(B29,#REF!,0)</f>
        <v>#REF!</v>
      </c>
      <c r="U29" s="288" t="e">
        <f>MATCH(B29,#REF!,0)</f>
        <v>#REF!</v>
      </c>
    </row>
    <row r="30" spans="1:94" s="388" customFormat="1" ht="36.75" customHeight="1" x14ac:dyDescent="0.2">
      <c r="A30" s="496" t="s">
        <v>2045</v>
      </c>
      <c r="B30" s="53">
        <v>580321016</v>
      </c>
      <c r="C30" s="681">
        <v>1000541849</v>
      </c>
      <c r="D30" s="305">
        <v>40000234</v>
      </c>
      <c r="E30" s="46">
        <v>120000</v>
      </c>
      <c r="F30" s="46">
        <v>150000</v>
      </c>
      <c r="G30" s="46">
        <v>142500</v>
      </c>
      <c r="H30" s="46">
        <v>120000</v>
      </c>
      <c r="I30" s="46">
        <v>100000</v>
      </c>
      <c r="J30" s="46">
        <v>100000</v>
      </c>
      <c r="K30" s="46">
        <v>100000</v>
      </c>
      <c r="L30" s="46">
        <f t="shared" si="0"/>
        <v>0</v>
      </c>
      <c r="M30" s="471"/>
      <c r="O30" s="288" t="e">
        <f>MATCH(B30,#REF!,0)</f>
        <v>#REF!</v>
      </c>
      <c r="P30" s="288" t="e">
        <f>MATCH(B30,#REF!,0)</f>
        <v>#REF!</v>
      </c>
      <c r="Q30" s="288" t="e">
        <f>MATCH(B30,#REF!,0)</f>
        <v>#REF!</v>
      </c>
      <c r="R30" s="288" t="e">
        <f>MATCH(B30,#REF!,0)</f>
        <v>#REF!</v>
      </c>
      <c r="S30" s="288" t="e">
        <f>MATCH(B30,#REF!,0)</f>
        <v>#REF!</v>
      </c>
      <c r="T30" s="288" t="e">
        <f>MATCH(B30,#REF!,0)</f>
        <v>#REF!</v>
      </c>
      <c r="U30" s="288" t="e">
        <f>MATCH(B30,#REF!,0)</f>
        <v>#REF!</v>
      </c>
    </row>
    <row r="31" spans="1:94" s="62" customFormat="1" ht="51" customHeight="1" x14ac:dyDescent="0.2">
      <c r="A31" s="496" t="s">
        <v>2046</v>
      </c>
      <c r="B31" s="389">
        <v>511757114</v>
      </c>
      <c r="C31" s="49">
        <v>1000552797</v>
      </c>
      <c r="D31" s="305">
        <v>40000291</v>
      </c>
      <c r="E31" s="691">
        <v>41999</v>
      </c>
      <c r="F31" s="46">
        <v>60000</v>
      </c>
      <c r="G31" s="46">
        <v>57000</v>
      </c>
      <c r="H31" s="46">
        <v>57000</v>
      </c>
      <c r="I31" s="46">
        <v>57000</v>
      </c>
      <c r="J31" s="46">
        <v>57014</v>
      </c>
      <c r="K31" s="46">
        <v>57014</v>
      </c>
      <c r="L31" s="46">
        <f t="shared" si="0"/>
        <v>0</v>
      </c>
      <c r="M31" s="248"/>
      <c r="O31" s="288" t="e">
        <f>MATCH(B31,#REF!,0)</f>
        <v>#REF!</v>
      </c>
      <c r="P31" s="288" t="e">
        <f>MATCH(B31,#REF!,0)</f>
        <v>#REF!</v>
      </c>
      <c r="Q31" s="288" t="e">
        <f>MATCH(B31,#REF!,0)</f>
        <v>#REF!</v>
      </c>
      <c r="R31" s="288" t="e">
        <f>MATCH(B31,#REF!,0)</f>
        <v>#REF!</v>
      </c>
      <c r="S31" s="288" t="e">
        <f>MATCH(B31,#REF!,0)</f>
        <v>#REF!</v>
      </c>
      <c r="T31" s="288" t="e">
        <f>MATCH(B31,#REF!,0)</f>
        <v>#REF!</v>
      </c>
      <c r="U31" s="288" t="e">
        <f>MATCH(B31,#REF!,0)</f>
        <v>#REF!</v>
      </c>
    </row>
    <row r="32" spans="1:94" s="44" customFormat="1" ht="39.75" customHeight="1" x14ac:dyDescent="0.2">
      <c r="A32" s="134" t="s">
        <v>2047</v>
      </c>
      <c r="B32" s="126">
        <v>510729544</v>
      </c>
      <c r="C32" s="416">
        <v>1000545861</v>
      </c>
      <c r="D32" s="132">
        <v>40140791</v>
      </c>
      <c r="E32" s="552">
        <v>0</v>
      </c>
      <c r="F32" s="46">
        <v>50000</v>
      </c>
      <c r="G32" s="46">
        <v>76000</v>
      </c>
      <c r="H32" s="46">
        <v>100000</v>
      </c>
      <c r="I32" s="46">
        <v>120000</v>
      </c>
      <c r="J32" s="46">
        <v>120000</v>
      </c>
      <c r="K32" s="46">
        <v>120000</v>
      </c>
      <c r="L32" s="46">
        <f t="shared" si="0"/>
        <v>0</v>
      </c>
      <c r="M32" s="75"/>
      <c r="O32" s="288" t="e">
        <f>MATCH(B32,#REF!,0)</f>
        <v>#REF!</v>
      </c>
      <c r="P32" s="288" t="e">
        <f>MATCH(B32,#REF!,0)</f>
        <v>#REF!</v>
      </c>
      <c r="Q32" s="288" t="e">
        <f>MATCH(B32,#REF!,0)</f>
        <v>#REF!</v>
      </c>
      <c r="R32" s="288" t="e">
        <f>MATCH(B32,#REF!,0)</f>
        <v>#REF!</v>
      </c>
      <c r="S32" s="288" t="e">
        <f>MATCH(B32,#REF!,0)</f>
        <v>#REF!</v>
      </c>
      <c r="T32" s="288" t="e">
        <f>MATCH(B32,#REF!,0)</f>
        <v>#REF!</v>
      </c>
      <c r="U32" s="288" t="e">
        <f>MATCH(B32,#REF!,0)</f>
        <v>#REF!</v>
      </c>
    </row>
    <row r="33" spans="1:93" s="62" customFormat="1" ht="50.25" customHeight="1" x14ac:dyDescent="0.2">
      <c r="A33" s="45" t="s">
        <v>2048</v>
      </c>
      <c r="B33" s="66">
        <v>500221015</v>
      </c>
      <c r="C33" s="49">
        <v>1000546534</v>
      </c>
      <c r="D33" s="48">
        <v>20000127</v>
      </c>
      <c r="E33" s="46">
        <v>120000</v>
      </c>
      <c r="F33" s="46">
        <v>80000</v>
      </c>
      <c r="G33" s="46">
        <v>82494</v>
      </c>
      <c r="H33" s="46">
        <v>81038</v>
      </c>
      <c r="I33" s="46">
        <v>86000</v>
      </c>
      <c r="J33" s="46">
        <v>96022</v>
      </c>
      <c r="K33" s="46">
        <v>96022</v>
      </c>
      <c r="L33" s="46">
        <f t="shared" si="0"/>
        <v>0</v>
      </c>
      <c r="M33" s="471"/>
      <c r="O33" s="288" t="e">
        <f>MATCH(B33,#REF!,0)</f>
        <v>#REF!</v>
      </c>
      <c r="P33" s="288" t="e">
        <f>MATCH(B33,#REF!,0)</f>
        <v>#REF!</v>
      </c>
      <c r="Q33" s="288" t="e">
        <f>MATCH(B33,#REF!,0)</f>
        <v>#REF!</v>
      </c>
      <c r="R33" s="288" t="e">
        <f>MATCH(B33,#REF!,0)</f>
        <v>#REF!</v>
      </c>
      <c r="S33" s="288" t="e">
        <f>MATCH(B33,#REF!,0)</f>
        <v>#REF!</v>
      </c>
      <c r="T33" s="288" t="e">
        <f>MATCH(B33,#REF!,0)</f>
        <v>#REF!</v>
      </c>
      <c r="U33" s="288" t="e">
        <f>MATCH(B33,#REF!,0)</f>
        <v>#REF!</v>
      </c>
    </row>
    <row r="34" spans="1:93" s="62" customFormat="1" ht="45" customHeight="1" x14ac:dyDescent="0.2">
      <c r="A34" s="72" t="s">
        <v>2049</v>
      </c>
      <c r="B34" s="53">
        <v>500223094</v>
      </c>
      <c r="C34" s="49">
        <v>1000544880</v>
      </c>
      <c r="D34" s="48">
        <v>20000136</v>
      </c>
      <c r="E34" s="46">
        <v>30000</v>
      </c>
      <c r="F34" s="46">
        <v>30000</v>
      </c>
      <c r="G34" s="284">
        <v>28500</v>
      </c>
      <c r="H34" s="46">
        <v>35500</v>
      </c>
      <c r="I34" s="46">
        <v>35500</v>
      </c>
      <c r="J34" s="46">
        <v>35509</v>
      </c>
      <c r="K34" s="299">
        <v>35509</v>
      </c>
      <c r="L34" s="46">
        <f t="shared" si="0"/>
        <v>0</v>
      </c>
      <c r="M34" s="75"/>
      <c r="O34" s="288" t="e">
        <f>MATCH(B34,#REF!,0)</f>
        <v>#REF!</v>
      </c>
      <c r="P34" s="288" t="e">
        <f>MATCH(B34,#REF!,0)</f>
        <v>#REF!</v>
      </c>
      <c r="Q34" s="288" t="e">
        <f>MATCH(B34,#REF!,0)</f>
        <v>#REF!</v>
      </c>
      <c r="R34" s="288" t="e">
        <f>MATCH(B34,#REF!,0)</f>
        <v>#REF!</v>
      </c>
      <c r="S34" s="288" t="e">
        <f>MATCH(B34,#REF!,0)</f>
        <v>#REF!</v>
      </c>
      <c r="T34" s="288" t="e">
        <f>MATCH(B34,#REF!,0)</f>
        <v>#REF!</v>
      </c>
      <c r="U34" s="288" t="e">
        <f>MATCH(B34,#REF!,0)</f>
        <v>#REF!</v>
      </c>
    </row>
    <row r="35" spans="1:93" s="316" customFormat="1" ht="36.75" customHeight="1" x14ac:dyDescent="0.2">
      <c r="A35" s="677" t="s">
        <v>2050</v>
      </c>
      <c r="B35" s="678">
        <v>580012284</v>
      </c>
      <c r="C35" s="390">
        <v>1000533021</v>
      </c>
      <c r="D35" s="305">
        <v>40000061</v>
      </c>
      <c r="E35" s="46">
        <v>10000</v>
      </c>
      <c r="F35" s="46">
        <v>10000</v>
      </c>
      <c r="G35" s="46">
        <v>9500</v>
      </c>
      <c r="H35" s="46">
        <v>9500</v>
      </c>
      <c r="I35" s="46">
        <v>9500</v>
      </c>
      <c r="J35" s="46">
        <v>8920</v>
      </c>
      <c r="K35" s="299">
        <v>8920</v>
      </c>
      <c r="L35" s="46">
        <f t="shared" ref="L35:L51" si="1">J35-K35</f>
        <v>0</v>
      </c>
      <c r="M35" s="680"/>
      <c r="O35" s="288" t="e">
        <f>MATCH(B35,#REF!,0)</f>
        <v>#REF!</v>
      </c>
      <c r="P35" s="288" t="e">
        <f>MATCH(B35,#REF!,0)</f>
        <v>#REF!</v>
      </c>
      <c r="Q35" s="288" t="e">
        <f>MATCH(B35,#REF!,0)</f>
        <v>#REF!</v>
      </c>
      <c r="R35" s="288" t="e">
        <f>MATCH(B35,#REF!,0)</f>
        <v>#REF!</v>
      </c>
      <c r="S35" s="288" t="e">
        <f>MATCH(B35,#REF!,0)</f>
        <v>#REF!</v>
      </c>
      <c r="T35" s="288" t="e">
        <f>MATCH(B35,#REF!,0)</f>
        <v>#REF!</v>
      </c>
      <c r="U35" s="288" t="e">
        <f>MATCH(B35,#REF!,0)</f>
        <v>#REF!</v>
      </c>
    </row>
    <row r="36" spans="1:93" s="62" customFormat="1" ht="36" customHeight="1" x14ac:dyDescent="0.2">
      <c r="A36" s="45" t="s">
        <v>2051</v>
      </c>
      <c r="B36" s="66">
        <v>580280550</v>
      </c>
      <c r="C36" s="681">
        <v>1000535031</v>
      </c>
      <c r="D36" s="48">
        <v>40000211</v>
      </c>
      <c r="E36" s="46">
        <v>240000</v>
      </c>
      <c r="F36" s="46">
        <v>180000</v>
      </c>
      <c r="G36" s="284">
        <v>185611</v>
      </c>
      <c r="H36" s="46">
        <v>180000</v>
      </c>
      <c r="I36" s="46">
        <v>200000</v>
      </c>
      <c r="J36" s="46">
        <v>210000</v>
      </c>
      <c r="K36" s="46">
        <v>210000</v>
      </c>
      <c r="L36" s="46">
        <f t="shared" si="1"/>
        <v>0</v>
      </c>
      <c r="M36" s="279"/>
      <c r="O36" s="288" t="e">
        <f>MATCH(B36,#REF!,0)</f>
        <v>#REF!</v>
      </c>
      <c r="P36" s="288" t="e">
        <f>MATCH(B36,#REF!,0)</f>
        <v>#REF!</v>
      </c>
      <c r="Q36" s="288" t="e">
        <f>MATCH(B36,#REF!,0)</f>
        <v>#REF!</v>
      </c>
      <c r="R36" s="288" t="e">
        <f>MATCH(B36,#REF!,0)</f>
        <v>#REF!</v>
      </c>
      <c r="S36" s="288" t="e">
        <f>MATCH(B36,#REF!,0)</f>
        <v>#REF!</v>
      </c>
      <c r="T36" s="288" t="e">
        <f>MATCH(B36,#REF!,0)</f>
        <v>#REF!</v>
      </c>
      <c r="U36" s="288" t="e">
        <f>MATCH(B36,#REF!,0)</f>
        <v>#REF!</v>
      </c>
    </row>
    <row r="37" spans="1:93" s="62" customFormat="1" ht="30" customHeight="1" x14ac:dyDescent="0.2">
      <c r="A37" s="45" t="s">
        <v>2052</v>
      </c>
      <c r="B37" s="66">
        <v>580280550</v>
      </c>
      <c r="C37" s="49">
        <v>1000534969</v>
      </c>
      <c r="D37" s="48">
        <v>40000211</v>
      </c>
      <c r="E37" s="46">
        <v>240000</v>
      </c>
      <c r="F37" s="46">
        <v>240000</v>
      </c>
      <c r="G37" s="284">
        <v>216546</v>
      </c>
      <c r="H37" s="46">
        <v>228665</v>
      </c>
      <c r="I37" s="119">
        <v>205000</v>
      </c>
      <c r="J37" s="46">
        <v>205051</v>
      </c>
      <c r="K37" s="46">
        <v>205051</v>
      </c>
      <c r="L37" s="46">
        <f t="shared" si="1"/>
        <v>0</v>
      </c>
      <c r="M37" s="692"/>
      <c r="O37" s="288" t="e">
        <f>MATCH(B37,#REF!,0)</f>
        <v>#REF!</v>
      </c>
      <c r="P37" s="288" t="e">
        <f>MATCH(B37,#REF!,0)</f>
        <v>#REF!</v>
      </c>
      <c r="Q37" s="288" t="e">
        <f>MATCH(B37,#REF!,0)</f>
        <v>#REF!</v>
      </c>
      <c r="R37" s="288" t="e">
        <f>MATCH(B37,#REF!,0)</f>
        <v>#REF!</v>
      </c>
      <c r="S37" s="288" t="e">
        <f>MATCH(B37,#REF!,0)</f>
        <v>#REF!</v>
      </c>
      <c r="T37" s="288" t="e">
        <f>MATCH(B37,#REF!,0)</f>
        <v>#REF!</v>
      </c>
      <c r="U37" s="288" t="e">
        <f>MATCH(B37,#REF!,0)</f>
        <v>#REF!</v>
      </c>
    </row>
    <row r="38" spans="1:93" s="388" customFormat="1" ht="43.5" customHeight="1" x14ac:dyDescent="0.2">
      <c r="A38" s="55" t="s">
        <v>1994</v>
      </c>
      <c r="B38" s="50">
        <v>580103471</v>
      </c>
      <c r="C38" s="681">
        <v>1000545829</v>
      </c>
      <c r="D38" s="48">
        <v>40016246</v>
      </c>
      <c r="E38" s="536">
        <v>0</v>
      </c>
      <c r="F38" s="46">
        <v>50000</v>
      </c>
      <c r="G38" s="46">
        <v>102410</v>
      </c>
      <c r="H38" s="46">
        <v>126998</v>
      </c>
      <c r="I38" s="46">
        <v>119348</v>
      </c>
      <c r="J38" s="46">
        <v>119348</v>
      </c>
      <c r="K38" s="46">
        <v>119348</v>
      </c>
      <c r="L38" s="46">
        <f t="shared" si="1"/>
        <v>0</v>
      </c>
      <c r="M38" s="75"/>
      <c r="O38" s="288" t="e">
        <f>MATCH(B38,#REF!,0)</f>
        <v>#REF!</v>
      </c>
      <c r="P38" s="288" t="e">
        <f>MATCH(B38,#REF!,0)</f>
        <v>#REF!</v>
      </c>
      <c r="Q38" s="288" t="e">
        <f>MATCH(B38,#REF!,0)</f>
        <v>#REF!</v>
      </c>
      <c r="R38" s="288" t="e">
        <f>MATCH(B38,#REF!,0)</f>
        <v>#REF!</v>
      </c>
      <c r="S38" s="288" t="e">
        <f>MATCH(B38,#REF!,0)</f>
        <v>#REF!</v>
      </c>
      <c r="T38" s="288" t="e">
        <f>MATCH(B38,#REF!,0)</f>
        <v>#REF!</v>
      </c>
      <c r="U38" s="288" t="e">
        <f>MATCH(B38,#REF!,0)</f>
        <v>#REF!</v>
      </c>
    </row>
    <row r="39" spans="1:93" s="388" customFormat="1" ht="50.25" customHeight="1" x14ac:dyDescent="0.2">
      <c r="A39" s="693" t="s">
        <v>2053</v>
      </c>
      <c r="B39" s="389">
        <v>580415446</v>
      </c>
      <c r="C39" s="681">
        <v>1000533193</v>
      </c>
      <c r="D39" s="305">
        <v>40214697</v>
      </c>
      <c r="E39" s="46">
        <v>82000</v>
      </c>
      <c r="F39" s="46">
        <v>82000</v>
      </c>
      <c r="G39" s="46">
        <v>89006</v>
      </c>
      <c r="H39" s="46">
        <v>123450</v>
      </c>
      <c r="I39" s="46">
        <v>119363</v>
      </c>
      <c r="J39" s="46">
        <v>150000</v>
      </c>
      <c r="K39" s="46">
        <v>150000</v>
      </c>
      <c r="L39" s="46">
        <f t="shared" si="1"/>
        <v>0</v>
      </c>
      <c r="M39" s="248"/>
      <c r="O39" s="288" t="e">
        <f>MATCH(B39,#REF!,0)</f>
        <v>#REF!</v>
      </c>
      <c r="P39" s="288" t="e">
        <f>MATCH(B39,#REF!,0)</f>
        <v>#REF!</v>
      </c>
      <c r="Q39" s="288" t="e">
        <f>MATCH(B39,#REF!,0)</f>
        <v>#REF!</v>
      </c>
      <c r="R39" s="288" t="e">
        <f>MATCH(B39,#REF!,0)</f>
        <v>#REF!</v>
      </c>
      <c r="S39" s="288" t="e">
        <f>MATCH(B39,#REF!,0)</f>
        <v>#REF!</v>
      </c>
      <c r="T39" s="288" t="e">
        <f>MATCH(B39,#REF!,0)</f>
        <v>#REF!</v>
      </c>
      <c r="U39" s="288" t="e">
        <f>MATCH(B39,#REF!,0)</f>
        <v>#REF!</v>
      </c>
    </row>
    <row r="40" spans="1:93" s="388" customFormat="1" ht="39.950000000000003" customHeight="1" x14ac:dyDescent="0.2">
      <c r="A40" s="677" t="s">
        <v>2003</v>
      </c>
      <c r="B40" s="389">
        <v>580215333</v>
      </c>
      <c r="C40" s="49">
        <v>1000546897</v>
      </c>
      <c r="D40" s="305">
        <v>40000564</v>
      </c>
      <c r="E40" s="46">
        <v>80000</v>
      </c>
      <c r="F40" s="46">
        <v>80000</v>
      </c>
      <c r="G40" s="46">
        <v>76000</v>
      </c>
      <c r="H40" s="46">
        <v>76000</v>
      </c>
      <c r="I40" s="46">
        <v>76000</v>
      </c>
      <c r="J40" s="46">
        <v>76019</v>
      </c>
      <c r="K40" s="46">
        <v>76019</v>
      </c>
      <c r="L40" s="46">
        <f t="shared" si="1"/>
        <v>0</v>
      </c>
      <c r="M40" s="129"/>
      <c r="O40" s="288" t="e">
        <f>MATCH(B40,#REF!,0)</f>
        <v>#REF!</v>
      </c>
      <c r="P40" s="288" t="e">
        <f>MATCH(B40,#REF!,0)</f>
        <v>#REF!</v>
      </c>
      <c r="Q40" s="288" t="e">
        <f>MATCH(B40,#REF!,0)</f>
        <v>#REF!</v>
      </c>
      <c r="R40" s="288" t="e">
        <f>MATCH(B40,#REF!,0)</f>
        <v>#REF!</v>
      </c>
      <c r="S40" s="288" t="e">
        <f>MATCH(B40,#REF!,0)</f>
        <v>#REF!</v>
      </c>
      <c r="T40" s="288" t="e">
        <f>MATCH(B40,#REF!,0)</f>
        <v>#REF!</v>
      </c>
      <c r="U40" s="288" t="e">
        <f>MATCH(B40,#REF!,0)</f>
        <v>#REF!</v>
      </c>
    </row>
    <row r="41" spans="1:93" s="388" customFormat="1" ht="43.5" customHeight="1" x14ac:dyDescent="0.2">
      <c r="A41" s="72" t="s">
        <v>2054</v>
      </c>
      <c r="B41" s="53">
        <v>580490811</v>
      </c>
      <c r="C41" s="49">
        <v>1000545424</v>
      </c>
      <c r="D41" s="48">
        <v>40819694</v>
      </c>
      <c r="E41" s="46"/>
      <c r="F41" s="46"/>
      <c r="G41" s="46"/>
      <c r="H41" s="46"/>
      <c r="I41" s="46">
        <v>0</v>
      </c>
      <c r="J41" s="46">
        <v>50000</v>
      </c>
      <c r="K41" s="46">
        <v>50000</v>
      </c>
      <c r="L41" s="46">
        <f t="shared" si="1"/>
        <v>0</v>
      </c>
      <c r="M41" s="685"/>
      <c r="O41" s="288" t="e">
        <f>MATCH(B41,#REF!,0)</f>
        <v>#REF!</v>
      </c>
      <c r="P41" s="288" t="e">
        <f>MATCH(B41,#REF!,0)</f>
        <v>#REF!</v>
      </c>
      <c r="Q41" s="288" t="e">
        <f>MATCH(B41,#REF!,0)</f>
        <v>#REF!</v>
      </c>
      <c r="R41" s="288" t="e">
        <f>MATCH(B41,#REF!,0)</f>
        <v>#REF!</v>
      </c>
      <c r="S41" s="288" t="e">
        <f>MATCH(B41,#REF!,0)</f>
        <v>#REF!</v>
      </c>
      <c r="T41" s="288" t="e">
        <f>MATCH(B41,#REF!,0)</f>
        <v>#REF!</v>
      </c>
      <c r="U41" s="288" t="e">
        <f>MATCH(B41,#REF!,0)</f>
        <v>#REF!</v>
      </c>
    </row>
    <row r="42" spans="1:93" s="388" customFormat="1" ht="39" customHeight="1" x14ac:dyDescent="0.2">
      <c r="A42" s="92" t="s">
        <v>2055</v>
      </c>
      <c r="B42" s="182">
        <v>500250006</v>
      </c>
      <c r="C42" s="681">
        <v>1000545326</v>
      </c>
      <c r="D42" s="48">
        <v>20000201</v>
      </c>
      <c r="E42" s="46">
        <v>0</v>
      </c>
      <c r="F42" s="46">
        <v>60000</v>
      </c>
      <c r="G42" s="284">
        <v>95000</v>
      </c>
      <c r="H42" s="46">
        <v>120000</v>
      </c>
      <c r="I42" s="46">
        <v>170000</v>
      </c>
      <c r="J42" s="46">
        <v>195000</v>
      </c>
      <c r="K42" s="46">
        <v>195000</v>
      </c>
      <c r="L42" s="46">
        <f t="shared" si="1"/>
        <v>0</v>
      </c>
      <c r="M42" s="75"/>
      <c r="O42" s="288" t="e">
        <f>MATCH(B42,#REF!,0)</f>
        <v>#REF!</v>
      </c>
      <c r="P42" s="288" t="e">
        <f>MATCH(B42,#REF!,0)</f>
        <v>#REF!</v>
      </c>
      <c r="Q42" s="288" t="e">
        <f>MATCH(B42,#REF!,0)</f>
        <v>#REF!</v>
      </c>
      <c r="R42" s="288" t="e">
        <f>MATCH(B42,#REF!,0)</f>
        <v>#REF!</v>
      </c>
      <c r="S42" s="288" t="e">
        <f>MATCH(B42,#REF!,0)</f>
        <v>#REF!</v>
      </c>
      <c r="T42" s="288" t="e">
        <f>MATCH(B42,#REF!,0)</f>
        <v>#REF!</v>
      </c>
      <c r="U42" s="288" t="e">
        <f>MATCH(B42,#REF!,0)</f>
        <v>#REF!</v>
      </c>
    </row>
    <row r="43" spans="1:93" s="62" customFormat="1" ht="47.25" customHeight="1" x14ac:dyDescent="0.2">
      <c r="A43" s="55" t="s">
        <v>2056</v>
      </c>
      <c r="B43" s="50">
        <v>580051415</v>
      </c>
      <c r="C43" s="49">
        <v>1000538070</v>
      </c>
      <c r="D43" s="48">
        <v>40000113</v>
      </c>
      <c r="E43" s="46">
        <v>240000</v>
      </c>
      <c r="F43" s="46">
        <v>250000</v>
      </c>
      <c r="G43" s="46">
        <v>237500</v>
      </c>
      <c r="H43" s="46">
        <v>260000</v>
      </c>
      <c r="I43" s="46">
        <v>260000</v>
      </c>
      <c r="J43" s="46">
        <v>260065</v>
      </c>
      <c r="K43" s="46">
        <v>260065</v>
      </c>
      <c r="L43" s="46">
        <f t="shared" si="1"/>
        <v>0</v>
      </c>
      <c r="M43" s="77"/>
      <c r="O43" s="288" t="e">
        <f>MATCH(B43,#REF!,0)</f>
        <v>#REF!</v>
      </c>
      <c r="P43" s="288" t="e">
        <f>MATCH(B43,#REF!,0)</f>
        <v>#REF!</v>
      </c>
      <c r="Q43" s="288" t="e">
        <f>MATCH(B43,#REF!,0)</f>
        <v>#REF!</v>
      </c>
      <c r="R43" s="288" t="e">
        <f>MATCH(B43,#REF!,0)</f>
        <v>#REF!</v>
      </c>
      <c r="S43" s="288" t="e">
        <f>MATCH(B43,#REF!,0)</f>
        <v>#REF!</v>
      </c>
      <c r="T43" s="288" t="e">
        <f>MATCH(B43,#REF!,0)</f>
        <v>#REF!</v>
      </c>
      <c r="U43" s="288" t="e">
        <f>MATCH(B43,#REF!,0)</f>
        <v>#REF!</v>
      </c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</row>
    <row r="44" spans="1:93" s="62" customFormat="1" ht="50.25" customHeight="1" x14ac:dyDescent="0.2">
      <c r="A44" s="134" t="s">
        <v>2002</v>
      </c>
      <c r="B44" s="50">
        <v>580420263</v>
      </c>
      <c r="C44" s="49">
        <v>1000552785</v>
      </c>
      <c r="D44" s="48">
        <v>40221577</v>
      </c>
      <c r="E44" s="46">
        <v>80000</v>
      </c>
      <c r="F44" s="46">
        <v>80000</v>
      </c>
      <c r="G44" s="46">
        <v>76000</v>
      </c>
      <c r="H44" s="46">
        <v>100000</v>
      </c>
      <c r="I44" s="46">
        <v>100000</v>
      </c>
      <c r="J44" s="46">
        <v>118025</v>
      </c>
      <c r="K44" s="46">
        <v>118025</v>
      </c>
      <c r="L44" s="46">
        <f t="shared" si="1"/>
        <v>0</v>
      </c>
      <c r="M44" s="75"/>
      <c r="O44" s="288" t="e">
        <f>MATCH(B44,#REF!,0)</f>
        <v>#REF!</v>
      </c>
      <c r="P44" s="288" t="e">
        <f>MATCH(B44,#REF!,0)</f>
        <v>#REF!</v>
      </c>
      <c r="Q44" s="288" t="e">
        <f>MATCH(B44,#REF!,0)</f>
        <v>#REF!</v>
      </c>
      <c r="R44" s="288" t="e">
        <f>MATCH(B44,#REF!,0)</f>
        <v>#REF!</v>
      </c>
      <c r="S44" s="288" t="e">
        <f>MATCH(B44,#REF!,0)</f>
        <v>#REF!</v>
      </c>
      <c r="T44" s="288" t="e">
        <f>MATCH(B44,#REF!,0)</f>
        <v>#REF!</v>
      </c>
      <c r="U44" s="288" t="e">
        <f>MATCH(B44,#REF!,0)</f>
        <v>#REF!</v>
      </c>
    </row>
    <row r="45" spans="1:93" s="62" customFormat="1" ht="51" customHeight="1" x14ac:dyDescent="0.2">
      <c r="A45" s="677" t="s">
        <v>2057</v>
      </c>
      <c r="B45" s="66">
        <v>580347086</v>
      </c>
      <c r="C45" s="49">
        <v>1000543197</v>
      </c>
      <c r="D45" s="305">
        <v>40988140</v>
      </c>
      <c r="E45" s="46"/>
      <c r="F45" s="46"/>
      <c r="G45" s="46"/>
      <c r="H45" s="46"/>
      <c r="I45" s="46">
        <v>0</v>
      </c>
      <c r="J45" s="46">
        <v>260301</v>
      </c>
      <c r="K45" s="299">
        <v>260301</v>
      </c>
      <c r="L45" s="46">
        <f t="shared" si="1"/>
        <v>0</v>
      </c>
      <c r="M45" s="415"/>
      <c r="O45" s="288" t="e">
        <f>MATCH(B45,#REF!,0)</f>
        <v>#REF!</v>
      </c>
      <c r="P45" s="288" t="e">
        <f>MATCH(B45,#REF!,0)</f>
        <v>#REF!</v>
      </c>
      <c r="Q45" s="288" t="e">
        <f>MATCH(B45,#REF!,0)</f>
        <v>#REF!</v>
      </c>
      <c r="R45" s="288" t="e">
        <f>MATCH(B45,#REF!,0)</f>
        <v>#REF!</v>
      </c>
      <c r="S45" s="288" t="e">
        <f>MATCH(B45,#REF!,0)</f>
        <v>#REF!</v>
      </c>
      <c r="T45" s="288" t="e">
        <f>MATCH(B45,#REF!,0)</f>
        <v>#REF!</v>
      </c>
      <c r="U45" s="288" t="e">
        <f>MATCH(B45,#REF!,0)</f>
        <v>#REF!</v>
      </c>
    </row>
    <row r="46" spans="1:93" s="388" customFormat="1" ht="39.950000000000003" customHeight="1" x14ac:dyDescent="0.2">
      <c r="A46" s="677" t="s">
        <v>2058</v>
      </c>
      <c r="B46" s="389">
        <v>500250006</v>
      </c>
      <c r="C46" s="49">
        <v>1000544876</v>
      </c>
      <c r="D46" s="305">
        <v>20000201</v>
      </c>
      <c r="E46" s="119"/>
      <c r="F46" s="46"/>
      <c r="G46" s="46"/>
      <c r="H46" s="46"/>
      <c r="I46" s="46">
        <v>0</v>
      </c>
      <c r="J46" s="46">
        <v>15000</v>
      </c>
      <c r="K46" s="46">
        <v>15000</v>
      </c>
      <c r="L46" s="46">
        <f t="shared" si="1"/>
        <v>0</v>
      </c>
      <c r="M46" s="129"/>
      <c r="O46" s="288" t="e">
        <f>MATCH(B46,#REF!,0)</f>
        <v>#REF!</v>
      </c>
      <c r="P46" s="288" t="e">
        <f>MATCH(B46,#REF!,0)</f>
        <v>#REF!</v>
      </c>
      <c r="Q46" s="288" t="e">
        <f>MATCH(B46,#REF!,0)</f>
        <v>#REF!</v>
      </c>
      <c r="R46" s="288" t="e">
        <f>MATCH(B46,#REF!,0)</f>
        <v>#REF!</v>
      </c>
      <c r="S46" s="288" t="e">
        <f>MATCH(B46,#REF!,0)</f>
        <v>#REF!</v>
      </c>
      <c r="T46" s="288" t="e">
        <f>MATCH(B46,#REF!,0)</f>
        <v>#REF!</v>
      </c>
      <c r="U46" s="288" t="e">
        <f>MATCH(B46,#REF!,0)</f>
        <v>#REF!</v>
      </c>
    </row>
    <row r="47" spans="1:93" s="388" customFormat="1" ht="39.950000000000003" customHeight="1" x14ac:dyDescent="0.2">
      <c r="A47" s="677" t="s">
        <v>2059</v>
      </c>
      <c r="B47" s="389">
        <v>500224563</v>
      </c>
      <c r="C47" s="49">
        <v>1000541182</v>
      </c>
      <c r="D47" s="305">
        <v>20000140</v>
      </c>
      <c r="E47" s="119"/>
      <c r="F47" s="46"/>
      <c r="G47" s="46"/>
      <c r="H47" s="46"/>
      <c r="I47" s="46">
        <v>0</v>
      </c>
      <c r="J47" s="46">
        <v>15000</v>
      </c>
      <c r="K47" s="46">
        <v>15000</v>
      </c>
      <c r="L47" s="46">
        <f t="shared" si="1"/>
        <v>0</v>
      </c>
      <c r="M47" s="129"/>
      <c r="O47" s="288" t="e">
        <f>MATCH(B47,#REF!,0)</f>
        <v>#REF!</v>
      </c>
      <c r="P47" s="288" t="e">
        <f>MATCH(B47,#REF!,0)</f>
        <v>#REF!</v>
      </c>
      <c r="Q47" s="288" t="e">
        <f>MATCH(B47,#REF!,0)</f>
        <v>#REF!</v>
      </c>
      <c r="R47" s="288" t="e">
        <f>MATCH(B47,#REF!,0)</f>
        <v>#REF!</v>
      </c>
      <c r="S47" s="288" t="e">
        <f>MATCH(B47,#REF!,0)</f>
        <v>#REF!</v>
      </c>
      <c r="T47" s="288" t="e">
        <f>MATCH(B47,#REF!,0)</f>
        <v>#REF!</v>
      </c>
      <c r="U47" s="288" t="e">
        <f>MATCH(B47,#REF!,0)</f>
        <v>#REF!</v>
      </c>
    </row>
    <row r="48" spans="1:93" s="62" customFormat="1" ht="51" customHeight="1" x14ac:dyDescent="0.2">
      <c r="A48" s="677" t="s">
        <v>2060</v>
      </c>
      <c r="B48" s="66">
        <v>580546067</v>
      </c>
      <c r="C48" s="49">
        <v>1000657706</v>
      </c>
      <c r="D48" s="305">
        <v>40964315</v>
      </c>
      <c r="E48" s="46"/>
      <c r="F48" s="46"/>
      <c r="G48" s="46"/>
      <c r="H48" s="46"/>
      <c r="I48" s="46">
        <v>0</v>
      </c>
      <c r="J48" s="46">
        <v>100000</v>
      </c>
      <c r="K48" s="299">
        <v>100000</v>
      </c>
      <c r="L48" s="46">
        <f t="shared" si="1"/>
        <v>0</v>
      </c>
      <c r="M48" s="415"/>
      <c r="O48" s="288" t="e">
        <f>MATCH(B48,#REF!,0)</f>
        <v>#REF!</v>
      </c>
      <c r="P48" s="288" t="e">
        <f>MATCH(B48,#REF!,0)</f>
        <v>#REF!</v>
      </c>
      <c r="Q48" s="288" t="e">
        <f>MATCH(B48,#REF!,0)</f>
        <v>#REF!</v>
      </c>
      <c r="R48" s="288" t="e">
        <f>MATCH(B48,#REF!,0)</f>
        <v>#REF!</v>
      </c>
      <c r="S48" s="288" t="e">
        <f>MATCH(B48,#REF!,0)</f>
        <v>#REF!</v>
      </c>
      <c r="T48" s="288" t="e">
        <f>MATCH(B48,#REF!,0)</f>
        <v>#REF!</v>
      </c>
      <c r="U48" s="288" t="e">
        <f>MATCH(B48,#REF!,0)</f>
        <v>#REF!</v>
      </c>
    </row>
    <row r="49" spans="1:76" s="379" customFormat="1" ht="35.25" customHeight="1" x14ac:dyDescent="0.2">
      <c r="A49" s="677" t="s">
        <v>2061</v>
      </c>
      <c r="B49" s="678">
        <v>513720755</v>
      </c>
      <c r="C49" s="681">
        <v>1000533771</v>
      </c>
      <c r="D49" s="305">
        <v>40172218</v>
      </c>
      <c r="E49" s="119">
        <v>207929</v>
      </c>
      <c r="F49" s="46">
        <v>155824</v>
      </c>
      <c r="G49" s="46">
        <v>191047</v>
      </c>
      <c r="H49" s="46">
        <v>205504</v>
      </c>
      <c r="I49" s="46">
        <v>148815</v>
      </c>
      <c r="J49" s="46">
        <v>133745</v>
      </c>
      <c r="K49" s="46">
        <v>133745</v>
      </c>
      <c r="L49" s="46">
        <f t="shared" si="1"/>
        <v>0</v>
      </c>
      <c r="M49" s="76"/>
      <c r="O49" s="288" t="e">
        <f>MATCH(B49,#REF!,0)</f>
        <v>#REF!</v>
      </c>
      <c r="P49" s="288" t="e">
        <f>MATCH(B49,#REF!,0)</f>
        <v>#REF!</v>
      </c>
      <c r="Q49" s="288" t="e">
        <f>MATCH(B49,#REF!,0)</f>
        <v>#REF!</v>
      </c>
      <c r="R49" s="288" t="e">
        <f>MATCH(B49,#REF!,0)</f>
        <v>#REF!</v>
      </c>
      <c r="S49" s="288" t="e">
        <f>MATCH(B49,#REF!,0)</f>
        <v>#REF!</v>
      </c>
      <c r="T49" s="288" t="e">
        <f>MATCH(B49,#REF!,0)</f>
        <v>#REF!</v>
      </c>
      <c r="U49" s="288" t="e">
        <f>MATCH(B49,#REF!,0)</f>
        <v>#REF!</v>
      </c>
    </row>
    <row r="50" spans="1:76" s="694" customFormat="1" ht="62.25" customHeight="1" x14ac:dyDescent="0.2">
      <c r="A50" s="677" t="s">
        <v>2062</v>
      </c>
      <c r="B50" s="678">
        <v>513720755</v>
      </c>
      <c r="C50" s="681">
        <v>1000533732</v>
      </c>
      <c r="D50" s="305">
        <v>40172218</v>
      </c>
      <c r="E50" s="46">
        <v>180132</v>
      </c>
      <c r="F50" s="46">
        <v>63870</v>
      </c>
      <c r="G50" s="46">
        <v>133626</v>
      </c>
      <c r="H50" s="46">
        <v>145388</v>
      </c>
      <c r="I50" s="46">
        <v>84810</v>
      </c>
      <c r="J50" s="46">
        <v>110128</v>
      </c>
      <c r="K50" s="46">
        <v>110128</v>
      </c>
      <c r="L50" s="46">
        <f t="shared" si="1"/>
        <v>0</v>
      </c>
      <c r="M50" s="76"/>
      <c r="O50" s="288" t="e">
        <f>MATCH(B50,#REF!,0)</f>
        <v>#REF!</v>
      </c>
      <c r="P50" s="288" t="e">
        <f>MATCH(B50,#REF!,0)</f>
        <v>#REF!</v>
      </c>
      <c r="Q50" s="288" t="e">
        <f>MATCH(B50,#REF!,0)</f>
        <v>#REF!</v>
      </c>
      <c r="R50" s="288" t="e">
        <f>MATCH(B50,#REF!,0)</f>
        <v>#REF!</v>
      </c>
      <c r="S50" s="288" t="e">
        <f>MATCH(B50,#REF!,0)</f>
        <v>#REF!</v>
      </c>
      <c r="T50" s="288" t="e">
        <f>MATCH(B50,#REF!,0)</f>
        <v>#REF!</v>
      </c>
      <c r="U50" s="288" t="e">
        <f>MATCH(B50,#REF!,0)</f>
        <v>#REF!</v>
      </c>
    </row>
    <row r="51" spans="1:76" s="388" customFormat="1" ht="44.25" customHeight="1" x14ac:dyDescent="0.2">
      <c r="A51" s="677" t="s">
        <v>2063</v>
      </c>
      <c r="B51" s="678">
        <v>513720755</v>
      </c>
      <c r="C51" s="681">
        <v>1000533791</v>
      </c>
      <c r="D51" s="305">
        <v>40172218</v>
      </c>
      <c r="E51" s="46">
        <v>120000</v>
      </c>
      <c r="F51" s="46">
        <v>240000</v>
      </c>
      <c r="G51" s="46">
        <v>240000</v>
      </c>
      <c r="H51" s="46">
        <v>270000</v>
      </c>
      <c r="I51" s="46">
        <v>185190</v>
      </c>
      <c r="J51" s="46">
        <v>270000</v>
      </c>
      <c r="K51" s="46">
        <v>270000</v>
      </c>
      <c r="L51" s="46">
        <f t="shared" si="1"/>
        <v>0</v>
      </c>
      <c r="M51" s="76"/>
      <c r="O51" s="288" t="e">
        <f>MATCH(B51,#REF!,0)</f>
        <v>#REF!</v>
      </c>
      <c r="P51" s="288" t="e">
        <f>MATCH(B51,#REF!,0)</f>
        <v>#REF!</v>
      </c>
      <c r="Q51" s="288" t="e">
        <f>MATCH(B51,#REF!,0)</f>
        <v>#REF!</v>
      </c>
      <c r="R51" s="288" t="e">
        <f>MATCH(B51,#REF!,0)</f>
        <v>#REF!</v>
      </c>
      <c r="S51" s="288" t="e">
        <f>MATCH(B51,#REF!,0)</f>
        <v>#REF!</v>
      </c>
      <c r="T51" s="288" t="e">
        <f>MATCH(B51,#REF!,0)</f>
        <v>#REF!</v>
      </c>
      <c r="U51" s="288" t="e">
        <f>MATCH(B51,#REF!,0)</f>
        <v>#REF!</v>
      </c>
    </row>
    <row r="52" spans="1:76" x14ac:dyDescent="0.2">
      <c r="J52" s="510">
        <f>SUM(J3:J51)</f>
        <v>20764439</v>
      </c>
      <c r="M52" s="510"/>
      <c r="O52" s="114"/>
      <c r="P52" s="42"/>
      <c r="BX52" s="41"/>
    </row>
    <row r="53" spans="1:76" x14ac:dyDescent="0.2">
      <c r="M53" s="510">
        <f>SUM(J49:J51)</f>
        <v>513873</v>
      </c>
      <c r="O53" s="114"/>
      <c r="P53" s="42"/>
      <c r="BX53" s="41"/>
    </row>
    <row r="54" spans="1:76" x14ac:dyDescent="0.2">
      <c r="O54" s="114"/>
      <c r="P54" s="42"/>
      <c r="BX54" s="41"/>
    </row>
    <row r="55" spans="1:76" x14ac:dyDescent="0.2">
      <c r="O55" s="114"/>
      <c r="P55" s="42"/>
      <c r="BX55" s="41"/>
    </row>
    <row r="56" spans="1:76" x14ac:dyDescent="0.2">
      <c r="O56" s="114"/>
      <c r="P56" s="42"/>
      <c r="BX56" s="41"/>
    </row>
    <row r="57" spans="1:76" x14ac:dyDescent="0.2">
      <c r="O57" s="114"/>
      <c r="P57" s="42"/>
      <c r="BX57" s="41"/>
    </row>
    <row r="58" spans="1:76" x14ac:dyDescent="0.2">
      <c r="O58" s="114"/>
      <c r="P58" s="42"/>
      <c r="BX58" s="41"/>
    </row>
    <row r="59" spans="1:76" x14ac:dyDescent="0.2">
      <c r="O59" s="114"/>
      <c r="P59" s="42"/>
      <c r="BX59" s="41"/>
    </row>
    <row r="60" spans="1:76" x14ac:dyDescent="0.2">
      <c r="O60" s="114"/>
      <c r="P60" s="42"/>
      <c r="BX60" s="41"/>
    </row>
    <row r="61" spans="1:76" x14ac:dyDescent="0.2">
      <c r="O61" s="114"/>
      <c r="P61" s="42"/>
      <c r="BX61" s="41"/>
    </row>
  </sheetData>
  <conditionalFormatting sqref="O3:U51">
    <cfRule type="containsErrors" dxfId="1" priority="1">
      <formula>ISERROR(O3)</formula>
    </cfRule>
  </conditionalFormatting>
  <pageMargins left="0.11811023622047245" right="0.15748031496062992" top="0.47244094488188981" bottom="0.47244094488188981" header="0.15748031496062992" footer="0.19685039370078741"/>
  <pageSetup paperSize="9" scale="80" orientation="landscape" r:id="rId1"/>
  <headerFooter alignWithMargins="0">
    <oddHeader>&amp;C&amp;"Guttman Yad-Brush,רגיל"&amp;14תקנת בתי"ס 42-02-36</oddHeader>
    <oddFooter>&amp;L&amp;D&amp;C&amp;P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rightToLeft="1" topLeftCell="B1" zoomScaleNormal="100" workbookViewId="0">
      <pane xSplit="2" ySplit="3" topLeftCell="E4" activePane="bottomRight" state="frozen"/>
      <selection activeCell="S19" sqref="S19"/>
      <selection pane="topRight" activeCell="S19" sqref="S19"/>
      <selection pane="bottomLeft" activeCell="S19" sqref="S19"/>
      <selection pane="bottomRight" activeCell="M1" sqref="M1:O1048576"/>
    </sheetView>
  </sheetViews>
  <sheetFormatPr defaultColWidth="1.85546875" defaultRowHeight="14.25" x14ac:dyDescent="0.2"/>
  <cols>
    <col min="1" max="1" width="2.28515625" style="163" customWidth="1"/>
    <col min="2" max="2" width="14.140625" style="163" bestFit="1" customWidth="1"/>
    <col min="3" max="3" width="31.85546875" style="163" bestFit="1" customWidth="1"/>
    <col min="4" max="4" width="16.140625" style="163" hidden="1" customWidth="1"/>
    <col min="5" max="5" width="0.28515625" style="707" customWidth="1"/>
    <col min="6" max="6" width="13.5703125" style="163" customWidth="1"/>
    <col min="7" max="7" width="0.28515625" style="707" customWidth="1"/>
    <col min="8" max="8" width="13.5703125" style="163" customWidth="1"/>
    <col min="9" max="9" width="0.28515625" style="707" customWidth="1"/>
    <col min="10" max="10" width="13.5703125" style="163" customWidth="1"/>
    <col min="11" max="11" width="0.28515625" style="707" customWidth="1"/>
    <col min="12" max="12" width="13.5703125" style="163" customWidth="1"/>
    <col min="13" max="14" width="10.5703125" style="884" hidden="1" customWidth="1"/>
    <col min="15" max="15" width="28.85546875" style="884" hidden="1" customWidth="1"/>
    <col min="16" max="253" width="1.85546875" style="163"/>
    <col min="254" max="254" width="2.28515625" style="163" customWidth="1"/>
    <col min="255" max="255" width="14.140625" style="163" bestFit="1" customWidth="1"/>
    <col min="256" max="256" width="31.85546875" style="163" bestFit="1" customWidth="1"/>
    <col min="257" max="257" width="0" style="163" hidden="1" customWidth="1"/>
    <col min="258" max="258" width="0.28515625" style="163" customWidth="1"/>
    <col min="259" max="259" width="13.5703125" style="163" customWidth="1"/>
    <col min="260" max="260" width="12.7109375" style="163" customWidth="1"/>
    <col min="261" max="261" width="0.28515625" style="163" customWidth="1"/>
    <col min="262" max="262" width="13.5703125" style="163" customWidth="1"/>
    <col min="263" max="263" width="12.7109375" style="163" customWidth="1"/>
    <col min="264" max="264" width="0.28515625" style="163" customWidth="1"/>
    <col min="265" max="265" width="13.5703125" style="163" customWidth="1"/>
    <col min="266" max="266" width="12.7109375" style="163" customWidth="1"/>
    <col min="267" max="267" width="0.28515625" style="163" customWidth="1"/>
    <col min="268" max="268" width="13.5703125" style="163" customWidth="1"/>
    <col min="269" max="269" width="12.7109375" style="163" customWidth="1"/>
    <col min="270" max="271" width="10.5703125" style="163" customWidth="1"/>
    <col min="272" max="509" width="1.85546875" style="163"/>
    <col min="510" max="510" width="2.28515625" style="163" customWidth="1"/>
    <col min="511" max="511" width="14.140625" style="163" bestFit="1" customWidth="1"/>
    <col min="512" max="512" width="31.85546875" style="163" bestFit="1" customWidth="1"/>
    <col min="513" max="513" width="0" style="163" hidden="1" customWidth="1"/>
    <col min="514" max="514" width="0.28515625" style="163" customWidth="1"/>
    <col min="515" max="515" width="13.5703125" style="163" customWidth="1"/>
    <col min="516" max="516" width="12.7109375" style="163" customWidth="1"/>
    <col min="517" max="517" width="0.28515625" style="163" customWidth="1"/>
    <col min="518" max="518" width="13.5703125" style="163" customWidth="1"/>
    <col min="519" max="519" width="12.7109375" style="163" customWidth="1"/>
    <col min="520" max="520" width="0.28515625" style="163" customWidth="1"/>
    <col min="521" max="521" width="13.5703125" style="163" customWidth="1"/>
    <col min="522" max="522" width="12.7109375" style="163" customWidth="1"/>
    <col min="523" max="523" width="0.28515625" style="163" customWidth="1"/>
    <col min="524" max="524" width="13.5703125" style="163" customWidth="1"/>
    <col min="525" max="525" width="12.7109375" style="163" customWidth="1"/>
    <col min="526" max="527" width="10.5703125" style="163" customWidth="1"/>
    <col min="528" max="765" width="1.85546875" style="163"/>
    <col min="766" max="766" width="2.28515625" style="163" customWidth="1"/>
    <col min="767" max="767" width="14.140625" style="163" bestFit="1" customWidth="1"/>
    <col min="768" max="768" width="31.85546875" style="163" bestFit="1" customWidth="1"/>
    <col min="769" max="769" width="0" style="163" hidden="1" customWidth="1"/>
    <col min="770" max="770" width="0.28515625" style="163" customWidth="1"/>
    <col min="771" max="771" width="13.5703125" style="163" customWidth="1"/>
    <col min="772" max="772" width="12.7109375" style="163" customWidth="1"/>
    <col min="773" max="773" width="0.28515625" style="163" customWidth="1"/>
    <col min="774" max="774" width="13.5703125" style="163" customWidth="1"/>
    <col min="775" max="775" width="12.7109375" style="163" customWidth="1"/>
    <col min="776" max="776" width="0.28515625" style="163" customWidth="1"/>
    <col min="777" max="777" width="13.5703125" style="163" customWidth="1"/>
    <col min="778" max="778" width="12.7109375" style="163" customWidth="1"/>
    <col min="779" max="779" width="0.28515625" style="163" customWidth="1"/>
    <col min="780" max="780" width="13.5703125" style="163" customWidth="1"/>
    <col min="781" max="781" width="12.7109375" style="163" customWidth="1"/>
    <col min="782" max="783" width="10.5703125" style="163" customWidth="1"/>
    <col min="784" max="1021" width="1.85546875" style="163"/>
    <col min="1022" max="1022" width="2.28515625" style="163" customWidth="1"/>
    <col min="1023" max="1023" width="14.140625" style="163" bestFit="1" customWidth="1"/>
    <col min="1024" max="1024" width="31.85546875" style="163" bestFit="1" customWidth="1"/>
    <col min="1025" max="1025" width="0" style="163" hidden="1" customWidth="1"/>
    <col min="1026" max="1026" width="0.28515625" style="163" customWidth="1"/>
    <col min="1027" max="1027" width="13.5703125" style="163" customWidth="1"/>
    <col min="1028" max="1028" width="12.7109375" style="163" customWidth="1"/>
    <col min="1029" max="1029" width="0.28515625" style="163" customWidth="1"/>
    <col min="1030" max="1030" width="13.5703125" style="163" customWidth="1"/>
    <col min="1031" max="1031" width="12.7109375" style="163" customWidth="1"/>
    <col min="1032" max="1032" width="0.28515625" style="163" customWidth="1"/>
    <col min="1033" max="1033" width="13.5703125" style="163" customWidth="1"/>
    <col min="1034" max="1034" width="12.7109375" style="163" customWidth="1"/>
    <col min="1035" max="1035" width="0.28515625" style="163" customWidth="1"/>
    <col min="1036" max="1036" width="13.5703125" style="163" customWidth="1"/>
    <col min="1037" max="1037" width="12.7109375" style="163" customWidth="1"/>
    <col min="1038" max="1039" width="10.5703125" style="163" customWidth="1"/>
    <col min="1040" max="1277" width="1.85546875" style="163"/>
    <col min="1278" max="1278" width="2.28515625" style="163" customWidth="1"/>
    <col min="1279" max="1279" width="14.140625" style="163" bestFit="1" customWidth="1"/>
    <col min="1280" max="1280" width="31.85546875" style="163" bestFit="1" customWidth="1"/>
    <col min="1281" max="1281" width="0" style="163" hidden="1" customWidth="1"/>
    <col min="1282" max="1282" width="0.28515625" style="163" customWidth="1"/>
    <col min="1283" max="1283" width="13.5703125" style="163" customWidth="1"/>
    <col min="1284" max="1284" width="12.7109375" style="163" customWidth="1"/>
    <col min="1285" max="1285" width="0.28515625" style="163" customWidth="1"/>
    <col min="1286" max="1286" width="13.5703125" style="163" customWidth="1"/>
    <col min="1287" max="1287" width="12.7109375" style="163" customWidth="1"/>
    <col min="1288" max="1288" width="0.28515625" style="163" customWidth="1"/>
    <col min="1289" max="1289" width="13.5703125" style="163" customWidth="1"/>
    <col min="1290" max="1290" width="12.7109375" style="163" customWidth="1"/>
    <col min="1291" max="1291" width="0.28515625" style="163" customWidth="1"/>
    <col min="1292" max="1292" width="13.5703125" style="163" customWidth="1"/>
    <col min="1293" max="1293" width="12.7109375" style="163" customWidth="1"/>
    <col min="1294" max="1295" width="10.5703125" style="163" customWidth="1"/>
    <col min="1296" max="1533" width="1.85546875" style="163"/>
    <col min="1534" max="1534" width="2.28515625" style="163" customWidth="1"/>
    <col min="1535" max="1535" width="14.140625" style="163" bestFit="1" customWidth="1"/>
    <col min="1536" max="1536" width="31.85546875" style="163" bestFit="1" customWidth="1"/>
    <col min="1537" max="1537" width="0" style="163" hidden="1" customWidth="1"/>
    <col min="1538" max="1538" width="0.28515625" style="163" customWidth="1"/>
    <col min="1539" max="1539" width="13.5703125" style="163" customWidth="1"/>
    <col min="1540" max="1540" width="12.7109375" style="163" customWidth="1"/>
    <col min="1541" max="1541" width="0.28515625" style="163" customWidth="1"/>
    <col min="1542" max="1542" width="13.5703125" style="163" customWidth="1"/>
    <col min="1543" max="1543" width="12.7109375" style="163" customWidth="1"/>
    <col min="1544" max="1544" width="0.28515625" style="163" customWidth="1"/>
    <col min="1545" max="1545" width="13.5703125" style="163" customWidth="1"/>
    <col min="1546" max="1546" width="12.7109375" style="163" customWidth="1"/>
    <col min="1547" max="1547" width="0.28515625" style="163" customWidth="1"/>
    <col min="1548" max="1548" width="13.5703125" style="163" customWidth="1"/>
    <col min="1549" max="1549" width="12.7109375" style="163" customWidth="1"/>
    <col min="1550" max="1551" width="10.5703125" style="163" customWidth="1"/>
    <col min="1552" max="1789" width="1.85546875" style="163"/>
    <col min="1790" max="1790" width="2.28515625" style="163" customWidth="1"/>
    <col min="1791" max="1791" width="14.140625" style="163" bestFit="1" customWidth="1"/>
    <col min="1792" max="1792" width="31.85546875" style="163" bestFit="1" customWidth="1"/>
    <col min="1793" max="1793" width="0" style="163" hidden="1" customWidth="1"/>
    <col min="1794" max="1794" width="0.28515625" style="163" customWidth="1"/>
    <col min="1795" max="1795" width="13.5703125" style="163" customWidth="1"/>
    <col min="1796" max="1796" width="12.7109375" style="163" customWidth="1"/>
    <col min="1797" max="1797" width="0.28515625" style="163" customWidth="1"/>
    <col min="1798" max="1798" width="13.5703125" style="163" customWidth="1"/>
    <col min="1799" max="1799" width="12.7109375" style="163" customWidth="1"/>
    <col min="1800" max="1800" width="0.28515625" style="163" customWidth="1"/>
    <col min="1801" max="1801" width="13.5703125" style="163" customWidth="1"/>
    <col min="1802" max="1802" width="12.7109375" style="163" customWidth="1"/>
    <col min="1803" max="1803" width="0.28515625" style="163" customWidth="1"/>
    <col min="1804" max="1804" width="13.5703125" style="163" customWidth="1"/>
    <col min="1805" max="1805" width="12.7109375" style="163" customWidth="1"/>
    <col min="1806" max="1807" width="10.5703125" style="163" customWidth="1"/>
    <col min="1808" max="2045" width="1.85546875" style="163"/>
    <col min="2046" max="2046" width="2.28515625" style="163" customWidth="1"/>
    <col min="2047" max="2047" width="14.140625" style="163" bestFit="1" customWidth="1"/>
    <col min="2048" max="2048" width="31.85546875" style="163" bestFit="1" customWidth="1"/>
    <col min="2049" max="2049" width="0" style="163" hidden="1" customWidth="1"/>
    <col min="2050" max="2050" width="0.28515625" style="163" customWidth="1"/>
    <col min="2051" max="2051" width="13.5703125" style="163" customWidth="1"/>
    <col min="2052" max="2052" width="12.7109375" style="163" customWidth="1"/>
    <col min="2053" max="2053" width="0.28515625" style="163" customWidth="1"/>
    <col min="2054" max="2054" width="13.5703125" style="163" customWidth="1"/>
    <col min="2055" max="2055" width="12.7109375" style="163" customWidth="1"/>
    <col min="2056" max="2056" width="0.28515625" style="163" customWidth="1"/>
    <col min="2057" max="2057" width="13.5703125" style="163" customWidth="1"/>
    <col min="2058" max="2058" width="12.7109375" style="163" customWidth="1"/>
    <col min="2059" max="2059" width="0.28515625" style="163" customWidth="1"/>
    <col min="2060" max="2060" width="13.5703125" style="163" customWidth="1"/>
    <col min="2061" max="2061" width="12.7109375" style="163" customWidth="1"/>
    <col min="2062" max="2063" width="10.5703125" style="163" customWidth="1"/>
    <col min="2064" max="2301" width="1.85546875" style="163"/>
    <col min="2302" max="2302" width="2.28515625" style="163" customWidth="1"/>
    <col min="2303" max="2303" width="14.140625" style="163" bestFit="1" customWidth="1"/>
    <col min="2304" max="2304" width="31.85546875" style="163" bestFit="1" customWidth="1"/>
    <col min="2305" max="2305" width="0" style="163" hidden="1" customWidth="1"/>
    <col min="2306" max="2306" width="0.28515625" style="163" customWidth="1"/>
    <col min="2307" max="2307" width="13.5703125" style="163" customWidth="1"/>
    <col min="2308" max="2308" width="12.7109375" style="163" customWidth="1"/>
    <col min="2309" max="2309" width="0.28515625" style="163" customWidth="1"/>
    <col min="2310" max="2310" width="13.5703125" style="163" customWidth="1"/>
    <col min="2311" max="2311" width="12.7109375" style="163" customWidth="1"/>
    <col min="2312" max="2312" width="0.28515625" style="163" customWidth="1"/>
    <col min="2313" max="2313" width="13.5703125" style="163" customWidth="1"/>
    <col min="2314" max="2314" width="12.7109375" style="163" customWidth="1"/>
    <col min="2315" max="2315" width="0.28515625" style="163" customWidth="1"/>
    <col min="2316" max="2316" width="13.5703125" style="163" customWidth="1"/>
    <col min="2317" max="2317" width="12.7109375" style="163" customWidth="1"/>
    <col min="2318" max="2319" width="10.5703125" style="163" customWidth="1"/>
    <col min="2320" max="2557" width="1.85546875" style="163"/>
    <col min="2558" max="2558" width="2.28515625" style="163" customWidth="1"/>
    <col min="2559" max="2559" width="14.140625" style="163" bestFit="1" customWidth="1"/>
    <col min="2560" max="2560" width="31.85546875" style="163" bestFit="1" customWidth="1"/>
    <col min="2561" max="2561" width="0" style="163" hidden="1" customWidth="1"/>
    <col min="2562" max="2562" width="0.28515625" style="163" customWidth="1"/>
    <col min="2563" max="2563" width="13.5703125" style="163" customWidth="1"/>
    <col min="2564" max="2564" width="12.7109375" style="163" customWidth="1"/>
    <col min="2565" max="2565" width="0.28515625" style="163" customWidth="1"/>
    <col min="2566" max="2566" width="13.5703125" style="163" customWidth="1"/>
    <col min="2567" max="2567" width="12.7109375" style="163" customWidth="1"/>
    <col min="2568" max="2568" width="0.28515625" style="163" customWidth="1"/>
    <col min="2569" max="2569" width="13.5703125" style="163" customWidth="1"/>
    <col min="2570" max="2570" width="12.7109375" style="163" customWidth="1"/>
    <col min="2571" max="2571" width="0.28515625" style="163" customWidth="1"/>
    <col min="2572" max="2572" width="13.5703125" style="163" customWidth="1"/>
    <col min="2573" max="2573" width="12.7109375" style="163" customWidth="1"/>
    <col min="2574" max="2575" width="10.5703125" style="163" customWidth="1"/>
    <col min="2576" max="2813" width="1.85546875" style="163"/>
    <col min="2814" max="2814" width="2.28515625" style="163" customWidth="1"/>
    <col min="2815" max="2815" width="14.140625" style="163" bestFit="1" customWidth="1"/>
    <col min="2816" max="2816" width="31.85546875" style="163" bestFit="1" customWidth="1"/>
    <col min="2817" max="2817" width="0" style="163" hidden="1" customWidth="1"/>
    <col min="2818" max="2818" width="0.28515625" style="163" customWidth="1"/>
    <col min="2819" max="2819" width="13.5703125" style="163" customWidth="1"/>
    <col min="2820" max="2820" width="12.7109375" style="163" customWidth="1"/>
    <col min="2821" max="2821" width="0.28515625" style="163" customWidth="1"/>
    <col min="2822" max="2822" width="13.5703125" style="163" customWidth="1"/>
    <col min="2823" max="2823" width="12.7109375" style="163" customWidth="1"/>
    <col min="2824" max="2824" width="0.28515625" style="163" customWidth="1"/>
    <col min="2825" max="2825" width="13.5703125" style="163" customWidth="1"/>
    <col min="2826" max="2826" width="12.7109375" style="163" customWidth="1"/>
    <col min="2827" max="2827" width="0.28515625" style="163" customWidth="1"/>
    <col min="2828" max="2828" width="13.5703125" style="163" customWidth="1"/>
    <col min="2829" max="2829" width="12.7109375" style="163" customWidth="1"/>
    <col min="2830" max="2831" width="10.5703125" style="163" customWidth="1"/>
    <col min="2832" max="3069" width="1.85546875" style="163"/>
    <col min="3070" max="3070" width="2.28515625" style="163" customWidth="1"/>
    <col min="3071" max="3071" width="14.140625" style="163" bestFit="1" customWidth="1"/>
    <col min="3072" max="3072" width="31.85546875" style="163" bestFit="1" customWidth="1"/>
    <col min="3073" max="3073" width="0" style="163" hidden="1" customWidth="1"/>
    <col min="3074" max="3074" width="0.28515625" style="163" customWidth="1"/>
    <col min="3075" max="3075" width="13.5703125" style="163" customWidth="1"/>
    <col min="3076" max="3076" width="12.7109375" style="163" customWidth="1"/>
    <col min="3077" max="3077" width="0.28515625" style="163" customWidth="1"/>
    <col min="3078" max="3078" width="13.5703125" style="163" customWidth="1"/>
    <col min="3079" max="3079" width="12.7109375" style="163" customWidth="1"/>
    <col min="3080" max="3080" width="0.28515625" style="163" customWidth="1"/>
    <col min="3081" max="3081" width="13.5703125" style="163" customWidth="1"/>
    <col min="3082" max="3082" width="12.7109375" style="163" customWidth="1"/>
    <col min="3083" max="3083" width="0.28515625" style="163" customWidth="1"/>
    <col min="3084" max="3084" width="13.5703125" style="163" customWidth="1"/>
    <col min="3085" max="3085" width="12.7109375" style="163" customWidth="1"/>
    <col min="3086" max="3087" width="10.5703125" style="163" customWidth="1"/>
    <col min="3088" max="3325" width="1.85546875" style="163"/>
    <col min="3326" max="3326" width="2.28515625" style="163" customWidth="1"/>
    <col min="3327" max="3327" width="14.140625" style="163" bestFit="1" customWidth="1"/>
    <col min="3328" max="3328" width="31.85546875" style="163" bestFit="1" customWidth="1"/>
    <col min="3329" max="3329" width="0" style="163" hidden="1" customWidth="1"/>
    <col min="3330" max="3330" width="0.28515625" style="163" customWidth="1"/>
    <col min="3331" max="3331" width="13.5703125" style="163" customWidth="1"/>
    <col min="3332" max="3332" width="12.7109375" style="163" customWidth="1"/>
    <col min="3333" max="3333" width="0.28515625" style="163" customWidth="1"/>
    <col min="3334" max="3334" width="13.5703125" style="163" customWidth="1"/>
    <col min="3335" max="3335" width="12.7109375" style="163" customWidth="1"/>
    <col min="3336" max="3336" width="0.28515625" style="163" customWidth="1"/>
    <col min="3337" max="3337" width="13.5703125" style="163" customWidth="1"/>
    <col min="3338" max="3338" width="12.7109375" style="163" customWidth="1"/>
    <col min="3339" max="3339" width="0.28515625" style="163" customWidth="1"/>
    <col min="3340" max="3340" width="13.5703125" style="163" customWidth="1"/>
    <col min="3341" max="3341" width="12.7109375" style="163" customWidth="1"/>
    <col min="3342" max="3343" width="10.5703125" style="163" customWidth="1"/>
    <col min="3344" max="3581" width="1.85546875" style="163"/>
    <col min="3582" max="3582" width="2.28515625" style="163" customWidth="1"/>
    <col min="3583" max="3583" width="14.140625" style="163" bestFit="1" customWidth="1"/>
    <col min="3584" max="3584" width="31.85546875" style="163" bestFit="1" customWidth="1"/>
    <col min="3585" max="3585" width="0" style="163" hidden="1" customWidth="1"/>
    <col min="3586" max="3586" width="0.28515625" style="163" customWidth="1"/>
    <col min="3587" max="3587" width="13.5703125" style="163" customWidth="1"/>
    <col min="3588" max="3588" width="12.7109375" style="163" customWidth="1"/>
    <col min="3589" max="3589" width="0.28515625" style="163" customWidth="1"/>
    <col min="3590" max="3590" width="13.5703125" style="163" customWidth="1"/>
    <col min="3591" max="3591" width="12.7109375" style="163" customWidth="1"/>
    <col min="3592" max="3592" width="0.28515625" style="163" customWidth="1"/>
    <col min="3593" max="3593" width="13.5703125" style="163" customWidth="1"/>
    <col min="3594" max="3594" width="12.7109375" style="163" customWidth="1"/>
    <col min="3595" max="3595" width="0.28515625" style="163" customWidth="1"/>
    <col min="3596" max="3596" width="13.5703125" style="163" customWidth="1"/>
    <col min="3597" max="3597" width="12.7109375" style="163" customWidth="1"/>
    <col min="3598" max="3599" width="10.5703125" style="163" customWidth="1"/>
    <col min="3600" max="3837" width="1.85546875" style="163"/>
    <col min="3838" max="3838" width="2.28515625" style="163" customWidth="1"/>
    <col min="3839" max="3839" width="14.140625" style="163" bestFit="1" customWidth="1"/>
    <col min="3840" max="3840" width="31.85546875" style="163" bestFit="1" customWidth="1"/>
    <col min="3841" max="3841" width="0" style="163" hidden="1" customWidth="1"/>
    <col min="3842" max="3842" width="0.28515625" style="163" customWidth="1"/>
    <col min="3843" max="3843" width="13.5703125" style="163" customWidth="1"/>
    <col min="3844" max="3844" width="12.7109375" style="163" customWidth="1"/>
    <col min="3845" max="3845" width="0.28515625" style="163" customWidth="1"/>
    <col min="3846" max="3846" width="13.5703125" style="163" customWidth="1"/>
    <col min="3847" max="3847" width="12.7109375" style="163" customWidth="1"/>
    <col min="3848" max="3848" width="0.28515625" style="163" customWidth="1"/>
    <col min="3849" max="3849" width="13.5703125" style="163" customWidth="1"/>
    <col min="3850" max="3850" width="12.7109375" style="163" customWidth="1"/>
    <col min="3851" max="3851" width="0.28515625" style="163" customWidth="1"/>
    <col min="3852" max="3852" width="13.5703125" style="163" customWidth="1"/>
    <col min="3853" max="3853" width="12.7109375" style="163" customWidth="1"/>
    <col min="3854" max="3855" width="10.5703125" style="163" customWidth="1"/>
    <col min="3856" max="4093" width="1.85546875" style="163"/>
    <col min="4094" max="4094" width="2.28515625" style="163" customWidth="1"/>
    <col min="4095" max="4095" width="14.140625" style="163" bestFit="1" customWidth="1"/>
    <col min="4096" max="4096" width="31.85546875" style="163" bestFit="1" customWidth="1"/>
    <col min="4097" max="4097" width="0" style="163" hidden="1" customWidth="1"/>
    <col min="4098" max="4098" width="0.28515625" style="163" customWidth="1"/>
    <col min="4099" max="4099" width="13.5703125" style="163" customWidth="1"/>
    <col min="4100" max="4100" width="12.7109375" style="163" customWidth="1"/>
    <col min="4101" max="4101" width="0.28515625" style="163" customWidth="1"/>
    <col min="4102" max="4102" width="13.5703125" style="163" customWidth="1"/>
    <col min="4103" max="4103" width="12.7109375" style="163" customWidth="1"/>
    <col min="4104" max="4104" width="0.28515625" style="163" customWidth="1"/>
    <col min="4105" max="4105" width="13.5703125" style="163" customWidth="1"/>
    <col min="4106" max="4106" width="12.7109375" style="163" customWidth="1"/>
    <col min="4107" max="4107" width="0.28515625" style="163" customWidth="1"/>
    <col min="4108" max="4108" width="13.5703125" style="163" customWidth="1"/>
    <col min="4109" max="4109" width="12.7109375" style="163" customWidth="1"/>
    <col min="4110" max="4111" width="10.5703125" style="163" customWidth="1"/>
    <col min="4112" max="4349" width="1.85546875" style="163"/>
    <col min="4350" max="4350" width="2.28515625" style="163" customWidth="1"/>
    <col min="4351" max="4351" width="14.140625" style="163" bestFit="1" customWidth="1"/>
    <col min="4352" max="4352" width="31.85546875" style="163" bestFit="1" customWidth="1"/>
    <col min="4353" max="4353" width="0" style="163" hidden="1" customWidth="1"/>
    <col min="4354" max="4354" width="0.28515625" style="163" customWidth="1"/>
    <col min="4355" max="4355" width="13.5703125" style="163" customWidth="1"/>
    <col min="4356" max="4356" width="12.7109375" style="163" customWidth="1"/>
    <col min="4357" max="4357" width="0.28515625" style="163" customWidth="1"/>
    <col min="4358" max="4358" width="13.5703125" style="163" customWidth="1"/>
    <col min="4359" max="4359" width="12.7109375" style="163" customWidth="1"/>
    <col min="4360" max="4360" width="0.28515625" style="163" customWidth="1"/>
    <col min="4361" max="4361" width="13.5703125" style="163" customWidth="1"/>
    <col min="4362" max="4362" width="12.7109375" style="163" customWidth="1"/>
    <col min="4363" max="4363" width="0.28515625" style="163" customWidth="1"/>
    <col min="4364" max="4364" width="13.5703125" style="163" customWidth="1"/>
    <col min="4365" max="4365" width="12.7109375" style="163" customWidth="1"/>
    <col min="4366" max="4367" width="10.5703125" style="163" customWidth="1"/>
    <col min="4368" max="4605" width="1.85546875" style="163"/>
    <col min="4606" max="4606" width="2.28515625" style="163" customWidth="1"/>
    <col min="4607" max="4607" width="14.140625" style="163" bestFit="1" customWidth="1"/>
    <col min="4608" max="4608" width="31.85546875" style="163" bestFit="1" customWidth="1"/>
    <col min="4609" max="4609" width="0" style="163" hidden="1" customWidth="1"/>
    <col min="4610" max="4610" width="0.28515625" style="163" customWidth="1"/>
    <col min="4611" max="4611" width="13.5703125" style="163" customWidth="1"/>
    <col min="4612" max="4612" width="12.7109375" style="163" customWidth="1"/>
    <col min="4613" max="4613" width="0.28515625" style="163" customWidth="1"/>
    <col min="4614" max="4614" width="13.5703125" style="163" customWidth="1"/>
    <col min="4615" max="4615" width="12.7109375" style="163" customWidth="1"/>
    <col min="4616" max="4616" width="0.28515625" style="163" customWidth="1"/>
    <col min="4617" max="4617" width="13.5703125" style="163" customWidth="1"/>
    <col min="4618" max="4618" width="12.7109375" style="163" customWidth="1"/>
    <col min="4619" max="4619" width="0.28515625" style="163" customWidth="1"/>
    <col min="4620" max="4620" width="13.5703125" style="163" customWidth="1"/>
    <col min="4621" max="4621" width="12.7109375" style="163" customWidth="1"/>
    <col min="4622" max="4623" width="10.5703125" style="163" customWidth="1"/>
    <col min="4624" max="4861" width="1.85546875" style="163"/>
    <col min="4862" max="4862" width="2.28515625" style="163" customWidth="1"/>
    <col min="4863" max="4863" width="14.140625" style="163" bestFit="1" customWidth="1"/>
    <col min="4864" max="4864" width="31.85546875" style="163" bestFit="1" customWidth="1"/>
    <col min="4865" max="4865" width="0" style="163" hidden="1" customWidth="1"/>
    <col min="4866" max="4866" width="0.28515625" style="163" customWidth="1"/>
    <col min="4867" max="4867" width="13.5703125" style="163" customWidth="1"/>
    <col min="4868" max="4868" width="12.7109375" style="163" customWidth="1"/>
    <col min="4869" max="4869" width="0.28515625" style="163" customWidth="1"/>
    <col min="4870" max="4870" width="13.5703125" style="163" customWidth="1"/>
    <col min="4871" max="4871" width="12.7109375" style="163" customWidth="1"/>
    <col min="4872" max="4872" width="0.28515625" style="163" customWidth="1"/>
    <col min="4873" max="4873" width="13.5703125" style="163" customWidth="1"/>
    <col min="4874" max="4874" width="12.7109375" style="163" customWidth="1"/>
    <col min="4875" max="4875" width="0.28515625" style="163" customWidth="1"/>
    <col min="4876" max="4876" width="13.5703125" style="163" customWidth="1"/>
    <col min="4877" max="4877" width="12.7109375" style="163" customWidth="1"/>
    <col min="4878" max="4879" width="10.5703125" style="163" customWidth="1"/>
    <col min="4880" max="5117" width="1.85546875" style="163"/>
    <col min="5118" max="5118" width="2.28515625" style="163" customWidth="1"/>
    <col min="5119" max="5119" width="14.140625" style="163" bestFit="1" customWidth="1"/>
    <col min="5120" max="5120" width="31.85546875" style="163" bestFit="1" customWidth="1"/>
    <col min="5121" max="5121" width="0" style="163" hidden="1" customWidth="1"/>
    <col min="5122" max="5122" width="0.28515625" style="163" customWidth="1"/>
    <col min="5123" max="5123" width="13.5703125" style="163" customWidth="1"/>
    <col min="5124" max="5124" width="12.7109375" style="163" customWidth="1"/>
    <col min="5125" max="5125" width="0.28515625" style="163" customWidth="1"/>
    <col min="5126" max="5126" width="13.5703125" style="163" customWidth="1"/>
    <col min="5127" max="5127" width="12.7109375" style="163" customWidth="1"/>
    <col min="5128" max="5128" width="0.28515625" style="163" customWidth="1"/>
    <col min="5129" max="5129" width="13.5703125" style="163" customWidth="1"/>
    <col min="5130" max="5130" width="12.7109375" style="163" customWidth="1"/>
    <col min="5131" max="5131" width="0.28515625" style="163" customWidth="1"/>
    <col min="5132" max="5132" width="13.5703125" style="163" customWidth="1"/>
    <col min="5133" max="5133" width="12.7109375" style="163" customWidth="1"/>
    <col min="5134" max="5135" width="10.5703125" style="163" customWidth="1"/>
    <col min="5136" max="5373" width="1.85546875" style="163"/>
    <col min="5374" max="5374" width="2.28515625" style="163" customWidth="1"/>
    <col min="5375" max="5375" width="14.140625" style="163" bestFit="1" customWidth="1"/>
    <col min="5376" max="5376" width="31.85546875" style="163" bestFit="1" customWidth="1"/>
    <col min="5377" max="5377" width="0" style="163" hidden="1" customWidth="1"/>
    <col min="5378" max="5378" width="0.28515625" style="163" customWidth="1"/>
    <col min="5379" max="5379" width="13.5703125" style="163" customWidth="1"/>
    <col min="5380" max="5380" width="12.7109375" style="163" customWidth="1"/>
    <col min="5381" max="5381" width="0.28515625" style="163" customWidth="1"/>
    <col min="5382" max="5382" width="13.5703125" style="163" customWidth="1"/>
    <col min="5383" max="5383" width="12.7109375" style="163" customWidth="1"/>
    <col min="5384" max="5384" width="0.28515625" style="163" customWidth="1"/>
    <col min="5385" max="5385" width="13.5703125" style="163" customWidth="1"/>
    <col min="5386" max="5386" width="12.7109375" style="163" customWidth="1"/>
    <col min="5387" max="5387" width="0.28515625" style="163" customWidth="1"/>
    <col min="5388" max="5388" width="13.5703125" style="163" customWidth="1"/>
    <col min="5389" max="5389" width="12.7109375" style="163" customWidth="1"/>
    <col min="5390" max="5391" width="10.5703125" style="163" customWidth="1"/>
    <col min="5392" max="5629" width="1.85546875" style="163"/>
    <col min="5630" max="5630" width="2.28515625" style="163" customWidth="1"/>
    <col min="5631" max="5631" width="14.140625" style="163" bestFit="1" customWidth="1"/>
    <col min="5632" max="5632" width="31.85546875" style="163" bestFit="1" customWidth="1"/>
    <col min="5633" max="5633" width="0" style="163" hidden="1" customWidth="1"/>
    <col min="5634" max="5634" width="0.28515625" style="163" customWidth="1"/>
    <col min="5635" max="5635" width="13.5703125" style="163" customWidth="1"/>
    <col min="5636" max="5636" width="12.7109375" style="163" customWidth="1"/>
    <col min="5637" max="5637" width="0.28515625" style="163" customWidth="1"/>
    <col min="5638" max="5638" width="13.5703125" style="163" customWidth="1"/>
    <col min="5639" max="5639" width="12.7109375" style="163" customWidth="1"/>
    <col min="5640" max="5640" width="0.28515625" style="163" customWidth="1"/>
    <col min="5641" max="5641" width="13.5703125" style="163" customWidth="1"/>
    <col min="5642" max="5642" width="12.7109375" style="163" customWidth="1"/>
    <col min="5643" max="5643" width="0.28515625" style="163" customWidth="1"/>
    <col min="5644" max="5644" width="13.5703125" style="163" customWidth="1"/>
    <col min="5645" max="5645" width="12.7109375" style="163" customWidth="1"/>
    <col min="5646" max="5647" width="10.5703125" style="163" customWidth="1"/>
    <col min="5648" max="5885" width="1.85546875" style="163"/>
    <col min="5886" max="5886" width="2.28515625" style="163" customWidth="1"/>
    <col min="5887" max="5887" width="14.140625" style="163" bestFit="1" customWidth="1"/>
    <col min="5888" max="5888" width="31.85546875" style="163" bestFit="1" customWidth="1"/>
    <col min="5889" max="5889" width="0" style="163" hidden="1" customWidth="1"/>
    <col min="5890" max="5890" width="0.28515625" style="163" customWidth="1"/>
    <col min="5891" max="5891" width="13.5703125" style="163" customWidth="1"/>
    <col min="5892" max="5892" width="12.7109375" style="163" customWidth="1"/>
    <col min="5893" max="5893" width="0.28515625" style="163" customWidth="1"/>
    <col min="5894" max="5894" width="13.5703125" style="163" customWidth="1"/>
    <col min="5895" max="5895" width="12.7109375" style="163" customWidth="1"/>
    <col min="5896" max="5896" width="0.28515625" style="163" customWidth="1"/>
    <col min="5897" max="5897" width="13.5703125" style="163" customWidth="1"/>
    <col min="5898" max="5898" width="12.7109375" style="163" customWidth="1"/>
    <col min="5899" max="5899" width="0.28515625" style="163" customWidth="1"/>
    <col min="5900" max="5900" width="13.5703125" style="163" customWidth="1"/>
    <col min="5901" max="5901" width="12.7109375" style="163" customWidth="1"/>
    <col min="5902" max="5903" width="10.5703125" style="163" customWidth="1"/>
    <col min="5904" max="6141" width="1.85546875" style="163"/>
    <col min="6142" max="6142" width="2.28515625" style="163" customWidth="1"/>
    <col min="6143" max="6143" width="14.140625" style="163" bestFit="1" customWidth="1"/>
    <col min="6144" max="6144" width="31.85546875" style="163" bestFit="1" customWidth="1"/>
    <col min="6145" max="6145" width="0" style="163" hidden="1" customWidth="1"/>
    <col min="6146" max="6146" width="0.28515625" style="163" customWidth="1"/>
    <col min="6147" max="6147" width="13.5703125" style="163" customWidth="1"/>
    <col min="6148" max="6148" width="12.7109375" style="163" customWidth="1"/>
    <col min="6149" max="6149" width="0.28515625" style="163" customWidth="1"/>
    <col min="6150" max="6150" width="13.5703125" style="163" customWidth="1"/>
    <col min="6151" max="6151" width="12.7109375" style="163" customWidth="1"/>
    <col min="6152" max="6152" width="0.28515625" style="163" customWidth="1"/>
    <col min="6153" max="6153" width="13.5703125" style="163" customWidth="1"/>
    <col min="6154" max="6154" width="12.7109375" style="163" customWidth="1"/>
    <col min="6155" max="6155" width="0.28515625" style="163" customWidth="1"/>
    <col min="6156" max="6156" width="13.5703125" style="163" customWidth="1"/>
    <col min="6157" max="6157" width="12.7109375" style="163" customWidth="1"/>
    <col min="6158" max="6159" width="10.5703125" style="163" customWidth="1"/>
    <col min="6160" max="6397" width="1.85546875" style="163"/>
    <col min="6398" max="6398" width="2.28515625" style="163" customWidth="1"/>
    <col min="6399" max="6399" width="14.140625" style="163" bestFit="1" customWidth="1"/>
    <col min="6400" max="6400" width="31.85546875" style="163" bestFit="1" customWidth="1"/>
    <col min="6401" max="6401" width="0" style="163" hidden="1" customWidth="1"/>
    <col min="6402" max="6402" width="0.28515625" style="163" customWidth="1"/>
    <col min="6403" max="6403" width="13.5703125" style="163" customWidth="1"/>
    <col min="6404" max="6404" width="12.7109375" style="163" customWidth="1"/>
    <col min="6405" max="6405" width="0.28515625" style="163" customWidth="1"/>
    <col min="6406" max="6406" width="13.5703125" style="163" customWidth="1"/>
    <col min="6407" max="6407" width="12.7109375" style="163" customWidth="1"/>
    <col min="6408" max="6408" width="0.28515625" style="163" customWidth="1"/>
    <col min="6409" max="6409" width="13.5703125" style="163" customWidth="1"/>
    <col min="6410" max="6410" width="12.7109375" style="163" customWidth="1"/>
    <col min="6411" max="6411" width="0.28515625" style="163" customWidth="1"/>
    <col min="6412" max="6412" width="13.5703125" style="163" customWidth="1"/>
    <col min="6413" max="6413" width="12.7109375" style="163" customWidth="1"/>
    <col min="6414" max="6415" width="10.5703125" style="163" customWidth="1"/>
    <col min="6416" max="6653" width="1.85546875" style="163"/>
    <col min="6654" max="6654" width="2.28515625" style="163" customWidth="1"/>
    <col min="6655" max="6655" width="14.140625" style="163" bestFit="1" customWidth="1"/>
    <col min="6656" max="6656" width="31.85546875" style="163" bestFit="1" customWidth="1"/>
    <col min="6657" max="6657" width="0" style="163" hidden="1" customWidth="1"/>
    <col min="6658" max="6658" width="0.28515625" style="163" customWidth="1"/>
    <col min="6659" max="6659" width="13.5703125" style="163" customWidth="1"/>
    <col min="6660" max="6660" width="12.7109375" style="163" customWidth="1"/>
    <col min="6661" max="6661" width="0.28515625" style="163" customWidth="1"/>
    <col min="6662" max="6662" width="13.5703125" style="163" customWidth="1"/>
    <col min="6663" max="6663" width="12.7109375" style="163" customWidth="1"/>
    <col min="6664" max="6664" width="0.28515625" style="163" customWidth="1"/>
    <col min="6665" max="6665" width="13.5703125" style="163" customWidth="1"/>
    <col min="6666" max="6666" width="12.7109375" style="163" customWidth="1"/>
    <col min="6667" max="6667" width="0.28515625" style="163" customWidth="1"/>
    <col min="6668" max="6668" width="13.5703125" style="163" customWidth="1"/>
    <col min="6669" max="6669" width="12.7109375" style="163" customWidth="1"/>
    <col min="6670" max="6671" width="10.5703125" style="163" customWidth="1"/>
    <col min="6672" max="6909" width="1.85546875" style="163"/>
    <col min="6910" max="6910" width="2.28515625" style="163" customWidth="1"/>
    <col min="6911" max="6911" width="14.140625" style="163" bestFit="1" customWidth="1"/>
    <col min="6912" max="6912" width="31.85546875" style="163" bestFit="1" customWidth="1"/>
    <col min="6913" max="6913" width="0" style="163" hidden="1" customWidth="1"/>
    <col min="6914" max="6914" width="0.28515625" style="163" customWidth="1"/>
    <col min="6915" max="6915" width="13.5703125" style="163" customWidth="1"/>
    <col min="6916" max="6916" width="12.7109375" style="163" customWidth="1"/>
    <col min="6917" max="6917" width="0.28515625" style="163" customWidth="1"/>
    <col min="6918" max="6918" width="13.5703125" style="163" customWidth="1"/>
    <col min="6919" max="6919" width="12.7109375" style="163" customWidth="1"/>
    <col min="6920" max="6920" width="0.28515625" style="163" customWidth="1"/>
    <col min="6921" max="6921" width="13.5703125" style="163" customWidth="1"/>
    <col min="6922" max="6922" width="12.7109375" style="163" customWidth="1"/>
    <col min="6923" max="6923" width="0.28515625" style="163" customWidth="1"/>
    <col min="6924" max="6924" width="13.5703125" style="163" customWidth="1"/>
    <col min="6925" max="6925" width="12.7109375" style="163" customWidth="1"/>
    <col min="6926" max="6927" width="10.5703125" style="163" customWidth="1"/>
    <col min="6928" max="7165" width="1.85546875" style="163"/>
    <col min="7166" max="7166" width="2.28515625" style="163" customWidth="1"/>
    <col min="7167" max="7167" width="14.140625" style="163" bestFit="1" customWidth="1"/>
    <col min="7168" max="7168" width="31.85546875" style="163" bestFit="1" customWidth="1"/>
    <col min="7169" max="7169" width="0" style="163" hidden="1" customWidth="1"/>
    <col min="7170" max="7170" width="0.28515625" style="163" customWidth="1"/>
    <col min="7171" max="7171" width="13.5703125" style="163" customWidth="1"/>
    <col min="7172" max="7172" width="12.7109375" style="163" customWidth="1"/>
    <col min="7173" max="7173" width="0.28515625" style="163" customWidth="1"/>
    <col min="7174" max="7174" width="13.5703125" style="163" customWidth="1"/>
    <col min="7175" max="7175" width="12.7109375" style="163" customWidth="1"/>
    <col min="7176" max="7176" width="0.28515625" style="163" customWidth="1"/>
    <col min="7177" max="7177" width="13.5703125" style="163" customWidth="1"/>
    <col min="7178" max="7178" width="12.7109375" style="163" customWidth="1"/>
    <col min="7179" max="7179" width="0.28515625" style="163" customWidth="1"/>
    <col min="7180" max="7180" width="13.5703125" style="163" customWidth="1"/>
    <col min="7181" max="7181" width="12.7109375" style="163" customWidth="1"/>
    <col min="7182" max="7183" width="10.5703125" style="163" customWidth="1"/>
    <col min="7184" max="7421" width="1.85546875" style="163"/>
    <col min="7422" max="7422" width="2.28515625" style="163" customWidth="1"/>
    <col min="7423" max="7423" width="14.140625" style="163" bestFit="1" customWidth="1"/>
    <col min="7424" max="7424" width="31.85546875" style="163" bestFit="1" customWidth="1"/>
    <col min="7425" max="7425" width="0" style="163" hidden="1" customWidth="1"/>
    <col min="7426" max="7426" width="0.28515625" style="163" customWidth="1"/>
    <col min="7427" max="7427" width="13.5703125" style="163" customWidth="1"/>
    <col min="7428" max="7428" width="12.7109375" style="163" customWidth="1"/>
    <col min="7429" max="7429" width="0.28515625" style="163" customWidth="1"/>
    <col min="7430" max="7430" width="13.5703125" style="163" customWidth="1"/>
    <col min="7431" max="7431" width="12.7109375" style="163" customWidth="1"/>
    <col min="7432" max="7432" width="0.28515625" style="163" customWidth="1"/>
    <col min="7433" max="7433" width="13.5703125" style="163" customWidth="1"/>
    <col min="7434" max="7434" width="12.7109375" style="163" customWidth="1"/>
    <col min="7435" max="7435" width="0.28515625" style="163" customWidth="1"/>
    <col min="7436" max="7436" width="13.5703125" style="163" customWidth="1"/>
    <col min="7437" max="7437" width="12.7109375" style="163" customWidth="1"/>
    <col min="7438" max="7439" width="10.5703125" style="163" customWidth="1"/>
    <col min="7440" max="7677" width="1.85546875" style="163"/>
    <col min="7678" max="7678" width="2.28515625" style="163" customWidth="1"/>
    <col min="7679" max="7679" width="14.140625" style="163" bestFit="1" customWidth="1"/>
    <col min="7680" max="7680" width="31.85546875" style="163" bestFit="1" customWidth="1"/>
    <col min="7681" max="7681" width="0" style="163" hidden="1" customWidth="1"/>
    <col min="7682" max="7682" width="0.28515625" style="163" customWidth="1"/>
    <col min="7683" max="7683" width="13.5703125" style="163" customWidth="1"/>
    <col min="7684" max="7684" width="12.7109375" style="163" customWidth="1"/>
    <col min="7685" max="7685" width="0.28515625" style="163" customWidth="1"/>
    <col min="7686" max="7686" width="13.5703125" style="163" customWidth="1"/>
    <col min="7687" max="7687" width="12.7109375" style="163" customWidth="1"/>
    <col min="7688" max="7688" width="0.28515625" style="163" customWidth="1"/>
    <col min="7689" max="7689" width="13.5703125" style="163" customWidth="1"/>
    <col min="7690" max="7690" width="12.7109375" style="163" customWidth="1"/>
    <col min="7691" max="7691" width="0.28515625" style="163" customWidth="1"/>
    <col min="7692" max="7692" width="13.5703125" style="163" customWidth="1"/>
    <col min="7693" max="7693" width="12.7109375" style="163" customWidth="1"/>
    <col min="7694" max="7695" width="10.5703125" style="163" customWidth="1"/>
    <col min="7696" max="7933" width="1.85546875" style="163"/>
    <col min="7934" max="7934" width="2.28515625" style="163" customWidth="1"/>
    <col min="7935" max="7935" width="14.140625" style="163" bestFit="1" customWidth="1"/>
    <col min="7936" max="7936" width="31.85546875" style="163" bestFit="1" customWidth="1"/>
    <col min="7937" max="7937" width="0" style="163" hidden="1" customWidth="1"/>
    <col min="7938" max="7938" width="0.28515625" style="163" customWidth="1"/>
    <col min="7939" max="7939" width="13.5703125" style="163" customWidth="1"/>
    <col min="7940" max="7940" width="12.7109375" style="163" customWidth="1"/>
    <col min="7941" max="7941" width="0.28515625" style="163" customWidth="1"/>
    <col min="7942" max="7942" width="13.5703125" style="163" customWidth="1"/>
    <col min="7943" max="7943" width="12.7109375" style="163" customWidth="1"/>
    <col min="7944" max="7944" width="0.28515625" style="163" customWidth="1"/>
    <col min="7945" max="7945" width="13.5703125" style="163" customWidth="1"/>
    <col min="7946" max="7946" width="12.7109375" style="163" customWidth="1"/>
    <col min="7947" max="7947" width="0.28515625" style="163" customWidth="1"/>
    <col min="7948" max="7948" width="13.5703125" style="163" customWidth="1"/>
    <col min="7949" max="7949" width="12.7109375" style="163" customWidth="1"/>
    <col min="7950" max="7951" width="10.5703125" style="163" customWidth="1"/>
    <col min="7952" max="8189" width="1.85546875" style="163"/>
    <col min="8190" max="8190" width="2.28515625" style="163" customWidth="1"/>
    <col min="8191" max="8191" width="14.140625" style="163" bestFit="1" customWidth="1"/>
    <col min="8192" max="8192" width="31.85546875" style="163" bestFit="1" customWidth="1"/>
    <col min="8193" max="8193" width="0" style="163" hidden="1" customWidth="1"/>
    <col min="8194" max="8194" width="0.28515625" style="163" customWidth="1"/>
    <col min="8195" max="8195" width="13.5703125" style="163" customWidth="1"/>
    <col min="8196" max="8196" width="12.7109375" style="163" customWidth="1"/>
    <col min="8197" max="8197" width="0.28515625" style="163" customWidth="1"/>
    <col min="8198" max="8198" width="13.5703125" style="163" customWidth="1"/>
    <col min="8199" max="8199" width="12.7109375" style="163" customWidth="1"/>
    <col min="8200" max="8200" width="0.28515625" style="163" customWidth="1"/>
    <col min="8201" max="8201" width="13.5703125" style="163" customWidth="1"/>
    <col min="8202" max="8202" width="12.7109375" style="163" customWidth="1"/>
    <col min="8203" max="8203" width="0.28515625" style="163" customWidth="1"/>
    <col min="8204" max="8204" width="13.5703125" style="163" customWidth="1"/>
    <col min="8205" max="8205" width="12.7109375" style="163" customWidth="1"/>
    <col min="8206" max="8207" width="10.5703125" style="163" customWidth="1"/>
    <col min="8208" max="8445" width="1.85546875" style="163"/>
    <col min="8446" max="8446" width="2.28515625" style="163" customWidth="1"/>
    <col min="8447" max="8447" width="14.140625" style="163" bestFit="1" customWidth="1"/>
    <col min="8448" max="8448" width="31.85546875" style="163" bestFit="1" customWidth="1"/>
    <col min="8449" max="8449" width="0" style="163" hidden="1" customWidth="1"/>
    <col min="8450" max="8450" width="0.28515625" style="163" customWidth="1"/>
    <col min="8451" max="8451" width="13.5703125" style="163" customWidth="1"/>
    <col min="8452" max="8452" width="12.7109375" style="163" customWidth="1"/>
    <col min="8453" max="8453" width="0.28515625" style="163" customWidth="1"/>
    <col min="8454" max="8454" width="13.5703125" style="163" customWidth="1"/>
    <col min="8455" max="8455" width="12.7109375" style="163" customWidth="1"/>
    <col min="8456" max="8456" width="0.28515625" style="163" customWidth="1"/>
    <col min="8457" max="8457" width="13.5703125" style="163" customWidth="1"/>
    <col min="8458" max="8458" width="12.7109375" style="163" customWidth="1"/>
    <col min="8459" max="8459" width="0.28515625" style="163" customWidth="1"/>
    <col min="8460" max="8460" width="13.5703125" style="163" customWidth="1"/>
    <col min="8461" max="8461" width="12.7109375" style="163" customWidth="1"/>
    <col min="8462" max="8463" width="10.5703125" style="163" customWidth="1"/>
    <col min="8464" max="8701" width="1.85546875" style="163"/>
    <col min="8702" max="8702" width="2.28515625" style="163" customWidth="1"/>
    <col min="8703" max="8703" width="14.140625" style="163" bestFit="1" customWidth="1"/>
    <col min="8704" max="8704" width="31.85546875" style="163" bestFit="1" customWidth="1"/>
    <col min="8705" max="8705" width="0" style="163" hidden="1" customWidth="1"/>
    <col min="8706" max="8706" width="0.28515625" style="163" customWidth="1"/>
    <col min="8707" max="8707" width="13.5703125" style="163" customWidth="1"/>
    <col min="8708" max="8708" width="12.7109375" style="163" customWidth="1"/>
    <col min="8709" max="8709" width="0.28515625" style="163" customWidth="1"/>
    <col min="8710" max="8710" width="13.5703125" style="163" customWidth="1"/>
    <col min="8711" max="8711" width="12.7109375" style="163" customWidth="1"/>
    <col min="8712" max="8712" width="0.28515625" style="163" customWidth="1"/>
    <col min="8713" max="8713" width="13.5703125" style="163" customWidth="1"/>
    <col min="8714" max="8714" width="12.7109375" style="163" customWidth="1"/>
    <col min="8715" max="8715" width="0.28515625" style="163" customWidth="1"/>
    <col min="8716" max="8716" width="13.5703125" style="163" customWidth="1"/>
    <col min="8717" max="8717" width="12.7109375" style="163" customWidth="1"/>
    <col min="8718" max="8719" width="10.5703125" style="163" customWidth="1"/>
    <col min="8720" max="8957" width="1.85546875" style="163"/>
    <col min="8958" max="8958" width="2.28515625" style="163" customWidth="1"/>
    <col min="8959" max="8959" width="14.140625" style="163" bestFit="1" customWidth="1"/>
    <col min="8960" max="8960" width="31.85546875" style="163" bestFit="1" customWidth="1"/>
    <col min="8961" max="8961" width="0" style="163" hidden="1" customWidth="1"/>
    <col min="8962" max="8962" width="0.28515625" style="163" customWidth="1"/>
    <col min="8963" max="8963" width="13.5703125" style="163" customWidth="1"/>
    <col min="8964" max="8964" width="12.7109375" style="163" customWidth="1"/>
    <col min="8965" max="8965" width="0.28515625" style="163" customWidth="1"/>
    <col min="8966" max="8966" width="13.5703125" style="163" customWidth="1"/>
    <col min="8967" max="8967" width="12.7109375" style="163" customWidth="1"/>
    <col min="8968" max="8968" width="0.28515625" style="163" customWidth="1"/>
    <col min="8969" max="8969" width="13.5703125" style="163" customWidth="1"/>
    <col min="8970" max="8970" width="12.7109375" style="163" customWidth="1"/>
    <col min="8971" max="8971" width="0.28515625" style="163" customWidth="1"/>
    <col min="8972" max="8972" width="13.5703125" style="163" customWidth="1"/>
    <col min="8973" max="8973" width="12.7109375" style="163" customWidth="1"/>
    <col min="8974" max="8975" width="10.5703125" style="163" customWidth="1"/>
    <col min="8976" max="9213" width="1.85546875" style="163"/>
    <col min="9214" max="9214" width="2.28515625" style="163" customWidth="1"/>
    <col min="9215" max="9215" width="14.140625" style="163" bestFit="1" customWidth="1"/>
    <col min="9216" max="9216" width="31.85546875" style="163" bestFit="1" customWidth="1"/>
    <col min="9217" max="9217" width="0" style="163" hidden="1" customWidth="1"/>
    <col min="9218" max="9218" width="0.28515625" style="163" customWidth="1"/>
    <col min="9219" max="9219" width="13.5703125" style="163" customWidth="1"/>
    <col min="9220" max="9220" width="12.7109375" style="163" customWidth="1"/>
    <col min="9221" max="9221" width="0.28515625" style="163" customWidth="1"/>
    <col min="9222" max="9222" width="13.5703125" style="163" customWidth="1"/>
    <col min="9223" max="9223" width="12.7109375" style="163" customWidth="1"/>
    <col min="9224" max="9224" width="0.28515625" style="163" customWidth="1"/>
    <col min="9225" max="9225" width="13.5703125" style="163" customWidth="1"/>
    <col min="9226" max="9226" width="12.7109375" style="163" customWidth="1"/>
    <col min="9227" max="9227" width="0.28515625" style="163" customWidth="1"/>
    <col min="9228" max="9228" width="13.5703125" style="163" customWidth="1"/>
    <col min="9229" max="9229" width="12.7109375" style="163" customWidth="1"/>
    <col min="9230" max="9231" width="10.5703125" style="163" customWidth="1"/>
    <col min="9232" max="9469" width="1.85546875" style="163"/>
    <col min="9470" max="9470" width="2.28515625" style="163" customWidth="1"/>
    <col min="9471" max="9471" width="14.140625" style="163" bestFit="1" customWidth="1"/>
    <col min="9472" max="9472" width="31.85546875" style="163" bestFit="1" customWidth="1"/>
    <col min="9473" max="9473" width="0" style="163" hidden="1" customWidth="1"/>
    <col min="9474" max="9474" width="0.28515625" style="163" customWidth="1"/>
    <col min="9475" max="9475" width="13.5703125" style="163" customWidth="1"/>
    <col min="9476" max="9476" width="12.7109375" style="163" customWidth="1"/>
    <col min="9477" max="9477" width="0.28515625" style="163" customWidth="1"/>
    <col min="9478" max="9478" width="13.5703125" style="163" customWidth="1"/>
    <col min="9479" max="9479" width="12.7109375" style="163" customWidth="1"/>
    <col min="9480" max="9480" width="0.28515625" style="163" customWidth="1"/>
    <col min="9481" max="9481" width="13.5703125" style="163" customWidth="1"/>
    <col min="9482" max="9482" width="12.7109375" style="163" customWidth="1"/>
    <col min="9483" max="9483" width="0.28515625" style="163" customWidth="1"/>
    <col min="9484" max="9484" width="13.5703125" style="163" customWidth="1"/>
    <col min="9485" max="9485" width="12.7109375" style="163" customWidth="1"/>
    <col min="9486" max="9487" width="10.5703125" style="163" customWidth="1"/>
    <col min="9488" max="9725" width="1.85546875" style="163"/>
    <col min="9726" max="9726" width="2.28515625" style="163" customWidth="1"/>
    <col min="9727" max="9727" width="14.140625" style="163" bestFit="1" customWidth="1"/>
    <col min="9728" max="9728" width="31.85546875" style="163" bestFit="1" customWidth="1"/>
    <col min="9729" max="9729" width="0" style="163" hidden="1" customWidth="1"/>
    <col min="9730" max="9730" width="0.28515625" style="163" customWidth="1"/>
    <col min="9731" max="9731" width="13.5703125" style="163" customWidth="1"/>
    <col min="9732" max="9732" width="12.7109375" style="163" customWidth="1"/>
    <col min="9733" max="9733" width="0.28515625" style="163" customWidth="1"/>
    <col min="9734" max="9734" width="13.5703125" style="163" customWidth="1"/>
    <col min="9735" max="9735" width="12.7109375" style="163" customWidth="1"/>
    <col min="9736" max="9736" width="0.28515625" style="163" customWidth="1"/>
    <col min="9737" max="9737" width="13.5703125" style="163" customWidth="1"/>
    <col min="9738" max="9738" width="12.7109375" style="163" customWidth="1"/>
    <col min="9739" max="9739" width="0.28515625" style="163" customWidth="1"/>
    <col min="9740" max="9740" width="13.5703125" style="163" customWidth="1"/>
    <col min="9741" max="9741" width="12.7109375" style="163" customWidth="1"/>
    <col min="9742" max="9743" width="10.5703125" style="163" customWidth="1"/>
    <col min="9744" max="9981" width="1.85546875" style="163"/>
    <col min="9982" max="9982" width="2.28515625" style="163" customWidth="1"/>
    <col min="9983" max="9983" width="14.140625" style="163" bestFit="1" customWidth="1"/>
    <col min="9984" max="9984" width="31.85546875" style="163" bestFit="1" customWidth="1"/>
    <col min="9985" max="9985" width="0" style="163" hidden="1" customWidth="1"/>
    <col min="9986" max="9986" width="0.28515625" style="163" customWidth="1"/>
    <col min="9987" max="9987" width="13.5703125" style="163" customWidth="1"/>
    <col min="9988" max="9988" width="12.7109375" style="163" customWidth="1"/>
    <col min="9989" max="9989" width="0.28515625" style="163" customWidth="1"/>
    <col min="9990" max="9990" width="13.5703125" style="163" customWidth="1"/>
    <col min="9991" max="9991" width="12.7109375" style="163" customWidth="1"/>
    <col min="9992" max="9992" width="0.28515625" style="163" customWidth="1"/>
    <col min="9993" max="9993" width="13.5703125" style="163" customWidth="1"/>
    <col min="9994" max="9994" width="12.7109375" style="163" customWidth="1"/>
    <col min="9995" max="9995" width="0.28515625" style="163" customWidth="1"/>
    <col min="9996" max="9996" width="13.5703125" style="163" customWidth="1"/>
    <col min="9997" max="9997" width="12.7109375" style="163" customWidth="1"/>
    <col min="9998" max="9999" width="10.5703125" style="163" customWidth="1"/>
    <col min="10000" max="10237" width="1.85546875" style="163"/>
    <col min="10238" max="10238" width="2.28515625" style="163" customWidth="1"/>
    <col min="10239" max="10239" width="14.140625" style="163" bestFit="1" customWidth="1"/>
    <col min="10240" max="10240" width="31.85546875" style="163" bestFit="1" customWidth="1"/>
    <col min="10241" max="10241" width="0" style="163" hidden="1" customWidth="1"/>
    <col min="10242" max="10242" width="0.28515625" style="163" customWidth="1"/>
    <col min="10243" max="10243" width="13.5703125" style="163" customWidth="1"/>
    <col min="10244" max="10244" width="12.7109375" style="163" customWidth="1"/>
    <col min="10245" max="10245" width="0.28515625" style="163" customWidth="1"/>
    <col min="10246" max="10246" width="13.5703125" style="163" customWidth="1"/>
    <col min="10247" max="10247" width="12.7109375" style="163" customWidth="1"/>
    <col min="10248" max="10248" width="0.28515625" style="163" customWidth="1"/>
    <col min="10249" max="10249" width="13.5703125" style="163" customWidth="1"/>
    <col min="10250" max="10250" width="12.7109375" style="163" customWidth="1"/>
    <col min="10251" max="10251" width="0.28515625" style="163" customWidth="1"/>
    <col min="10252" max="10252" width="13.5703125" style="163" customWidth="1"/>
    <col min="10253" max="10253" width="12.7109375" style="163" customWidth="1"/>
    <col min="10254" max="10255" width="10.5703125" style="163" customWidth="1"/>
    <col min="10256" max="10493" width="1.85546875" style="163"/>
    <col min="10494" max="10494" width="2.28515625" style="163" customWidth="1"/>
    <col min="10495" max="10495" width="14.140625" style="163" bestFit="1" customWidth="1"/>
    <col min="10496" max="10496" width="31.85546875" style="163" bestFit="1" customWidth="1"/>
    <col min="10497" max="10497" width="0" style="163" hidden="1" customWidth="1"/>
    <col min="10498" max="10498" width="0.28515625" style="163" customWidth="1"/>
    <col min="10499" max="10499" width="13.5703125" style="163" customWidth="1"/>
    <col min="10500" max="10500" width="12.7109375" style="163" customWidth="1"/>
    <col min="10501" max="10501" width="0.28515625" style="163" customWidth="1"/>
    <col min="10502" max="10502" width="13.5703125" style="163" customWidth="1"/>
    <col min="10503" max="10503" width="12.7109375" style="163" customWidth="1"/>
    <col min="10504" max="10504" width="0.28515625" style="163" customWidth="1"/>
    <col min="10505" max="10505" width="13.5703125" style="163" customWidth="1"/>
    <col min="10506" max="10506" width="12.7109375" style="163" customWidth="1"/>
    <col min="10507" max="10507" width="0.28515625" style="163" customWidth="1"/>
    <col min="10508" max="10508" width="13.5703125" style="163" customWidth="1"/>
    <col min="10509" max="10509" width="12.7109375" style="163" customWidth="1"/>
    <col min="10510" max="10511" width="10.5703125" style="163" customWidth="1"/>
    <col min="10512" max="10749" width="1.85546875" style="163"/>
    <col min="10750" max="10750" width="2.28515625" style="163" customWidth="1"/>
    <col min="10751" max="10751" width="14.140625" style="163" bestFit="1" customWidth="1"/>
    <col min="10752" max="10752" width="31.85546875" style="163" bestFit="1" customWidth="1"/>
    <col min="10753" max="10753" width="0" style="163" hidden="1" customWidth="1"/>
    <col min="10754" max="10754" width="0.28515625" style="163" customWidth="1"/>
    <col min="10755" max="10755" width="13.5703125" style="163" customWidth="1"/>
    <col min="10756" max="10756" width="12.7109375" style="163" customWidth="1"/>
    <col min="10757" max="10757" width="0.28515625" style="163" customWidth="1"/>
    <col min="10758" max="10758" width="13.5703125" style="163" customWidth="1"/>
    <col min="10759" max="10759" width="12.7109375" style="163" customWidth="1"/>
    <col min="10760" max="10760" width="0.28515625" style="163" customWidth="1"/>
    <col min="10761" max="10761" width="13.5703125" style="163" customWidth="1"/>
    <col min="10762" max="10762" width="12.7109375" style="163" customWidth="1"/>
    <col min="10763" max="10763" width="0.28515625" style="163" customWidth="1"/>
    <col min="10764" max="10764" width="13.5703125" style="163" customWidth="1"/>
    <col min="10765" max="10765" width="12.7109375" style="163" customWidth="1"/>
    <col min="10766" max="10767" width="10.5703125" style="163" customWidth="1"/>
    <col min="10768" max="11005" width="1.85546875" style="163"/>
    <col min="11006" max="11006" width="2.28515625" style="163" customWidth="1"/>
    <col min="11007" max="11007" width="14.140625" style="163" bestFit="1" customWidth="1"/>
    <col min="11008" max="11008" width="31.85546875" style="163" bestFit="1" customWidth="1"/>
    <col min="11009" max="11009" width="0" style="163" hidden="1" customWidth="1"/>
    <col min="11010" max="11010" width="0.28515625" style="163" customWidth="1"/>
    <col min="11011" max="11011" width="13.5703125" style="163" customWidth="1"/>
    <col min="11012" max="11012" width="12.7109375" style="163" customWidth="1"/>
    <col min="11013" max="11013" width="0.28515625" style="163" customWidth="1"/>
    <col min="11014" max="11014" width="13.5703125" style="163" customWidth="1"/>
    <col min="11015" max="11015" width="12.7109375" style="163" customWidth="1"/>
    <col min="11016" max="11016" width="0.28515625" style="163" customWidth="1"/>
    <col min="11017" max="11017" width="13.5703125" style="163" customWidth="1"/>
    <col min="11018" max="11018" width="12.7109375" style="163" customWidth="1"/>
    <col min="11019" max="11019" width="0.28515625" style="163" customWidth="1"/>
    <col min="11020" max="11020" width="13.5703125" style="163" customWidth="1"/>
    <col min="11021" max="11021" width="12.7109375" style="163" customWidth="1"/>
    <col min="11022" max="11023" width="10.5703125" style="163" customWidth="1"/>
    <col min="11024" max="11261" width="1.85546875" style="163"/>
    <col min="11262" max="11262" width="2.28515625" style="163" customWidth="1"/>
    <col min="11263" max="11263" width="14.140625" style="163" bestFit="1" customWidth="1"/>
    <col min="11264" max="11264" width="31.85546875" style="163" bestFit="1" customWidth="1"/>
    <col min="11265" max="11265" width="0" style="163" hidden="1" customWidth="1"/>
    <col min="11266" max="11266" width="0.28515625" style="163" customWidth="1"/>
    <col min="11267" max="11267" width="13.5703125" style="163" customWidth="1"/>
    <col min="11268" max="11268" width="12.7109375" style="163" customWidth="1"/>
    <col min="11269" max="11269" width="0.28515625" style="163" customWidth="1"/>
    <col min="11270" max="11270" width="13.5703125" style="163" customWidth="1"/>
    <col min="11271" max="11271" width="12.7109375" style="163" customWidth="1"/>
    <col min="11272" max="11272" width="0.28515625" style="163" customWidth="1"/>
    <col min="11273" max="11273" width="13.5703125" style="163" customWidth="1"/>
    <col min="11274" max="11274" width="12.7109375" style="163" customWidth="1"/>
    <col min="11275" max="11275" width="0.28515625" style="163" customWidth="1"/>
    <col min="11276" max="11276" width="13.5703125" style="163" customWidth="1"/>
    <col min="11277" max="11277" width="12.7109375" style="163" customWidth="1"/>
    <col min="11278" max="11279" width="10.5703125" style="163" customWidth="1"/>
    <col min="11280" max="11517" width="1.85546875" style="163"/>
    <col min="11518" max="11518" width="2.28515625" style="163" customWidth="1"/>
    <col min="11519" max="11519" width="14.140625" style="163" bestFit="1" customWidth="1"/>
    <col min="11520" max="11520" width="31.85546875" style="163" bestFit="1" customWidth="1"/>
    <col min="11521" max="11521" width="0" style="163" hidden="1" customWidth="1"/>
    <col min="11522" max="11522" width="0.28515625" style="163" customWidth="1"/>
    <col min="11523" max="11523" width="13.5703125" style="163" customWidth="1"/>
    <col min="11524" max="11524" width="12.7109375" style="163" customWidth="1"/>
    <col min="11525" max="11525" width="0.28515625" style="163" customWidth="1"/>
    <col min="11526" max="11526" width="13.5703125" style="163" customWidth="1"/>
    <col min="11527" max="11527" width="12.7109375" style="163" customWidth="1"/>
    <col min="11528" max="11528" width="0.28515625" style="163" customWidth="1"/>
    <col min="11529" max="11529" width="13.5703125" style="163" customWidth="1"/>
    <col min="11530" max="11530" width="12.7109375" style="163" customWidth="1"/>
    <col min="11531" max="11531" width="0.28515625" style="163" customWidth="1"/>
    <col min="11532" max="11532" width="13.5703125" style="163" customWidth="1"/>
    <col min="11533" max="11533" width="12.7109375" style="163" customWidth="1"/>
    <col min="11534" max="11535" width="10.5703125" style="163" customWidth="1"/>
    <col min="11536" max="11773" width="1.85546875" style="163"/>
    <col min="11774" max="11774" width="2.28515625" style="163" customWidth="1"/>
    <col min="11775" max="11775" width="14.140625" style="163" bestFit="1" customWidth="1"/>
    <col min="11776" max="11776" width="31.85546875" style="163" bestFit="1" customWidth="1"/>
    <col min="11777" max="11777" width="0" style="163" hidden="1" customWidth="1"/>
    <col min="11778" max="11778" width="0.28515625" style="163" customWidth="1"/>
    <col min="11779" max="11779" width="13.5703125" style="163" customWidth="1"/>
    <col min="11780" max="11780" width="12.7109375" style="163" customWidth="1"/>
    <col min="11781" max="11781" width="0.28515625" style="163" customWidth="1"/>
    <col min="11782" max="11782" width="13.5703125" style="163" customWidth="1"/>
    <col min="11783" max="11783" width="12.7109375" style="163" customWidth="1"/>
    <col min="11784" max="11784" width="0.28515625" style="163" customWidth="1"/>
    <col min="11785" max="11785" width="13.5703125" style="163" customWidth="1"/>
    <col min="11786" max="11786" width="12.7109375" style="163" customWidth="1"/>
    <col min="11787" max="11787" width="0.28515625" style="163" customWidth="1"/>
    <col min="11788" max="11788" width="13.5703125" style="163" customWidth="1"/>
    <col min="11789" max="11789" width="12.7109375" style="163" customWidth="1"/>
    <col min="11790" max="11791" width="10.5703125" style="163" customWidth="1"/>
    <col min="11792" max="12029" width="1.85546875" style="163"/>
    <col min="12030" max="12030" width="2.28515625" style="163" customWidth="1"/>
    <col min="12031" max="12031" width="14.140625" style="163" bestFit="1" customWidth="1"/>
    <col min="12032" max="12032" width="31.85546875" style="163" bestFit="1" customWidth="1"/>
    <col min="12033" max="12033" width="0" style="163" hidden="1" customWidth="1"/>
    <col min="12034" max="12034" width="0.28515625" style="163" customWidth="1"/>
    <col min="12035" max="12035" width="13.5703125" style="163" customWidth="1"/>
    <col min="12036" max="12036" width="12.7109375" style="163" customWidth="1"/>
    <col min="12037" max="12037" width="0.28515625" style="163" customWidth="1"/>
    <col min="12038" max="12038" width="13.5703125" style="163" customWidth="1"/>
    <col min="12039" max="12039" width="12.7109375" style="163" customWidth="1"/>
    <col min="12040" max="12040" width="0.28515625" style="163" customWidth="1"/>
    <col min="12041" max="12041" width="13.5703125" style="163" customWidth="1"/>
    <col min="12042" max="12042" width="12.7109375" style="163" customWidth="1"/>
    <col min="12043" max="12043" width="0.28515625" style="163" customWidth="1"/>
    <col min="12044" max="12044" width="13.5703125" style="163" customWidth="1"/>
    <col min="12045" max="12045" width="12.7109375" style="163" customWidth="1"/>
    <col min="12046" max="12047" width="10.5703125" style="163" customWidth="1"/>
    <col min="12048" max="12285" width="1.85546875" style="163"/>
    <col min="12286" max="12286" width="2.28515625" style="163" customWidth="1"/>
    <col min="12287" max="12287" width="14.140625" style="163" bestFit="1" customWidth="1"/>
    <col min="12288" max="12288" width="31.85546875" style="163" bestFit="1" customWidth="1"/>
    <col min="12289" max="12289" width="0" style="163" hidden="1" customWidth="1"/>
    <col min="12290" max="12290" width="0.28515625" style="163" customWidth="1"/>
    <col min="12291" max="12291" width="13.5703125" style="163" customWidth="1"/>
    <col min="12292" max="12292" width="12.7109375" style="163" customWidth="1"/>
    <col min="12293" max="12293" width="0.28515625" style="163" customWidth="1"/>
    <col min="12294" max="12294" width="13.5703125" style="163" customWidth="1"/>
    <col min="12295" max="12295" width="12.7109375" style="163" customWidth="1"/>
    <col min="12296" max="12296" width="0.28515625" style="163" customWidth="1"/>
    <col min="12297" max="12297" width="13.5703125" style="163" customWidth="1"/>
    <col min="12298" max="12298" width="12.7109375" style="163" customWidth="1"/>
    <col min="12299" max="12299" width="0.28515625" style="163" customWidth="1"/>
    <col min="12300" max="12300" width="13.5703125" style="163" customWidth="1"/>
    <col min="12301" max="12301" width="12.7109375" style="163" customWidth="1"/>
    <col min="12302" max="12303" width="10.5703125" style="163" customWidth="1"/>
    <col min="12304" max="12541" width="1.85546875" style="163"/>
    <col min="12542" max="12542" width="2.28515625" style="163" customWidth="1"/>
    <col min="12543" max="12543" width="14.140625" style="163" bestFit="1" customWidth="1"/>
    <col min="12544" max="12544" width="31.85546875" style="163" bestFit="1" customWidth="1"/>
    <col min="12545" max="12545" width="0" style="163" hidden="1" customWidth="1"/>
    <col min="12546" max="12546" width="0.28515625" style="163" customWidth="1"/>
    <col min="12547" max="12547" width="13.5703125" style="163" customWidth="1"/>
    <col min="12548" max="12548" width="12.7109375" style="163" customWidth="1"/>
    <col min="12549" max="12549" width="0.28515625" style="163" customWidth="1"/>
    <col min="12550" max="12550" width="13.5703125" style="163" customWidth="1"/>
    <col min="12551" max="12551" width="12.7109375" style="163" customWidth="1"/>
    <col min="12552" max="12552" width="0.28515625" style="163" customWidth="1"/>
    <col min="12553" max="12553" width="13.5703125" style="163" customWidth="1"/>
    <col min="12554" max="12554" width="12.7109375" style="163" customWidth="1"/>
    <col min="12555" max="12555" width="0.28515625" style="163" customWidth="1"/>
    <col min="12556" max="12556" width="13.5703125" style="163" customWidth="1"/>
    <col min="12557" max="12557" width="12.7109375" style="163" customWidth="1"/>
    <col min="12558" max="12559" width="10.5703125" style="163" customWidth="1"/>
    <col min="12560" max="12797" width="1.85546875" style="163"/>
    <col min="12798" max="12798" width="2.28515625" style="163" customWidth="1"/>
    <col min="12799" max="12799" width="14.140625" style="163" bestFit="1" customWidth="1"/>
    <col min="12800" max="12800" width="31.85546875" style="163" bestFit="1" customWidth="1"/>
    <col min="12801" max="12801" width="0" style="163" hidden="1" customWidth="1"/>
    <col min="12802" max="12802" width="0.28515625" style="163" customWidth="1"/>
    <col min="12803" max="12803" width="13.5703125" style="163" customWidth="1"/>
    <col min="12804" max="12804" width="12.7109375" style="163" customWidth="1"/>
    <col min="12805" max="12805" width="0.28515625" style="163" customWidth="1"/>
    <col min="12806" max="12806" width="13.5703125" style="163" customWidth="1"/>
    <col min="12807" max="12807" width="12.7109375" style="163" customWidth="1"/>
    <col min="12808" max="12808" width="0.28515625" style="163" customWidth="1"/>
    <col min="12809" max="12809" width="13.5703125" style="163" customWidth="1"/>
    <col min="12810" max="12810" width="12.7109375" style="163" customWidth="1"/>
    <col min="12811" max="12811" width="0.28515625" style="163" customWidth="1"/>
    <col min="12812" max="12812" width="13.5703125" style="163" customWidth="1"/>
    <col min="12813" max="12813" width="12.7109375" style="163" customWidth="1"/>
    <col min="12814" max="12815" width="10.5703125" style="163" customWidth="1"/>
    <col min="12816" max="13053" width="1.85546875" style="163"/>
    <col min="13054" max="13054" width="2.28515625" style="163" customWidth="1"/>
    <col min="13055" max="13055" width="14.140625" style="163" bestFit="1" customWidth="1"/>
    <col min="13056" max="13056" width="31.85546875" style="163" bestFit="1" customWidth="1"/>
    <col min="13057" max="13057" width="0" style="163" hidden="1" customWidth="1"/>
    <col min="13058" max="13058" width="0.28515625" style="163" customWidth="1"/>
    <col min="13059" max="13059" width="13.5703125" style="163" customWidth="1"/>
    <col min="13060" max="13060" width="12.7109375" style="163" customWidth="1"/>
    <col min="13061" max="13061" width="0.28515625" style="163" customWidth="1"/>
    <col min="13062" max="13062" width="13.5703125" style="163" customWidth="1"/>
    <col min="13063" max="13063" width="12.7109375" style="163" customWidth="1"/>
    <col min="13064" max="13064" width="0.28515625" style="163" customWidth="1"/>
    <col min="13065" max="13065" width="13.5703125" style="163" customWidth="1"/>
    <col min="13066" max="13066" width="12.7109375" style="163" customWidth="1"/>
    <col min="13067" max="13067" width="0.28515625" style="163" customWidth="1"/>
    <col min="13068" max="13068" width="13.5703125" style="163" customWidth="1"/>
    <col min="13069" max="13069" width="12.7109375" style="163" customWidth="1"/>
    <col min="13070" max="13071" width="10.5703125" style="163" customWidth="1"/>
    <col min="13072" max="13309" width="1.85546875" style="163"/>
    <col min="13310" max="13310" width="2.28515625" style="163" customWidth="1"/>
    <col min="13311" max="13311" width="14.140625" style="163" bestFit="1" customWidth="1"/>
    <col min="13312" max="13312" width="31.85546875" style="163" bestFit="1" customWidth="1"/>
    <col min="13313" max="13313" width="0" style="163" hidden="1" customWidth="1"/>
    <col min="13314" max="13314" width="0.28515625" style="163" customWidth="1"/>
    <col min="13315" max="13315" width="13.5703125" style="163" customWidth="1"/>
    <col min="13316" max="13316" width="12.7109375" style="163" customWidth="1"/>
    <col min="13317" max="13317" width="0.28515625" style="163" customWidth="1"/>
    <col min="13318" max="13318" width="13.5703125" style="163" customWidth="1"/>
    <col min="13319" max="13319" width="12.7109375" style="163" customWidth="1"/>
    <col min="13320" max="13320" width="0.28515625" style="163" customWidth="1"/>
    <col min="13321" max="13321" width="13.5703125" style="163" customWidth="1"/>
    <col min="13322" max="13322" width="12.7109375" style="163" customWidth="1"/>
    <col min="13323" max="13323" width="0.28515625" style="163" customWidth="1"/>
    <col min="13324" max="13324" width="13.5703125" style="163" customWidth="1"/>
    <col min="13325" max="13325" width="12.7109375" style="163" customWidth="1"/>
    <col min="13326" max="13327" width="10.5703125" style="163" customWidth="1"/>
    <col min="13328" max="13565" width="1.85546875" style="163"/>
    <col min="13566" max="13566" width="2.28515625" style="163" customWidth="1"/>
    <col min="13567" max="13567" width="14.140625" style="163" bestFit="1" customWidth="1"/>
    <col min="13568" max="13568" width="31.85546875" style="163" bestFit="1" customWidth="1"/>
    <col min="13569" max="13569" width="0" style="163" hidden="1" customWidth="1"/>
    <col min="13570" max="13570" width="0.28515625" style="163" customWidth="1"/>
    <col min="13571" max="13571" width="13.5703125" style="163" customWidth="1"/>
    <col min="13572" max="13572" width="12.7109375" style="163" customWidth="1"/>
    <col min="13573" max="13573" width="0.28515625" style="163" customWidth="1"/>
    <col min="13574" max="13574" width="13.5703125" style="163" customWidth="1"/>
    <col min="13575" max="13575" width="12.7109375" style="163" customWidth="1"/>
    <col min="13576" max="13576" width="0.28515625" style="163" customWidth="1"/>
    <col min="13577" max="13577" width="13.5703125" style="163" customWidth="1"/>
    <col min="13578" max="13578" width="12.7109375" style="163" customWidth="1"/>
    <col min="13579" max="13579" width="0.28515625" style="163" customWidth="1"/>
    <col min="13580" max="13580" width="13.5703125" style="163" customWidth="1"/>
    <col min="13581" max="13581" width="12.7109375" style="163" customWidth="1"/>
    <col min="13582" max="13583" width="10.5703125" style="163" customWidth="1"/>
    <col min="13584" max="13821" width="1.85546875" style="163"/>
    <col min="13822" max="13822" width="2.28515625" style="163" customWidth="1"/>
    <col min="13823" max="13823" width="14.140625" style="163" bestFit="1" customWidth="1"/>
    <col min="13824" max="13824" width="31.85546875" style="163" bestFit="1" customWidth="1"/>
    <col min="13825" max="13825" width="0" style="163" hidden="1" customWidth="1"/>
    <col min="13826" max="13826" width="0.28515625" style="163" customWidth="1"/>
    <col min="13827" max="13827" width="13.5703125" style="163" customWidth="1"/>
    <col min="13828" max="13828" width="12.7109375" style="163" customWidth="1"/>
    <col min="13829" max="13829" width="0.28515625" style="163" customWidth="1"/>
    <col min="13830" max="13830" width="13.5703125" style="163" customWidth="1"/>
    <col min="13831" max="13831" width="12.7109375" style="163" customWidth="1"/>
    <col min="13832" max="13832" width="0.28515625" style="163" customWidth="1"/>
    <col min="13833" max="13833" width="13.5703125" style="163" customWidth="1"/>
    <col min="13834" max="13834" width="12.7109375" style="163" customWidth="1"/>
    <col min="13835" max="13835" width="0.28515625" style="163" customWidth="1"/>
    <col min="13836" max="13836" width="13.5703125" style="163" customWidth="1"/>
    <col min="13837" max="13837" width="12.7109375" style="163" customWidth="1"/>
    <col min="13838" max="13839" width="10.5703125" style="163" customWidth="1"/>
    <col min="13840" max="14077" width="1.85546875" style="163"/>
    <col min="14078" max="14078" width="2.28515625" style="163" customWidth="1"/>
    <col min="14079" max="14079" width="14.140625" style="163" bestFit="1" customWidth="1"/>
    <col min="14080" max="14080" width="31.85546875" style="163" bestFit="1" customWidth="1"/>
    <col min="14081" max="14081" width="0" style="163" hidden="1" customWidth="1"/>
    <col min="14082" max="14082" width="0.28515625" style="163" customWidth="1"/>
    <col min="14083" max="14083" width="13.5703125" style="163" customWidth="1"/>
    <col min="14084" max="14084" width="12.7109375" style="163" customWidth="1"/>
    <col min="14085" max="14085" width="0.28515625" style="163" customWidth="1"/>
    <col min="14086" max="14086" width="13.5703125" style="163" customWidth="1"/>
    <col min="14087" max="14087" width="12.7109375" style="163" customWidth="1"/>
    <col min="14088" max="14088" width="0.28515625" style="163" customWidth="1"/>
    <col min="14089" max="14089" width="13.5703125" style="163" customWidth="1"/>
    <col min="14090" max="14090" width="12.7109375" style="163" customWidth="1"/>
    <col min="14091" max="14091" width="0.28515625" style="163" customWidth="1"/>
    <col min="14092" max="14092" width="13.5703125" style="163" customWidth="1"/>
    <col min="14093" max="14093" width="12.7109375" style="163" customWidth="1"/>
    <col min="14094" max="14095" width="10.5703125" style="163" customWidth="1"/>
    <col min="14096" max="14333" width="1.85546875" style="163"/>
    <col min="14334" max="14334" width="2.28515625" style="163" customWidth="1"/>
    <col min="14335" max="14335" width="14.140625" style="163" bestFit="1" customWidth="1"/>
    <col min="14336" max="14336" width="31.85546875" style="163" bestFit="1" customWidth="1"/>
    <col min="14337" max="14337" width="0" style="163" hidden="1" customWidth="1"/>
    <col min="14338" max="14338" width="0.28515625" style="163" customWidth="1"/>
    <col min="14339" max="14339" width="13.5703125" style="163" customWidth="1"/>
    <col min="14340" max="14340" width="12.7109375" style="163" customWidth="1"/>
    <col min="14341" max="14341" width="0.28515625" style="163" customWidth="1"/>
    <col min="14342" max="14342" width="13.5703125" style="163" customWidth="1"/>
    <col min="14343" max="14343" width="12.7109375" style="163" customWidth="1"/>
    <col min="14344" max="14344" width="0.28515625" style="163" customWidth="1"/>
    <col min="14345" max="14345" width="13.5703125" style="163" customWidth="1"/>
    <col min="14346" max="14346" width="12.7109375" style="163" customWidth="1"/>
    <col min="14347" max="14347" width="0.28515625" style="163" customWidth="1"/>
    <col min="14348" max="14348" width="13.5703125" style="163" customWidth="1"/>
    <col min="14349" max="14349" width="12.7109375" style="163" customWidth="1"/>
    <col min="14350" max="14351" width="10.5703125" style="163" customWidth="1"/>
    <col min="14352" max="14589" width="1.85546875" style="163"/>
    <col min="14590" max="14590" width="2.28515625" style="163" customWidth="1"/>
    <col min="14591" max="14591" width="14.140625" style="163" bestFit="1" customWidth="1"/>
    <col min="14592" max="14592" width="31.85546875" style="163" bestFit="1" customWidth="1"/>
    <col min="14593" max="14593" width="0" style="163" hidden="1" customWidth="1"/>
    <col min="14594" max="14594" width="0.28515625" style="163" customWidth="1"/>
    <col min="14595" max="14595" width="13.5703125" style="163" customWidth="1"/>
    <col min="14596" max="14596" width="12.7109375" style="163" customWidth="1"/>
    <col min="14597" max="14597" width="0.28515625" style="163" customWidth="1"/>
    <col min="14598" max="14598" width="13.5703125" style="163" customWidth="1"/>
    <col min="14599" max="14599" width="12.7109375" style="163" customWidth="1"/>
    <col min="14600" max="14600" width="0.28515625" style="163" customWidth="1"/>
    <col min="14601" max="14601" width="13.5703125" style="163" customWidth="1"/>
    <col min="14602" max="14602" width="12.7109375" style="163" customWidth="1"/>
    <col min="14603" max="14603" width="0.28515625" style="163" customWidth="1"/>
    <col min="14604" max="14604" width="13.5703125" style="163" customWidth="1"/>
    <col min="14605" max="14605" width="12.7109375" style="163" customWidth="1"/>
    <col min="14606" max="14607" width="10.5703125" style="163" customWidth="1"/>
    <col min="14608" max="14845" width="1.85546875" style="163"/>
    <col min="14846" max="14846" width="2.28515625" style="163" customWidth="1"/>
    <col min="14847" max="14847" width="14.140625" style="163" bestFit="1" customWidth="1"/>
    <col min="14848" max="14848" width="31.85546875" style="163" bestFit="1" customWidth="1"/>
    <col min="14849" max="14849" width="0" style="163" hidden="1" customWidth="1"/>
    <col min="14850" max="14850" width="0.28515625" style="163" customWidth="1"/>
    <col min="14851" max="14851" width="13.5703125" style="163" customWidth="1"/>
    <col min="14852" max="14852" width="12.7109375" style="163" customWidth="1"/>
    <col min="14853" max="14853" width="0.28515625" style="163" customWidth="1"/>
    <col min="14854" max="14854" width="13.5703125" style="163" customWidth="1"/>
    <col min="14855" max="14855" width="12.7109375" style="163" customWidth="1"/>
    <col min="14856" max="14856" width="0.28515625" style="163" customWidth="1"/>
    <col min="14857" max="14857" width="13.5703125" style="163" customWidth="1"/>
    <col min="14858" max="14858" width="12.7109375" style="163" customWidth="1"/>
    <col min="14859" max="14859" width="0.28515625" style="163" customWidth="1"/>
    <col min="14860" max="14860" width="13.5703125" style="163" customWidth="1"/>
    <col min="14861" max="14861" width="12.7109375" style="163" customWidth="1"/>
    <col min="14862" max="14863" width="10.5703125" style="163" customWidth="1"/>
    <col min="14864" max="15101" width="1.85546875" style="163"/>
    <col min="15102" max="15102" width="2.28515625" style="163" customWidth="1"/>
    <col min="15103" max="15103" width="14.140625" style="163" bestFit="1" customWidth="1"/>
    <col min="15104" max="15104" width="31.85546875" style="163" bestFit="1" customWidth="1"/>
    <col min="15105" max="15105" width="0" style="163" hidden="1" customWidth="1"/>
    <col min="15106" max="15106" width="0.28515625" style="163" customWidth="1"/>
    <col min="15107" max="15107" width="13.5703125" style="163" customWidth="1"/>
    <col min="15108" max="15108" width="12.7109375" style="163" customWidth="1"/>
    <col min="15109" max="15109" width="0.28515625" style="163" customWidth="1"/>
    <col min="15110" max="15110" width="13.5703125" style="163" customWidth="1"/>
    <col min="15111" max="15111" width="12.7109375" style="163" customWidth="1"/>
    <col min="15112" max="15112" width="0.28515625" style="163" customWidth="1"/>
    <col min="15113" max="15113" width="13.5703125" style="163" customWidth="1"/>
    <col min="15114" max="15114" width="12.7109375" style="163" customWidth="1"/>
    <col min="15115" max="15115" width="0.28515625" style="163" customWidth="1"/>
    <col min="15116" max="15116" width="13.5703125" style="163" customWidth="1"/>
    <col min="15117" max="15117" width="12.7109375" style="163" customWidth="1"/>
    <col min="15118" max="15119" width="10.5703125" style="163" customWidth="1"/>
    <col min="15120" max="15357" width="1.85546875" style="163"/>
    <col min="15358" max="15358" width="2.28515625" style="163" customWidth="1"/>
    <col min="15359" max="15359" width="14.140625" style="163" bestFit="1" customWidth="1"/>
    <col min="15360" max="15360" width="31.85546875" style="163" bestFit="1" customWidth="1"/>
    <col min="15361" max="15361" width="0" style="163" hidden="1" customWidth="1"/>
    <col min="15362" max="15362" width="0.28515625" style="163" customWidth="1"/>
    <col min="15363" max="15363" width="13.5703125" style="163" customWidth="1"/>
    <col min="15364" max="15364" width="12.7109375" style="163" customWidth="1"/>
    <col min="15365" max="15365" width="0.28515625" style="163" customWidth="1"/>
    <col min="15366" max="15366" width="13.5703125" style="163" customWidth="1"/>
    <col min="15367" max="15367" width="12.7109375" style="163" customWidth="1"/>
    <col min="15368" max="15368" width="0.28515625" style="163" customWidth="1"/>
    <col min="15369" max="15369" width="13.5703125" style="163" customWidth="1"/>
    <col min="15370" max="15370" width="12.7109375" style="163" customWidth="1"/>
    <col min="15371" max="15371" width="0.28515625" style="163" customWidth="1"/>
    <col min="15372" max="15372" width="13.5703125" style="163" customWidth="1"/>
    <col min="15373" max="15373" width="12.7109375" style="163" customWidth="1"/>
    <col min="15374" max="15375" width="10.5703125" style="163" customWidth="1"/>
    <col min="15376" max="15613" width="1.85546875" style="163"/>
    <col min="15614" max="15614" width="2.28515625" style="163" customWidth="1"/>
    <col min="15615" max="15615" width="14.140625" style="163" bestFit="1" customWidth="1"/>
    <col min="15616" max="15616" width="31.85546875" style="163" bestFit="1" customWidth="1"/>
    <col min="15617" max="15617" width="0" style="163" hidden="1" customWidth="1"/>
    <col min="15618" max="15618" width="0.28515625" style="163" customWidth="1"/>
    <col min="15619" max="15619" width="13.5703125" style="163" customWidth="1"/>
    <col min="15620" max="15620" width="12.7109375" style="163" customWidth="1"/>
    <col min="15621" max="15621" width="0.28515625" style="163" customWidth="1"/>
    <col min="15622" max="15622" width="13.5703125" style="163" customWidth="1"/>
    <col min="15623" max="15623" width="12.7109375" style="163" customWidth="1"/>
    <col min="15624" max="15624" width="0.28515625" style="163" customWidth="1"/>
    <col min="15625" max="15625" width="13.5703125" style="163" customWidth="1"/>
    <col min="15626" max="15626" width="12.7109375" style="163" customWidth="1"/>
    <col min="15627" max="15627" width="0.28515625" style="163" customWidth="1"/>
    <col min="15628" max="15628" width="13.5703125" style="163" customWidth="1"/>
    <col min="15629" max="15629" width="12.7109375" style="163" customWidth="1"/>
    <col min="15630" max="15631" width="10.5703125" style="163" customWidth="1"/>
    <col min="15632" max="15869" width="1.85546875" style="163"/>
    <col min="15870" max="15870" width="2.28515625" style="163" customWidth="1"/>
    <col min="15871" max="15871" width="14.140625" style="163" bestFit="1" customWidth="1"/>
    <col min="15872" max="15872" width="31.85546875" style="163" bestFit="1" customWidth="1"/>
    <col min="15873" max="15873" width="0" style="163" hidden="1" customWidth="1"/>
    <col min="15874" max="15874" width="0.28515625" style="163" customWidth="1"/>
    <col min="15875" max="15875" width="13.5703125" style="163" customWidth="1"/>
    <col min="15876" max="15876" width="12.7109375" style="163" customWidth="1"/>
    <col min="15877" max="15877" width="0.28515625" style="163" customWidth="1"/>
    <col min="15878" max="15878" width="13.5703125" style="163" customWidth="1"/>
    <col min="15879" max="15879" width="12.7109375" style="163" customWidth="1"/>
    <col min="15880" max="15880" width="0.28515625" style="163" customWidth="1"/>
    <col min="15881" max="15881" width="13.5703125" style="163" customWidth="1"/>
    <col min="15882" max="15882" width="12.7109375" style="163" customWidth="1"/>
    <col min="15883" max="15883" width="0.28515625" style="163" customWidth="1"/>
    <col min="15884" max="15884" width="13.5703125" style="163" customWidth="1"/>
    <col min="15885" max="15885" width="12.7109375" style="163" customWidth="1"/>
    <col min="15886" max="15887" width="10.5703125" style="163" customWidth="1"/>
    <col min="15888" max="16125" width="1.85546875" style="163"/>
    <col min="16126" max="16126" width="2.28515625" style="163" customWidth="1"/>
    <col min="16127" max="16127" width="14.140625" style="163" bestFit="1" customWidth="1"/>
    <col min="16128" max="16128" width="31.85546875" style="163" bestFit="1" customWidth="1"/>
    <col min="16129" max="16129" width="0" style="163" hidden="1" customWidth="1"/>
    <col min="16130" max="16130" width="0.28515625" style="163" customWidth="1"/>
    <col min="16131" max="16131" width="13.5703125" style="163" customWidth="1"/>
    <col min="16132" max="16132" width="12.7109375" style="163" customWidth="1"/>
    <col min="16133" max="16133" width="0.28515625" style="163" customWidth="1"/>
    <col min="16134" max="16134" width="13.5703125" style="163" customWidth="1"/>
    <col min="16135" max="16135" width="12.7109375" style="163" customWidth="1"/>
    <col min="16136" max="16136" width="0.28515625" style="163" customWidth="1"/>
    <col min="16137" max="16137" width="13.5703125" style="163" customWidth="1"/>
    <col min="16138" max="16138" width="12.7109375" style="163" customWidth="1"/>
    <col min="16139" max="16139" width="0.28515625" style="163" customWidth="1"/>
    <col min="16140" max="16140" width="13.5703125" style="163" customWidth="1"/>
    <col min="16141" max="16141" width="12.7109375" style="163" customWidth="1"/>
    <col min="16142" max="16143" width="10.5703125" style="163" customWidth="1"/>
    <col min="16144" max="16384" width="1.85546875" style="163"/>
  </cols>
  <sheetData>
    <row r="1" spans="1:15" ht="24" customHeight="1" x14ac:dyDescent="0.35">
      <c r="D1" s="870"/>
      <c r="F1" s="870">
        <v>2016</v>
      </c>
      <c r="H1" s="920">
        <v>2017</v>
      </c>
      <c r="J1" s="933">
        <v>2018</v>
      </c>
      <c r="L1" s="1007">
        <v>2019</v>
      </c>
    </row>
    <row r="2" spans="1:15" s="712" customFormat="1" ht="60" customHeight="1" x14ac:dyDescent="0.2">
      <c r="A2" s="708" t="s">
        <v>383</v>
      </c>
      <c r="B2" s="708" t="s">
        <v>272</v>
      </c>
      <c r="C2" s="709" t="s">
        <v>1</v>
      </c>
      <c r="D2" s="162" t="s">
        <v>4</v>
      </c>
      <c r="E2" s="710"/>
      <c r="F2" s="162" t="s">
        <v>2</v>
      </c>
      <c r="G2" s="710"/>
      <c r="H2" s="162" t="s">
        <v>2</v>
      </c>
      <c r="I2" s="710"/>
      <c r="J2" s="162" t="s">
        <v>2</v>
      </c>
      <c r="K2" s="710"/>
      <c r="L2" s="162" t="s">
        <v>2</v>
      </c>
      <c r="M2" s="885" t="s">
        <v>340</v>
      </c>
      <c r="N2" s="885" t="s">
        <v>6</v>
      </c>
      <c r="O2" s="885" t="s">
        <v>4</v>
      </c>
    </row>
    <row r="3" spans="1:15" s="207" customFormat="1" ht="25.5" customHeight="1" x14ac:dyDescent="0.2">
      <c r="A3" s="431"/>
      <c r="B3" s="203"/>
      <c r="C3" s="204" t="s">
        <v>7</v>
      </c>
      <c r="D3" s="204"/>
      <c r="E3" s="707"/>
      <c r="F3" s="204">
        <f>SUM(F4:F16)</f>
        <v>30073999.079999998</v>
      </c>
      <c r="G3" s="707"/>
      <c r="H3" s="204">
        <f>SUM(H4:H16)</f>
        <v>42724999</v>
      </c>
      <c r="I3" s="707"/>
      <c r="J3" s="204">
        <f>SUM(J4:J16)</f>
        <v>36000000</v>
      </c>
      <c r="K3" s="707"/>
      <c r="L3" s="204">
        <f>SUM(L4:L16)</f>
        <v>43188889</v>
      </c>
      <c r="M3" s="886"/>
      <c r="N3" s="886"/>
      <c r="O3" s="887"/>
    </row>
    <row r="4" spans="1:15" s="359" customFormat="1" ht="34.5" customHeight="1" x14ac:dyDescent="0.2">
      <c r="A4" s="446"/>
      <c r="B4" s="231">
        <v>580330058</v>
      </c>
      <c r="C4" s="241" t="s">
        <v>2080</v>
      </c>
      <c r="D4" s="714"/>
      <c r="E4" s="707"/>
      <c r="F4" s="47">
        <v>28813749.079999998</v>
      </c>
      <c r="G4" s="707"/>
      <c r="H4" s="47">
        <f>15604479+25587415</f>
        <v>41191894</v>
      </c>
      <c r="I4" s="707"/>
      <c r="J4" s="941">
        <f>15081630+19440242</f>
        <v>34521872</v>
      </c>
      <c r="K4" s="707"/>
      <c r="L4" s="941">
        <f>25506486+16109060</f>
        <v>41615546</v>
      </c>
      <c r="M4" s="888" t="s">
        <v>386</v>
      </c>
      <c r="N4" s="888" t="s">
        <v>386</v>
      </c>
      <c r="O4" s="889"/>
    </row>
    <row r="5" spans="1:15" s="359" customFormat="1" ht="27.75" customHeight="1" x14ac:dyDescent="0.2">
      <c r="A5" s="446">
        <v>2</v>
      </c>
      <c r="B5" s="231">
        <v>580036234</v>
      </c>
      <c r="C5" s="241" t="s">
        <v>2081</v>
      </c>
      <c r="D5" s="714"/>
      <c r="E5" s="707"/>
      <c r="F5" s="47">
        <v>130000</v>
      </c>
      <c r="G5" s="707"/>
      <c r="H5" s="47">
        <v>160000</v>
      </c>
      <c r="I5" s="707"/>
      <c r="J5" s="47">
        <v>130000</v>
      </c>
      <c r="K5" s="707"/>
      <c r="L5" s="47">
        <v>160000</v>
      </c>
      <c r="M5" s="888" t="s">
        <v>1076</v>
      </c>
      <c r="N5" s="888" t="s">
        <v>9</v>
      </c>
      <c r="O5" s="889"/>
    </row>
    <row r="6" spans="1:15" ht="35.25" customHeight="1" x14ac:dyDescent="0.2">
      <c r="A6" s="444">
        <v>7</v>
      </c>
      <c r="B6" s="195">
        <v>580030849</v>
      </c>
      <c r="C6" s="715" t="s">
        <v>2082</v>
      </c>
      <c r="D6" s="713"/>
      <c r="F6" s="47">
        <v>60000</v>
      </c>
      <c r="H6" s="47">
        <v>80000</v>
      </c>
      <c r="J6" s="47">
        <v>72092</v>
      </c>
      <c r="L6" s="47">
        <v>80000</v>
      </c>
      <c r="M6" s="888" t="s">
        <v>2083</v>
      </c>
      <c r="N6" s="888" t="s">
        <v>9</v>
      </c>
      <c r="O6" s="889"/>
    </row>
    <row r="7" spans="1:15" ht="24.75" customHeight="1" x14ac:dyDescent="0.2">
      <c r="A7" s="444">
        <v>9</v>
      </c>
      <c r="B7" s="195">
        <v>580216372</v>
      </c>
      <c r="C7" s="715" t="s">
        <v>2084</v>
      </c>
      <c r="D7" s="716"/>
      <c r="F7" s="47">
        <v>86026</v>
      </c>
      <c r="H7" s="47">
        <v>120000</v>
      </c>
      <c r="J7" s="47">
        <v>83297</v>
      </c>
      <c r="L7" s="47">
        <v>115434</v>
      </c>
      <c r="M7" s="888" t="s">
        <v>670</v>
      </c>
      <c r="N7" s="888" t="s">
        <v>12</v>
      </c>
      <c r="O7" s="889"/>
    </row>
    <row r="8" spans="1:15" ht="36" customHeight="1" x14ac:dyDescent="0.2">
      <c r="A8" s="444">
        <v>10</v>
      </c>
      <c r="B8" s="195">
        <v>500224043</v>
      </c>
      <c r="C8" s="715" t="s">
        <v>2076</v>
      </c>
      <c r="D8" s="714"/>
      <c r="F8" s="47">
        <v>220000</v>
      </c>
      <c r="H8" s="47">
        <v>220000</v>
      </c>
      <c r="J8" s="47">
        <v>310000</v>
      </c>
      <c r="L8" s="47">
        <v>270000</v>
      </c>
      <c r="M8" s="888" t="s">
        <v>2085</v>
      </c>
      <c r="N8" s="888" t="s">
        <v>9</v>
      </c>
      <c r="O8" s="889"/>
    </row>
    <row r="9" spans="1:15" ht="30.75" customHeight="1" x14ac:dyDescent="0.2">
      <c r="A9" s="444">
        <v>11</v>
      </c>
      <c r="B9" s="195">
        <v>580017580</v>
      </c>
      <c r="C9" s="715" t="s">
        <v>1485</v>
      </c>
      <c r="D9" s="716"/>
      <c r="F9" s="47">
        <v>300000</v>
      </c>
      <c r="H9" s="47">
        <v>320000</v>
      </c>
      <c r="J9" s="47">
        <v>350000</v>
      </c>
      <c r="L9" s="47">
        <v>350000</v>
      </c>
      <c r="M9" s="888" t="s">
        <v>2086</v>
      </c>
      <c r="N9" s="888" t="s">
        <v>9</v>
      </c>
      <c r="O9" s="889"/>
    </row>
    <row r="10" spans="1:15" ht="30.75" customHeight="1" x14ac:dyDescent="0.2">
      <c r="A10" s="450"/>
      <c r="B10" s="195">
        <v>580133106</v>
      </c>
      <c r="C10" s="715" t="s">
        <v>2087</v>
      </c>
      <c r="D10" s="713"/>
      <c r="F10" s="47">
        <v>200000</v>
      </c>
      <c r="H10" s="47">
        <v>200000</v>
      </c>
      <c r="J10" s="47">
        <v>187475</v>
      </c>
      <c r="L10" s="47">
        <v>200000</v>
      </c>
      <c r="M10" s="888" t="s">
        <v>2088</v>
      </c>
      <c r="N10" s="888" t="s">
        <v>32</v>
      </c>
      <c r="O10" s="889"/>
    </row>
    <row r="11" spans="1:15" ht="30.75" hidden="1" customHeight="1" x14ac:dyDescent="0.2">
      <c r="A11" s="450"/>
      <c r="B11" s="717">
        <v>580302339</v>
      </c>
      <c r="C11" s="718" t="s">
        <v>2089</v>
      </c>
      <c r="D11" s="714"/>
      <c r="F11" s="47"/>
      <c r="H11" s="47"/>
      <c r="J11" s="47"/>
      <c r="L11" s="47"/>
      <c r="M11" s="888" t="s">
        <v>2090</v>
      </c>
      <c r="N11" s="888" t="s">
        <v>9</v>
      </c>
      <c r="O11" s="889"/>
    </row>
    <row r="12" spans="1:15" ht="30.75" hidden="1" customHeight="1" x14ac:dyDescent="0.2">
      <c r="A12" s="450"/>
      <c r="B12" s="717">
        <v>580051415</v>
      </c>
      <c r="C12" s="718" t="s">
        <v>2091</v>
      </c>
      <c r="D12" s="714"/>
      <c r="F12" s="47"/>
      <c r="H12" s="47"/>
      <c r="J12" s="47"/>
      <c r="L12" s="47"/>
      <c r="M12" s="888" t="s">
        <v>1076</v>
      </c>
      <c r="N12" s="888" t="s">
        <v>9</v>
      </c>
      <c r="O12" s="889"/>
    </row>
    <row r="13" spans="1:15" ht="30.75" customHeight="1" x14ac:dyDescent="0.2">
      <c r="A13" s="450"/>
      <c r="B13" s="717">
        <v>580016889</v>
      </c>
      <c r="C13" s="718" t="s">
        <v>2092</v>
      </c>
      <c r="D13" s="713"/>
      <c r="F13" s="47">
        <v>83198</v>
      </c>
      <c r="H13" s="47">
        <v>130547</v>
      </c>
      <c r="J13" s="47">
        <v>95698</v>
      </c>
      <c r="L13" s="47">
        <v>115434</v>
      </c>
      <c r="M13" s="888" t="s">
        <v>53</v>
      </c>
      <c r="N13" s="888" t="s">
        <v>53</v>
      </c>
      <c r="O13" s="889"/>
    </row>
    <row r="14" spans="1:15" ht="30.75" customHeight="1" x14ac:dyDescent="0.2">
      <c r="A14" s="450"/>
      <c r="B14" s="717">
        <v>580002996</v>
      </c>
      <c r="C14" s="718" t="s">
        <v>2093</v>
      </c>
      <c r="D14" s="713"/>
      <c r="F14" s="47">
        <v>55000</v>
      </c>
      <c r="H14" s="47">
        <v>55000</v>
      </c>
      <c r="J14" s="47">
        <v>90000</v>
      </c>
      <c r="L14" s="47">
        <v>90000</v>
      </c>
      <c r="M14" s="888" t="s">
        <v>477</v>
      </c>
      <c r="N14" s="888" t="s">
        <v>9</v>
      </c>
      <c r="O14" s="889"/>
    </row>
    <row r="15" spans="1:15" ht="24.75" customHeight="1" x14ac:dyDescent="0.2">
      <c r="A15" s="450"/>
      <c r="B15" s="717">
        <v>580054393</v>
      </c>
      <c r="C15" s="718" t="s">
        <v>2094</v>
      </c>
      <c r="D15" s="713"/>
      <c r="F15" s="47">
        <v>86026</v>
      </c>
      <c r="H15" s="47">
        <v>152558</v>
      </c>
      <c r="J15" s="47">
        <v>95698</v>
      </c>
      <c r="L15" s="47">
        <v>115434</v>
      </c>
      <c r="M15" s="888" t="s">
        <v>1964</v>
      </c>
      <c r="N15" s="888" t="s">
        <v>282</v>
      </c>
      <c r="O15" s="889"/>
    </row>
    <row r="16" spans="1:15" ht="30.75" customHeight="1" x14ac:dyDescent="0.2">
      <c r="A16" s="450"/>
      <c r="B16" s="717">
        <v>500291000</v>
      </c>
      <c r="C16" s="718" t="s">
        <v>2095</v>
      </c>
      <c r="D16" s="713"/>
      <c r="F16" s="47">
        <v>40000</v>
      </c>
      <c r="H16" s="47">
        <v>95000</v>
      </c>
      <c r="J16" s="47">
        <v>63868</v>
      </c>
      <c r="L16" s="47">
        <v>77041</v>
      </c>
      <c r="M16" s="888" t="s">
        <v>1196</v>
      </c>
      <c r="N16" s="888" t="s">
        <v>9</v>
      </c>
      <c r="O16" s="889"/>
    </row>
    <row r="17" spans="13:15" s="719" customFormat="1" x14ac:dyDescent="0.2">
      <c r="M17" s="891"/>
      <c r="N17" s="891"/>
      <c r="O17" s="891"/>
    </row>
    <row r="18" spans="13:15" s="719" customFormat="1" x14ac:dyDescent="0.2">
      <c r="M18" s="891"/>
      <c r="N18" s="891"/>
      <c r="O18" s="891"/>
    </row>
    <row r="19" spans="13:15" s="719" customFormat="1" x14ac:dyDescent="0.2">
      <c r="M19" s="891"/>
      <c r="N19" s="891"/>
      <c r="O19" s="891"/>
    </row>
    <row r="20" spans="13:15" s="719" customFormat="1" x14ac:dyDescent="0.2">
      <c r="M20" s="891"/>
      <c r="N20" s="891"/>
      <c r="O20" s="891"/>
    </row>
    <row r="21" spans="13:15" s="719" customFormat="1" x14ac:dyDescent="0.2">
      <c r="M21" s="891"/>
      <c r="N21" s="891"/>
      <c r="O21" s="891"/>
    </row>
    <row r="22" spans="13:15" s="719" customFormat="1" x14ac:dyDescent="0.2">
      <c r="M22" s="891"/>
      <c r="N22" s="891"/>
      <c r="O22" s="891"/>
    </row>
    <row r="23" spans="13:15" s="719" customFormat="1" x14ac:dyDescent="0.2">
      <c r="M23" s="891"/>
      <c r="N23" s="891"/>
      <c r="O23" s="891"/>
    </row>
    <row r="24" spans="13:15" s="719" customFormat="1" x14ac:dyDescent="0.2">
      <c r="M24" s="891"/>
      <c r="N24" s="891"/>
      <c r="O24" s="891"/>
    </row>
    <row r="25" spans="13:15" s="719" customFormat="1" x14ac:dyDescent="0.2">
      <c r="M25" s="891"/>
      <c r="N25" s="891"/>
      <c r="O25" s="891"/>
    </row>
    <row r="26" spans="13:15" s="719" customFormat="1" x14ac:dyDescent="0.2">
      <c r="M26" s="891"/>
      <c r="N26" s="891"/>
      <c r="O26" s="891"/>
    </row>
    <row r="27" spans="13:15" s="719" customFormat="1" x14ac:dyDescent="0.2">
      <c r="M27" s="891"/>
      <c r="N27" s="891"/>
      <c r="O27" s="891"/>
    </row>
    <row r="28" spans="13:15" s="719" customFormat="1" x14ac:dyDescent="0.2">
      <c r="M28" s="891"/>
      <c r="N28" s="891"/>
      <c r="O28" s="891"/>
    </row>
    <row r="29" spans="13:15" s="719" customFormat="1" x14ac:dyDescent="0.2">
      <c r="M29" s="891"/>
      <c r="N29" s="891"/>
      <c r="O29" s="891"/>
    </row>
    <row r="30" spans="13:15" s="719" customFormat="1" x14ac:dyDescent="0.2">
      <c r="M30" s="891"/>
      <c r="N30" s="891"/>
      <c r="O30" s="891"/>
    </row>
  </sheetData>
  <pageMargins left="0.31496062992125984" right="0.71" top="1.6141732283464567" bottom="0.39370078740157483" header="0.86614173228346458" footer="0.19685039370078741"/>
  <pageSetup paperSize="9" scale="91" orientation="landscape" r:id="rId1"/>
  <headerFooter alignWithMargins="0">
    <oddHeader>&amp;L&amp;D&amp;Cמינהל תרבות
&amp;"Arial,מודגש"&amp;11תקציב על שינויו 2016-2019 
 בש"ח בהתאם להחלטת ועדת התמיכות&amp;R&amp;"Arial,מודגש"&amp;14תקנה 42-02-45- שימור אתרים</oddHeader>
    <oddFooter>&amp;L&amp;F&amp;C&amp;P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9"/>
  <dimension ref="A1:FX16"/>
  <sheetViews>
    <sheetView rightToLeft="1" zoomScale="80" zoomScaleNormal="80" zoomScaleSheetLayoutView="100" workbookViewId="0">
      <pane ySplit="1" topLeftCell="A2" activePane="bottomLeft" state="frozen"/>
      <selection pane="bottomLeft" activeCell="B3" sqref="B3"/>
    </sheetView>
  </sheetViews>
  <sheetFormatPr defaultColWidth="0.7109375" defaultRowHeight="12.75" x14ac:dyDescent="0.2"/>
  <cols>
    <col min="1" max="1" width="24.28515625" style="41" customWidth="1"/>
    <col min="2" max="2" width="12.42578125" style="41" bestFit="1" customWidth="1"/>
    <col min="3" max="3" width="13.5703125" style="41" customWidth="1"/>
    <col min="4" max="4" width="11.28515625" style="41" customWidth="1"/>
    <col min="5" max="5" width="12.85546875" style="117" hidden="1" customWidth="1"/>
    <col min="6" max="7" width="13" style="117" hidden="1" customWidth="1"/>
    <col min="8" max="9" width="13" style="43" hidden="1" customWidth="1"/>
    <col min="10" max="10" width="19.140625" style="43" customWidth="1"/>
    <col min="11" max="12" width="13" style="43" customWidth="1"/>
    <col min="13" max="13" width="34" style="42" customWidth="1"/>
    <col min="14" max="30" width="7.5703125" style="42" customWidth="1"/>
    <col min="31" max="36" width="7.5703125" style="41" customWidth="1"/>
    <col min="37" max="16384" width="0.7109375" style="41"/>
  </cols>
  <sheetData>
    <row r="1" spans="1:180" s="99" customFormat="1" ht="41.2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180" s="94" customFormat="1" ht="30" customHeight="1" x14ac:dyDescent="0.2">
      <c r="A2" s="145" t="s">
        <v>2079</v>
      </c>
      <c r="B2" s="144"/>
      <c r="C2" s="144"/>
      <c r="D2" s="144"/>
      <c r="E2" s="153"/>
      <c r="F2" s="153"/>
      <c r="G2" s="153"/>
      <c r="H2" s="153"/>
      <c r="I2" s="153"/>
      <c r="J2" s="153"/>
      <c r="K2" s="153"/>
      <c r="L2" s="153"/>
      <c r="M2" s="706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</row>
    <row r="3" spans="1:180" s="62" customFormat="1" ht="37.5" customHeight="1" x14ac:dyDescent="0.2">
      <c r="A3" s="55" t="s">
        <v>2078</v>
      </c>
      <c r="B3" s="50">
        <v>580330058</v>
      </c>
      <c r="C3" s="49">
        <v>1000542586</v>
      </c>
      <c r="D3" s="50">
        <v>40000237</v>
      </c>
      <c r="E3" s="46"/>
      <c r="F3" s="46"/>
      <c r="G3" s="46"/>
      <c r="H3" s="46"/>
      <c r="I3" s="46">
        <v>7255000</v>
      </c>
      <c r="J3" s="46">
        <v>18975949</v>
      </c>
      <c r="K3" s="46">
        <v>5901150.6544089001</v>
      </c>
      <c r="L3" s="74">
        <f t="shared" ref="L3:L15" si="0">J3-K3</f>
        <v>13074798.3455911</v>
      </c>
      <c r="M3" s="705" t="s">
        <v>2077</v>
      </c>
      <c r="O3" s="62" t="e">
        <f>MATCH(B3,#REF!,0)</f>
        <v>#REF!</v>
      </c>
    </row>
    <row r="4" spans="1:180" s="62" customFormat="1" ht="35.25" customHeight="1" x14ac:dyDescent="0.2">
      <c r="A4" s="291" t="s">
        <v>2076</v>
      </c>
      <c r="B4" s="704">
        <v>500224043</v>
      </c>
      <c r="C4" s="293">
        <v>1000545496</v>
      </c>
      <c r="D4" s="704">
        <v>20000139</v>
      </c>
      <c r="E4" s="700"/>
      <c r="F4" s="302"/>
      <c r="G4" s="699"/>
      <c r="H4" s="698"/>
      <c r="I4" s="296">
        <v>176838</v>
      </c>
      <c r="J4" s="46">
        <v>180000</v>
      </c>
      <c r="K4" s="46">
        <v>180000</v>
      </c>
      <c r="L4" s="46">
        <f t="shared" si="0"/>
        <v>0</v>
      </c>
      <c r="M4" s="118"/>
      <c r="O4" s="62" t="e">
        <f>MATCH(B4,#REF!,0)</f>
        <v>#REF!</v>
      </c>
    </row>
    <row r="5" spans="1:180" s="62" customFormat="1" ht="37.5" customHeight="1" x14ac:dyDescent="0.2">
      <c r="A5" s="51" t="s">
        <v>2075</v>
      </c>
      <c r="B5" s="105">
        <v>580017580</v>
      </c>
      <c r="C5" s="49">
        <v>1000542712</v>
      </c>
      <c r="D5" s="48">
        <v>40000347</v>
      </c>
      <c r="E5" s="703">
        <v>190000</v>
      </c>
      <c r="F5" s="119">
        <v>180000</v>
      </c>
      <c r="G5" s="119">
        <v>199044</v>
      </c>
      <c r="H5" s="46">
        <v>173585</v>
      </c>
      <c r="I5" s="46">
        <v>192914</v>
      </c>
      <c r="J5" s="46">
        <v>208917</v>
      </c>
      <c r="K5" s="46">
        <v>208917</v>
      </c>
      <c r="L5" s="46">
        <f t="shared" si="0"/>
        <v>0</v>
      </c>
      <c r="M5" s="118"/>
      <c r="O5" s="62" t="e">
        <f>MATCH(B5,#REF!,0)</f>
        <v>#REF!</v>
      </c>
    </row>
    <row r="6" spans="1:180" s="62" customFormat="1" ht="37.5" customHeight="1" x14ac:dyDescent="0.2">
      <c r="A6" s="55" t="s">
        <v>2074</v>
      </c>
      <c r="B6" s="50">
        <v>580133106</v>
      </c>
      <c r="C6" s="49">
        <v>1000532814</v>
      </c>
      <c r="D6" s="48">
        <v>40000494</v>
      </c>
      <c r="E6" s="536">
        <v>180000</v>
      </c>
      <c r="F6" s="46">
        <v>180000</v>
      </c>
      <c r="G6" s="46">
        <v>180000</v>
      </c>
      <c r="H6" s="46">
        <v>183486</v>
      </c>
      <c r="I6" s="46">
        <v>192914</v>
      </c>
      <c r="J6" s="46">
        <v>200000</v>
      </c>
      <c r="K6" s="46">
        <v>200000</v>
      </c>
      <c r="L6" s="46">
        <f t="shared" si="0"/>
        <v>0</v>
      </c>
      <c r="M6" s="702"/>
      <c r="O6" s="62" t="e">
        <f>MATCH(B6,#REF!,0)</f>
        <v>#REF!</v>
      </c>
    </row>
    <row r="7" spans="1:180" s="62" customFormat="1" ht="42.75" customHeight="1" x14ac:dyDescent="0.2">
      <c r="A7" s="55" t="s">
        <v>2073</v>
      </c>
      <c r="B7" s="50">
        <v>580330058</v>
      </c>
      <c r="C7" s="49">
        <v>1000542651</v>
      </c>
      <c r="D7" s="50">
        <v>40000237</v>
      </c>
      <c r="E7" s="46">
        <v>14113500</v>
      </c>
      <c r="F7" s="46">
        <v>16525000</v>
      </c>
      <c r="G7" s="46">
        <v>17974773</v>
      </c>
      <c r="H7" s="46">
        <v>29677346</v>
      </c>
      <c r="I7" s="46">
        <v>10131906</v>
      </c>
      <c r="J7" s="46">
        <v>10896316</v>
      </c>
      <c r="K7" s="46">
        <v>10896316</v>
      </c>
      <c r="L7" s="46">
        <f t="shared" si="0"/>
        <v>0</v>
      </c>
      <c r="M7" s="77"/>
      <c r="O7" s="62" t="e">
        <f>MATCH(B7,#REF!,0)</f>
        <v>#REF!</v>
      </c>
    </row>
    <row r="8" spans="1:180" s="62" customFormat="1" ht="35.25" customHeight="1" x14ac:dyDescent="0.2">
      <c r="A8" s="291" t="s">
        <v>2072</v>
      </c>
      <c r="B8" s="701">
        <v>580036234</v>
      </c>
      <c r="C8" s="293">
        <v>1000543188</v>
      </c>
      <c r="D8" s="701">
        <v>40000090</v>
      </c>
      <c r="E8" s="700">
        <v>117892</v>
      </c>
      <c r="F8" s="302">
        <v>8252</v>
      </c>
      <c r="G8" s="699" t="s">
        <v>2071</v>
      </c>
      <c r="H8" s="698" t="s">
        <v>2071</v>
      </c>
      <c r="I8" s="296">
        <v>117892</v>
      </c>
      <c r="J8" s="46">
        <v>127671</v>
      </c>
      <c r="K8" s="46">
        <v>127671</v>
      </c>
      <c r="L8" s="46">
        <f t="shared" si="0"/>
        <v>0</v>
      </c>
      <c r="M8" s="118"/>
      <c r="O8" s="62" t="e">
        <f>MATCH(B8,#REF!,0)</f>
        <v>#REF!</v>
      </c>
    </row>
    <row r="9" spans="1:180" s="62" customFormat="1" ht="49.5" customHeight="1" x14ac:dyDescent="0.2">
      <c r="A9" s="697" t="s">
        <v>2070</v>
      </c>
      <c r="B9" s="50">
        <v>500291000</v>
      </c>
      <c r="C9" s="54">
        <v>1000540686</v>
      </c>
      <c r="D9" s="48">
        <v>20000255</v>
      </c>
      <c r="E9" s="46">
        <v>20000</v>
      </c>
      <c r="F9" s="46">
        <v>27000</v>
      </c>
      <c r="G9" s="46">
        <v>29857</v>
      </c>
      <c r="H9" s="46">
        <v>27523</v>
      </c>
      <c r="I9" s="46">
        <v>28937</v>
      </c>
      <c r="J9" s="46">
        <v>30000</v>
      </c>
      <c r="K9" s="47">
        <v>30000</v>
      </c>
      <c r="L9" s="46">
        <f t="shared" si="0"/>
        <v>0</v>
      </c>
      <c r="M9" s="471"/>
      <c r="O9" s="609" t="e">
        <f>MATCH(B9,#REF!,0)</f>
        <v>#REF!</v>
      </c>
    </row>
    <row r="10" spans="1:180" s="62" customFormat="1" ht="47.25" customHeight="1" x14ac:dyDescent="0.2">
      <c r="A10" s="55" t="s">
        <v>2069</v>
      </c>
      <c r="B10" s="50">
        <v>580030849</v>
      </c>
      <c r="C10" s="54">
        <v>1000554610</v>
      </c>
      <c r="D10" s="48">
        <v>40000369</v>
      </c>
      <c r="E10" s="46">
        <v>50000</v>
      </c>
      <c r="F10" s="46">
        <v>45000</v>
      </c>
      <c r="G10" s="46">
        <v>49761</v>
      </c>
      <c r="H10" s="46">
        <v>39506</v>
      </c>
      <c r="I10" s="46">
        <v>48228</v>
      </c>
      <c r="J10" s="46">
        <v>52229</v>
      </c>
      <c r="K10" s="47">
        <v>52229</v>
      </c>
      <c r="L10" s="46">
        <f t="shared" si="0"/>
        <v>0</v>
      </c>
      <c r="M10" s="80"/>
      <c r="O10" s="62" t="e">
        <f>MATCH(B10,#REF!,0)</f>
        <v>#REF!</v>
      </c>
    </row>
    <row r="11" spans="1:180" s="62" customFormat="1" ht="39.75" customHeight="1" x14ac:dyDescent="0.2">
      <c r="A11" s="51" t="s">
        <v>2068</v>
      </c>
      <c r="B11" s="105">
        <v>580079176</v>
      </c>
      <c r="C11" s="54">
        <v>1000545257</v>
      </c>
      <c r="D11" s="48">
        <v>40000440</v>
      </c>
      <c r="E11" s="46">
        <v>50000</v>
      </c>
      <c r="F11" s="46">
        <v>45000</v>
      </c>
      <c r="G11" s="46">
        <v>49761</v>
      </c>
      <c r="H11" s="46">
        <v>45872</v>
      </c>
      <c r="I11" s="46">
        <v>48228</v>
      </c>
      <c r="J11" s="46">
        <v>50000</v>
      </c>
      <c r="K11" s="47">
        <v>50000</v>
      </c>
      <c r="L11" s="46">
        <f t="shared" si="0"/>
        <v>0</v>
      </c>
      <c r="M11" s="471"/>
      <c r="N11" s="121"/>
      <c r="O11" s="62" t="e">
        <f>MATCH(B11,#REF!,0)</f>
        <v>#REF!</v>
      </c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</row>
    <row r="12" spans="1:180" s="62" customFormat="1" ht="48.75" customHeight="1" x14ac:dyDescent="0.2">
      <c r="A12" s="51" t="s">
        <v>2067</v>
      </c>
      <c r="B12" s="105">
        <v>580002996</v>
      </c>
      <c r="C12" s="54">
        <v>1000535885</v>
      </c>
      <c r="D12" s="48">
        <v>40188794</v>
      </c>
      <c r="E12" s="46">
        <v>50000</v>
      </c>
      <c r="F12" s="46">
        <v>45000</v>
      </c>
      <c r="G12" s="46">
        <v>49761</v>
      </c>
      <c r="H12" s="46">
        <v>45872</v>
      </c>
      <c r="I12" s="46">
        <v>48228</v>
      </c>
      <c r="J12" s="46">
        <v>52229</v>
      </c>
      <c r="K12" s="47">
        <v>52229</v>
      </c>
      <c r="L12" s="46">
        <f t="shared" si="0"/>
        <v>0</v>
      </c>
      <c r="M12" s="473"/>
      <c r="O12" s="62" t="e">
        <f>MATCH(B12,#REF!,0)</f>
        <v>#REF!</v>
      </c>
    </row>
    <row r="13" spans="1:180" s="62" customFormat="1" ht="48.75" customHeight="1" x14ac:dyDescent="0.2">
      <c r="A13" s="51" t="s">
        <v>2066</v>
      </c>
      <c r="B13" s="105">
        <v>580016889</v>
      </c>
      <c r="C13" s="54">
        <v>1000535901</v>
      </c>
      <c r="D13" s="48">
        <v>40188804</v>
      </c>
      <c r="E13" s="46">
        <v>50000</v>
      </c>
      <c r="F13" s="46">
        <v>45000</v>
      </c>
      <c r="G13" s="46">
        <v>49761</v>
      </c>
      <c r="H13" s="46">
        <v>45872</v>
      </c>
      <c r="I13" s="46">
        <v>48228</v>
      </c>
      <c r="J13" s="46">
        <v>52229</v>
      </c>
      <c r="K13" s="47">
        <v>52229</v>
      </c>
      <c r="L13" s="46">
        <f t="shared" si="0"/>
        <v>0</v>
      </c>
      <c r="M13" s="471"/>
      <c r="N13" s="289"/>
      <c r="O13" s="62" t="e">
        <f>MATCH(B13,#REF!,0)</f>
        <v>#REF!</v>
      </c>
      <c r="P13" s="183"/>
      <c r="Q13" s="287"/>
      <c r="R13" s="287"/>
      <c r="S13" s="287"/>
      <c r="T13" s="287"/>
      <c r="U13" s="288"/>
      <c r="V13" s="289"/>
      <c r="W13" s="290"/>
      <c r="X13" s="183"/>
      <c r="Y13" s="287"/>
      <c r="Z13" s="287"/>
      <c r="AA13" s="287"/>
      <c r="AB13" s="287"/>
      <c r="AC13" s="288"/>
      <c r="AD13" s="289"/>
      <c r="AE13" s="290"/>
      <c r="AF13" s="183"/>
      <c r="AG13" s="287"/>
      <c r="AH13" s="287"/>
      <c r="AI13" s="287"/>
      <c r="AJ13" s="287"/>
      <c r="AK13" s="288"/>
      <c r="AL13" s="289"/>
      <c r="AM13" s="290"/>
      <c r="AN13" s="183"/>
      <c r="AO13" s="287"/>
      <c r="AP13" s="287"/>
      <c r="AQ13" s="287"/>
      <c r="AR13" s="287"/>
      <c r="AS13" s="288"/>
      <c r="AT13" s="289"/>
      <c r="AU13" s="290"/>
      <c r="AV13" s="183"/>
      <c r="AW13" s="287"/>
      <c r="AX13" s="287"/>
      <c r="AY13" s="287"/>
      <c r="AZ13" s="287"/>
      <c r="BA13" s="288"/>
      <c r="BB13" s="289"/>
      <c r="BC13" s="290"/>
      <c r="BD13" s="183"/>
      <c r="BE13" s="287"/>
      <c r="BF13" s="287"/>
      <c r="BG13" s="287"/>
      <c r="BH13" s="287"/>
      <c r="BI13" s="288"/>
      <c r="BJ13" s="289"/>
      <c r="BK13" s="290"/>
      <c r="BL13" s="183"/>
      <c r="BM13" s="287"/>
      <c r="BN13" s="287"/>
      <c r="BO13" s="287"/>
      <c r="BP13" s="287"/>
      <c r="BQ13" s="288"/>
      <c r="BR13" s="289"/>
      <c r="BS13" s="290"/>
      <c r="BT13" s="183"/>
      <c r="BU13" s="287"/>
      <c r="BV13" s="287"/>
      <c r="BW13" s="287"/>
      <c r="BX13" s="287"/>
      <c r="BY13" s="288"/>
      <c r="BZ13" s="289"/>
      <c r="CA13" s="290"/>
      <c r="CB13" s="183"/>
      <c r="CC13" s="287"/>
      <c r="CD13" s="287"/>
      <c r="CE13" s="287"/>
      <c r="CF13" s="287"/>
      <c r="CG13" s="288"/>
      <c r="CH13" s="289"/>
      <c r="CI13" s="290"/>
      <c r="CJ13" s="183"/>
      <c r="CK13" s="287"/>
      <c r="CL13" s="287"/>
      <c r="CM13" s="287"/>
      <c r="CN13" s="287"/>
      <c r="CO13" s="288"/>
      <c r="CP13" s="289"/>
      <c r="CQ13" s="290"/>
      <c r="CR13" s="183"/>
      <c r="CS13" s="287"/>
      <c r="CT13" s="287"/>
      <c r="CU13" s="287"/>
      <c r="CV13" s="287"/>
      <c r="CW13" s="288"/>
      <c r="CX13" s="289"/>
      <c r="CY13" s="290"/>
      <c r="CZ13" s="183"/>
      <c r="DA13" s="287"/>
      <c r="DB13" s="287"/>
      <c r="DC13" s="287"/>
      <c r="DD13" s="287"/>
      <c r="DE13" s="288"/>
      <c r="DF13" s="289"/>
      <c r="DG13" s="290"/>
      <c r="DH13" s="183"/>
      <c r="DI13" s="287"/>
      <c r="DJ13" s="287"/>
      <c r="DK13" s="287"/>
      <c r="DL13" s="287"/>
      <c r="DM13" s="288"/>
      <c r="DN13" s="289"/>
      <c r="DO13" s="290"/>
      <c r="DP13" s="183"/>
      <c r="DQ13" s="287"/>
      <c r="DR13" s="287"/>
      <c r="DS13" s="287"/>
      <c r="DT13" s="287"/>
      <c r="DU13" s="288"/>
      <c r="DV13" s="289"/>
      <c r="DW13" s="290"/>
      <c r="DX13" s="183"/>
      <c r="DY13" s="287"/>
      <c r="DZ13" s="287"/>
      <c r="EA13" s="287"/>
      <c r="EB13" s="287"/>
      <c r="EC13" s="288"/>
      <c r="ED13" s="289"/>
      <c r="EE13" s="290"/>
      <c r="EF13" s="183"/>
      <c r="EG13" s="287"/>
      <c r="EH13" s="287"/>
      <c r="EI13" s="287"/>
      <c r="EJ13" s="287"/>
      <c r="EK13" s="288"/>
      <c r="EL13" s="289"/>
      <c r="EM13" s="290"/>
      <c r="EN13" s="183"/>
      <c r="EO13" s="287"/>
      <c r="EP13" s="287"/>
      <c r="EQ13" s="287"/>
      <c r="ER13" s="287"/>
      <c r="ES13" s="288"/>
      <c r="ET13" s="289"/>
      <c r="EU13" s="290"/>
      <c r="EV13" s="183"/>
      <c r="EW13" s="287"/>
      <c r="EX13" s="287"/>
      <c r="EY13" s="287"/>
      <c r="EZ13" s="287"/>
      <c r="FA13" s="288"/>
      <c r="FB13" s="289"/>
      <c r="FC13" s="290"/>
      <c r="FD13" s="183"/>
      <c r="FE13" s="287"/>
      <c r="FF13" s="287"/>
      <c r="FG13" s="287"/>
      <c r="FH13" s="287"/>
      <c r="FI13" s="288"/>
      <c r="FJ13" s="289"/>
      <c r="FK13" s="290"/>
      <c r="FL13" s="183"/>
      <c r="FM13" s="287"/>
      <c r="FN13" s="287"/>
      <c r="FO13" s="287"/>
      <c r="FP13" s="287"/>
      <c r="FQ13" s="288"/>
      <c r="FR13" s="289"/>
      <c r="FS13" s="290"/>
      <c r="FT13" s="183"/>
      <c r="FU13" s="287"/>
      <c r="FV13" s="287"/>
      <c r="FW13" s="287"/>
      <c r="FX13" s="287"/>
    </row>
    <row r="14" spans="1:180" s="695" customFormat="1" ht="38.25" x14ac:dyDescent="0.2">
      <c r="A14" s="51" t="s">
        <v>2065</v>
      </c>
      <c r="B14" s="696">
        <v>580054393</v>
      </c>
      <c r="C14" s="54">
        <v>1000543545</v>
      </c>
      <c r="D14" s="96">
        <v>40255241</v>
      </c>
      <c r="E14" s="46">
        <v>0</v>
      </c>
      <c r="F14" s="46">
        <v>45000</v>
      </c>
      <c r="G14" s="46">
        <v>49761</v>
      </c>
      <c r="H14" s="46">
        <v>45872</v>
      </c>
      <c r="I14" s="46">
        <v>48228</v>
      </c>
      <c r="J14" s="46">
        <v>52229</v>
      </c>
      <c r="K14" s="47">
        <v>52229</v>
      </c>
      <c r="L14" s="46">
        <f t="shared" si="0"/>
        <v>0</v>
      </c>
      <c r="M14" s="471"/>
      <c r="O14" s="62" t="e">
        <f>MATCH(B14,#REF!,0)</f>
        <v>#REF!</v>
      </c>
    </row>
    <row r="15" spans="1:180" s="62" customFormat="1" ht="35.25" customHeight="1" x14ac:dyDescent="0.2">
      <c r="A15" s="51" t="s">
        <v>2064</v>
      </c>
      <c r="B15" s="105">
        <v>580216372</v>
      </c>
      <c r="C15" s="54">
        <v>1000539869</v>
      </c>
      <c r="D15" s="48">
        <v>40000184</v>
      </c>
      <c r="E15" s="46">
        <v>50000</v>
      </c>
      <c r="F15" s="46">
        <v>45000</v>
      </c>
      <c r="G15" s="46">
        <v>49761</v>
      </c>
      <c r="H15" s="46">
        <v>48228</v>
      </c>
      <c r="I15" s="46">
        <v>48228</v>
      </c>
      <c r="J15" s="46">
        <v>52229</v>
      </c>
      <c r="K15" s="47">
        <v>52229</v>
      </c>
      <c r="L15" s="46">
        <f t="shared" si="0"/>
        <v>0</v>
      </c>
      <c r="M15" s="471"/>
      <c r="N15" s="121"/>
      <c r="O15" s="62" t="e">
        <f>MATCH(B15,#REF!,0)</f>
        <v>#REF!</v>
      </c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</row>
    <row r="16" spans="1:180" x14ac:dyDescent="0.2">
      <c r="J16" s="46">
        <f>SUM(J3:J15)</f>
        <v>30929998</v>
      </c>
    </row>
  </sheetData>
  <pageMargins left="0.11811023622047245" right="0.15748031496062992" top="0.47244094488188981" bottom="0.47244094488188981" header="0.15748031496062992" footer="0.19685039370078741"/>
  <pageSetup paperSize="9" scale="80" orientation="landscape" r:id="rId1"/>
  <headerFooter alignWithMargins="0">
    <oddHeader xml:space="preserve">&amp;C&amp;"Guttman Yad-Brush,רגיל"&amp;14תקנת שימור אתרים 42-02-45  </oddHeader>
    <oddFooter>&amp;L&amp;D&amp;C&amp;P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rightToLeft="1" zoomScaleNormal="100" workbookViewId="0">
      <pane xSplit="3" ySplit="2" topLeftCell="D3" activePane="bottomRight" state="frozen"/>
      <selection activeCell="S19" sqref="S19"/>
      <selection pane="topRight" activeCell="S19" sqref="S19"/>
      <selection pane="bottomLeft" activeCell="S19" sqref="S19"/>
      <selection pane="bottomRight" activeCell="L1" sqref="L1:M1048576"/>
    </sheetView>
  </sheetViews>
  <sheetFormatPr defaultRowHeight="12.75" x14ac:dyDescent="0.2"/>
  <cols>
    <col min="1" max="1" width="0.140625" style="163" customWidth="1"/>
    <col min="2" max="2" width="13.7109375" style="163" customWidth="1"/>
    <col min="3" max="3" width="44" style="343" customWidth="1"/>
    <col min="4" max="4" width="0.42578125" style="344" customWidth="1"/>
    <col min="5" max="5" width="15.85546875" style="163" customWidth="1"/>
    <col min="6" max="6" width="0.42578125" style="344" customWidth="1"/>
    <col min="7" max="7" width="15.85546875" style="163" customWidth="1"/>
    <col min="8" max="8" width="0.42578125" style="344" customWidth="1"/>
    <col min="9" max="9" width="15.85546875" style="163" customWidth="1"/>
    <col min="10" max="10" width="0.42578125" style="344" customWidth="1"/>
    <col min="11" max="11" width="15.85546875" style="163" customWidth="1"/>
    <col min="12" max="12" width="12.28515625" style="163" hidden="1" customWidth="1"/>
    <col min="13" max="13" width="9.42578125" style="163" hidden="1" customWidth="1"/>
    <col min="14" max="246" width="9.140625" style="163"/>
    <col min="247" max="247" width="0.140625" style="163" customWidth="1"/>
    <col min="248" max="248" width="13.7109375" style="163" customWidth="1"/>
    <col min="249" max="249" width="44" style="163" customWidth="1"/>
    <col min="250" max="250" width="0.42578125" style="163" customWidth="1"/>
    <col min="251" max="251" width="12.140625" style="163" customWidth="1"/>
    <col min="252" max="252" width="9" style="163" customWidth="1"/>
    <col min="253" max="253" width="12.140625" style="163" customWidth="1"/>
    <col min="254" max="254" width="14.85546875" style="163" customWidth="1"/>
    <col min="255" max="255" width="0.42578125" style="163" customWidth="1"/>
    <col min="256" max="256" width="12.140625" style="163" customWidth="1"/>
    <col min="257" max="257" width="9.5703125" style="163" bestFit="1" customWidth="1"/>
    <col min="258" max="258" width="12.140625" style="163" customWidth="1"/>
    <col min="259" max="259" width="14.85546875" style="163" customWidth="1"/>
    <col min="260" max="260" width="0.42578125" style="163" customWidth="1"/>
    <col min="261" max="261" width="12.140625" style="163" customWidth="1"/>
    <col min="262" max="262" width="9.5703125" style="163" bestFit="1" customWidth="1"/>
    <col min="263" max="263" width="12.140625" style="163" customWidth="1"/>
    <col min="264" max="264" width="0.42578125" style="163" customWidth="1"/>
    <col min="265" max="265" width="12.140625" style="163" customWidth="1"/>
    <col min="266" max="266" width="9.5703125" style="163" bestFit="1" customWidth="1"/>
    <col min="267" max="267" width="12.140625" style="163" customWidth="1"/>
    <col min="268" max="268" width="9.28515625" style="163" customWidth="1"/>
    <col min="269" max="269" width="9.42578125" style="163" customWidth="1"/>
    <col min="270" max="502" width="9.140625" style="163"/>
    <col min="503" max="503" width="0.140625" style="163" customWidth="1"/>
    <col min="504" max="504" width="13.7109375" style="163" customWidth="1"/>
    <col min="505" max="505" width="44" style="163" customWidth="1"/>
    <col min="506" max="506" width="0.42578125" style="163" customWidth="1"/>
    <col min="507" max="507" width="12.140625" style="163" customWidth="1"/>
    <col min="508" max="508" width="9" style="163" customWidth="1"/>
    <col min="509" max="509" width="12.140625" style="163" customWidth="1"/>
    <col min="510" max="510" width="14.85546875" style="163" customWidth="1"/>
    <col min="511" max="511" width="0.42578125" style="163" customWidth="1"/>
    <col min="512" max="512" width="12.140625" style="163" customWidth="1"/>
    <col min="513" max="513" width="9.5703125" style="163" bestFit="1" customWidth="1"/>
    <col min="514" max="514" width="12.140625" style="163" customWidth="1"/>
    <col min="515" max="515" width="14.85546875" style="163" customWidth="1"/>
    <col min="516" max="516" width="0.42578125" style="163" customWidth="1"/>
    <col min="517" max="517" width="12.140625" style="163" customWidth="1"/>
    <col min="518" max="518" width="9.5703125" style="163" bestFit="1" customWidth="1"/>
    <col min="519" max="519" width="12.140625" style="163" customWidth="1"/>
    <col min="520" max="520" width="0.42578125" style="163" customWidth="1"/>
    <col min="521" max="521" width="12.140625" style="163" customWidth="1"/>
    <col min="522" max="522" width="9.5703125" style="163" bestFit="1" customWidth="1"/>
    <col min="523" max="523" width="12.140625" style="163" customWidth="1"/>
    <col min="524" max="524" width="9.28515625" style="163" customWidth="1"/>
    <col min="525" max="525" width="9.42578125" style="163" customWidth="1"/>
    <col min="526" max="758" width="9.140625" style="163"/>
    <col min="759" max="759" width="0.140625" style="163" customWidth="1"/>
    <col min="760" max="760" width="13.7109375" style="163" customWidth="1"/>
    <col min="761" max="761" width="44" style="163" customWidth="1"/>
    <col min="762" max="762" width="0.42578125" style="163" customWidth="1"/>
    <col min="763" max="763" width="12.140625" style="163" customWidth="1"/>
    <col min="764" max="764" width="9" style="163" customWidth="1"/>
    <col min="765" max="765" width="12.140625" style="163" customWidth="1"/>
    <col min="766" max="766" width="14.85546875" style="163" customWidth="1"/>
    <col min="767" max="767" width="0.42578125" style="163" customWidth="1"/>
    <col min="768" max="768" width="12.140625" style="163" customWidth="1"/>
    <col min="769" max="769" width="9.5703125" style="163" bestFit="1" customWidth="1"/>
    <col min="770" max="770" width="12.140625" style="163" customWidth="1"/>
    <col min="771" max="771" width="14.85546875" style="163" customWidth="1"/>
    <col min="772" max="772" width="0.42578125" style="163" customWidth="1"/>
    <col min="773" max="773" width="12.140625" style="163" customWidth="1"/>
    <col min="774" max="774" width="9.5703125" style="163" bestFit="1" customWidth="1"/>
    <col min="775" max="775" width="12.140625" style="163" customWidth="1"/>
    <col min="776" max="776" width="0.42578125" style="163" customWidth="1"/>
    <col min="777" max="777" width="12.140625" style="163" customWidth="1"/>
    <col min="778" max="778" width="9.5703125" style="163" bestFit="1" customWidth="1"/>
    <col min="779" max="779" width="12.140625" style="163" customWidth="1"/>
    <col min="780" max="780" width="9.28515625" style="163" customWidth="1"/>
    <col min="781" max="781" width="9.42578125" style="163" customWidth="1"/>
    <col min="782" max="1014" width="9.140625" style="163"/>
    <col min="1015" max="1015" width="0.140625" style="163" customWidth="1"/>
    <col min="1016" max="1016" width="13.7109375" style="163" customWidth="1"/>
    <col min="1017" max="1017" width="44" style="163" customWidth="1"/>
    <col min="1018" max="1018" width="0.42578125" style="163" customWidth="1"/>
    <col min="1019" max="1019" width="12.140625" style="163" customWidth="1"/>
    <col min="1020" max="1020" width="9" style="163" customWidth="1"/>
    <col min="1021" max="1021" width="12.140625" style="163" customWidth="1"/>
    <col min="1022" max="1022" width="14.85546875" style="163" customWidth="1"/>
    <col min="1023" max="1023" width="0.42578125" style="163" customWidth="1"/>
    <col min="1024" max="1024" width="12.140625" style="163" customWidth="1"/>
    <col min="1025" max="1025" width="9.5703125" style="163" bestFit="1" customWidth="1"/>
    <col min="1026" max="1026" width="12.140625" style="163" customWidth="1"/>
    <col min="1027" max="1027" width="14.85546875" style="163" customWidth="1"/>
    <col min="1028" max="1028" width="0.42578125" style="163" customWidth="1"/>
    <col min="1029" max="1029" width="12.140625" style="163" customWidth="1"/>
    <col min="1030" max="1030" width="9.5703125" style="163" bestFit="1" customWidth="1"/>
    <col min="1031" max="1031" width="12.140625" style="163" customWidth="1"/>
    <col min="1032" max="1032" width="0.42578125" style="163" customWidth="1"/>
    <col min="1033" max="1033" width="12.140625" style="163" customWidth="1"/>
    <col min="1034" max="1034" width="9.5703125" style="163" bestFit="1" customWidth="1"/>
    <col min="1035" max="1035" width="12.140625" style="163" customWidth="1"/>
    <col min="1036" max="1036" width="9.28515625" style="163" customWidth="1"/>
    <col min="1037" max="1037" width="9.42578125" style="163" customWidth="1"/>
    <col min="1038" max="1270" width="9.140625" style="163"/>
    <col min="1271" max="1271" width="0.140625" style="163" customWidth="1"/>
    <col min="1272" max="1272" width="13.7109375" style="163" customWidth="1"/>
    <col min="1273" max="1273" width="44" style="163" customWidth="1"/>
    <col min="1274" max="1274" width="0.42578125" style="163" customWidth="1"/>
    <col min="1275" max="1275" width="12.140625" style="163" customWidth="1"/>
    <col min="1276" max="1276" width="9" style="163" customWidth="1"/>
    <col min="1277" max="1277" width="12.140625" style="163" customWidth="1"/>
    <col min="1278" max="1278" width="14.85546875" style="163" customWidth="1"/>
    <col min="1279" max="1279" width="0.42578125" style="163" customWidth="1"/>
    <col min="1280" max="1280" width="12.140625" style="163" customWidth="1"/>
    <col min="1281" max="1281" width="9.5703125" style="163" bestFit="1" customWidth="1"/>
    <col min="1282" max="1282" width="12.140625" style="163" customWidth="1"/>
    <col min="1283" max="1283" width="14.85546875" style="163" customWidth="1"/>
    <col min="1284" max="1284" width="0.42578125" style="163" customWidth="1"/>
    <col min="1285" max="1285" width="12.140625" style="163" customWidth="1"/>
    <col min="1286" max="1286" width="9.5703125" style="163" bestFit="1" customWidth="1"/>
    <col min="1287" max="1287" width="12.140625" style="163" customWidth="1"/>
    <col min="1288" max="1288" width="0.42578125" style="163" customWidth="1"/>
    <col min="1289" max="1289" width="12.140625" style="163" customWidth="1"/>
    <col min="1290" max="1290" width="9.5703125" style="163" bestFit="1" customWidth="1"/>
    <col min="1291" max="1291" width="12.140625" style="163" customWidth="1"/>
    <col min="1292" max="1292" width="9.28515625" style="163" customWidth="1"/>
    <col min="1293" max="1293" width="9.42578125" style="163" customWidth="1"/>
    <col min="1294" max="1526" width="9.140625" style="163"/>
    <col min="1527" max="1527" width="0.140625" style="163" customWidth="1"/>
    <col min="1528" max="1528" width="13.7109375" style="163" customWidth="1"/>
    <col min="1529" max="1529" width="44" style="163" customWidth="1"/>
    <col min="1530" max="1530" width="0.42578125" style="163" customWidth="1"/>
    <col min="1531" max="1531" width="12.140625" style="163" customWidth="1"/>
    <col min="1532" max="1532" width="9" style="163" customWidth="1"/>
    <col min="1533" max="1533" width="12.140625" style="163" customWidth="1"/>
    <col min="1534" max="1534" width="14.85546875" style="163" customWidth="1"/>
    <col min="1535" max="1535" width="0.42578125" style="163" customWidth="1"/>
    <col min="1536" max="1536" width="12.140625" style="163" customWidth="1"/>
    <col min="1537" max="1537" width="9.5703125" style="163" bestFit="1" customWidth="1"/>
    <col min="1538" max="1538" width="12.140625" style="163" customWidth="1"/>
    <col min="1539" max="1539" width="14.85546875" style="163" customWidth="1"/>
    <col min="1540" max="1540" width="0.42578125" style="163" customWidth="1"/>
    <col min="1541" max="1541" width="12.140625" style="163" customWidth="1"/>
    <col min="1542" max="1542" width="9.5703125" style="163" bestFit="1" customWidth="1"/>
    <col min="1543" max="1543" width="12.140625" style="163" customWidth="1"/>
    <col min="1544" max="1544" width="0.42578125" style="163" customWidth="1"/>
    <col min="1545" max="1545" width="12.140625" style="163" customWidth="1"/>
    <col min="1546" max="1546" width="9.5703125" style="163" bestFit="1" customWidth="1"/>
    <col min="1547" max="1547" width="12.140625" style="163" customWidth="1"/>
    <col min="1548" max="1548" width="9.28515625" style="163" customWidth="1"/>
    <col min="1549" max="1549" width="9.42578125" style="163" customWidth="1"/>
    <col min="1550" max="1782" width="9.140625" style="163"/>
    <col min="1783" max="1783" width="0.140625" style="163" customWidth="1"/>
    <col min="1784" max="1784" width="13.7109375" style="163" customWidth="1"/>
    <col min="1785" max="1785" width="44" style="163" customWidth="1"/>
    <col min="1786" max="1786" width="0.42578125" style="163" customWidth="1"/>
    <col min="1787" max="1787" width="12.140625" style="163" customWidth="1"/>
    <col min="1788" max="1788" width="9" style="163" customWidth="1"/>
    <col min="1789" max="1789" width="12.140625" style="163" customWidth="1"/>
    <col min="1790" max="1790" width="14.85546875" style="163" customWidth="1"/>
    <col min="1791" max="1791" width="0.42578125" style="163" customWidth="1"/>
    <col min="1792" max="1792" width="12.140625" style="163" customWidth="1"/>
    <col min="1793" max="1793" width="9.5703125" style="163" bestFit="1" customWidth="1"/>
    <col min="1794" max="1794" width="12.140625" style="163" customWidth="1"/>
    <col min="1795" max="1795" width="14.85546875" style="163" customWidth="1"/>
    <col min="1796" max="1796" width="0.42578125" style="163" customWidth="1"/>
    <col min="1797" max="1797" width="12.140625" style="163" customWidth="1"/>
    <col min="1798" max="1798" width="9.5703125" style="163" bestFit="1" customWidth="1"/>
    <col min="1799" max="1799" width="12.140625" style="163" customWidth="1"/>
    <col min="1800" max="1800" width="0.42578125" style="163" customWidth="1"/>
    <col min="1801" max="1801" width="12.140625" style="163" customWidth="1"/>
    <col min="1802" max="1802" width="9.5703125" style="163" bestFit="1" customWidth="1"/>
    <col min="1803" max="1803" width="12.140625" style="163" customWidth="1"/>
    <col min="1804" max="1804" width="9.28515625" style="163" customWidth="1"/>
    <col min="1805" max="1805" width="9.42578125" style="163" customWidth="1"/>
    <col min="1806" max="2038" width="9.140625" style="163"/>
    <col min="2039" max="2039" width="0.140625" style="163" customWidth="1"/>
    <col min="2040" max="2040" width="13.7109375" style="163" customWidth="1"/>
    <col min="2041" max="2041" width="44" style="163" customWidth="1"/>
    <col min="2042" max="2042" width="0.42578125" style="163" customWidth="1"/>
    <col min="2043" max="2043" width="12.140625" style="163" customWidth="1"/>
    <col min="2044" max="2044" width="9" style="163" customWidth="1"/>
    <col min="2045" max="2045" width="12.140625" style="163" customWidth="1"/>
    <col min="2046" max="2046" width="14.85546875" style="163" customWidth="1"/>
    <col min="2047" max="2047" width="0.42578125" style="163" customWidth="1"/>
    <col min="2048" max="2048" width="12.140625" style="163" customWidth="1"/>
    <col min="2049" max="2049" width="9.5703125" style="163" bestFit="1" customWidth="1"/>
    <col min="2050" max="2050" width="12.140625" style="163" customWidth="1"/>
    <col min="2051" max="2051" width="14.85546875" style="163" customWidth="1"/>
    <col min="2052" max="2052" width="0.42578125" style="163" customWidth="1"/>
    <col min="2053" max="2053" width="12.140625" style="163" customWidth="1"/>
    <col min="2054" max="2054" width="9.5703125" style="163" bestFit="1" customWidth="1"/>
    <col min="2055" max="2055" width="12.140625" style="163" customWidth="1"/>
    <col min="2056" max="2056" width="0.42578125" style="163" customWidth="1"/>
    <col min="2057" max="2057" width="12.140625" style="163" customWidth="1"/>
    <col min="2058" max="2058" width="9.5703125" style="163" bestFit="1" customWidth="1"/>
    <col min="2059" max="2059" width="12.140625" style="163" customWidth="1"/>
    <col min="2060" max="2060" width="9.28515625" style="163" customWidth="1"/>
    <col min="2061" max="2061" width="9.42578125" style="163" customWidth="1"/>
    <col min="2062" max="2294" width="9.140625" style="163"/>
    <col min="2295" max="2295" width="0.140625" style="163" customWidth="1"/>
    <col min="2296" max="2296" width="13.7109375" style="163" customWidth="1"/>
    <col min="2297" max="2297" width="44" style="163" customWidth="1"/>
    <col min="2298" max="2298" width="0.42578125" style="163" customWidth="1"/>
    <col min="2299" max="2299" width="12.140625" style="163" customWidth="1"/>
    <col min="2300" max="2300" width="9" style="163" customWidth="1"/>
    <col min="2301" max="2301" width="12.140625" style="163" customWidth="1"/>
    <col min="2302" max="2302" width="14.85546875" style="163" customWidth="1"/>
    <col min="2303" max="2303" width="0.42578125" style="163" customWidth="1"/>
    <col min="2304" max="2304" width="12.140625" style="163" customWidth="1"/>
    <col min="2305" max="2305" width="9.5703125" style="163" bestFit="1" customWidth="1"/>
    <col min="2306" max="2306" width="12.140625" style="163" customWidth="1"/>
    <col min="2307" max="2307" width="14.85546875" style="163" customWidth="1"/>
    <col min="2308" max="2308" width="0.42578125" style="163" customWidth="1"/>
    <col min="2309" max="2309" width="12.140625" style="163" customWidth="1"/>
    <col min="2310" max="2310" width="9.5703125" style="163" bestFit="1" customWidth="1"/>
    <col min="2311" max="2311" width="12.140625" style="163" customWidth="1"/>
    <col min="2312" max="2312" width="0.42578125" style="163" customWidth="1"/>
    <col min="2313" max="2313" width="12.140625" style="163" customWidth="1"/>
    <col min="2314" max="2314" width="9.5703125" style="163" bestFit="1" customWidth="1"/>
    <col min="2315" max="2315" width="12.140625" style="163" customWidth="1"/>
    <col min="2316" max="2316" width="9.28515625" style="163" customWidth="1"/>
    <col min="2317" max="2317" width="9.42578125" style="163" customWidth="1"/>
    <col min="2318" max="2550" width="9.140625" style="163"/>
    <col min="2551" max="2551" width="0.140625" style="163" customWidth="1"/>
    <col min="2552" max="2552" width="13.7109375" style="163" customWidth="1"/>
    <col min="2553" max="2553" width="44" style="163" customWidth="1"/>
    <col min="2554" max="2554" width="0.42578125" style="163" customWidth="1"/>
    <col min="2555" max="2555" width="12.140625" style="163" customWidth="1"/>
    <col min="2556" max="2556" width="9" style="163" customWidth="1"/>
    <col min="2557" max="2557" width="12.140625" style="163" customWidth="1"/>
    <col min="2558" max="2558" width="14.85546875" style="163" customWidth="1"/>
    <col min="2559" max="2559" width="0.42578125" style="163" customWidth="1"/>
    <col min="2560" max="2560" width="12.140625" style="163" customWidth="1"/>
    <col min="2561" max="2561" width="9.5703125" style="163" bestFit="1" customWidth="1"/>
    <col min="2562" max="2562" width="12.140625" style="163" customWidth="1"/>
    <col min="2563" max="2563" width="14.85546875" style="163" customWidth="1"/>
    <col min="2564" max="2564" width="0.42578125" style="163" customWidth="1"/>
    <col min="2565" max="2565" width="12.140625" style="163" customWidth="1"/>
    <col min="2566" max="2566" width="9.5703125" style="163" bestFit="1" customWidth="1"/>
    <col min="2567" max="2567" width="12.140625" style="163" customWidth="1"/>
    <col min="2568" max="2568" width="0.42578125" style="163" customWidth="1"/>
    <col min="2569" max="2569" width="12.140625" style="163" customWidth="1"/>
    <col min="2570" max="2570" width="9.5703125" style="163" bestFit="1" customWidth="1"/>
    <col min="2571" max="2571" width="12.140625" style="163" customWidth="1"/>
    <col min="2572" max="2572" width="9.28515625" style="163" customWidth="1"/>
    <col min="2573" max="2573" width="9.42578125" style="163" customWidth="1"/>
    <col min="2574" max="2806" width="9.140625" style="163"/>
    <col min="2807" max="2807" width="0.140625" style="163" customWidth="1"/>
    <col min="2808" max="2808" width="13.7109375" style="163" customWidth="1"/>
    <col min="2809" max="2809" width="44" style="163" customWidth="1"/>
    <col min="2810" max="2810" width="0.42578125" style="163" customWidth="1"/>
    <col min="2811" max="2811" width="12.140625" style="163" customWidth="1"/>
    <col min="2812" max="2812" width="9" style="163" customWidth="1"/>
    <col min="2813" max="2813" width="12.140625" style="163" customWidth="1"/>
    <col min="2814" max="2814" width="14.85546875" style="163" customWidth="1"/>
    <col min="2815" max="2815" width="0.42578125" style="163" customWidth="1"/>
    <col min="2816" max="2816" width="12.140625" style="163" customWidth="1"/>
    <col min="2817" max="2817" width="9.5703125" style="163" bestFit="1" customWidth="1"/>
    <col min="2818" max="2818" width="12.140625" style="163" customWidth="1"/>
    <col min="2819" max="2819" width="14.85546875" style="163" customWidth="1"/>
    <col min="2820" max="2820" width="0.42578125" style="163" customWidth="1"/>
    <col min="2821" max="2821" width="12.140625" style="163" customWidth="1"/>
    <col min="2822" max="2822" width="9.5703125" style="163" bestFit="1" customWidth="1"/>
    <col min="2823" max="2823" width="12.140625" style="163" customWidth="1"/>
    <col min="2824" max="2824" width="0.42578125" style="163" customWidth="1"/>
    <col min="2825" max="2825" width="12.140625" style="163" customWidth="1"/>
    <col min="2826" max="2826" width="9.5703125" style="163" bestFit="1" customWidth="1"/>
    <col min="2827" max="2827" width="12.140625" style="163" customWidth="1"/>
    <col min="2828" max="2828" width="9.28515625" style="163" customWidth="1"/>
    <col min="2829" max="2829" width="9.42578125" style="163" customWidth="1"/>
    <col min="2830" max="3062" width="9.140625" style="163"/>
    <col min="3063" max="3063" width="0.140625" style="163" customWidth="1"/>
    <col min="3064" max="3064" width="13.7109375" style="163" customWidth="1"/>
    <col min="3065" max="3065" width="44" style="163" customWidth="1"/>
    <col min="3066" max="3066" width="0.42578125" style="163" customWidth="1"/>
    <col min="3067" max="3067" width="12.140625" style="163" customWidth="1"/>
    <col min="3068" max="3068" width="9" style="163" customWidth="1"/>
    <col min="3069" max="3069" width="12.140625" style="163" customWidth="1"/>
    <col min="3070" max="3070" width="14.85546875" style="163" customWidth="1"/>
    <col min="3071" max="3071" width="0.42578125" style="163" customWidth="1"/>
    <col min="3072" max="3072" width="12.140625" style="163" customWidth="1"/>
    <col min="3073" max="3073" width="9.5703125" style="163" bestFit="1" customWidth="1"/>
    <col min="3074" max="3074" width="12.140625" style="163" customWidth="1"/>
    <col min="3075" max="3075" width="14.85546875" style="163" customWidth="1"/>
    <col min="3076" max="3076" width="0.42578125" style="163" customWidth="1"/>
    <col min="3077" max="3077" width="12.140625" style="163" customWidth="1"/>
    <col min="3078" max="3078" width="9.5703125" style="163" bestFit="1" customWidth="1"/>
    <col min="3079" max="3079" width="12.140625" style="163" customWidth="1"/>
    <col min="3080" max="3080" width="0.42578125" style="163" customWidth="1"/>
    <col min="3081" max="3081" width="12.140625" style="163" customWidth="1"/>
    <col min="3082" max="3082" width="9.5703125" style="163" bestFit="1" customWidth="1"/>
    <col min="3083" max="3083" width="12.140625" style="163" customWidth="1"/>
    <col min="3084" max="3084" width="9.28515625" style="163" customWidth="1"/>
    <col min="3085" max="3085" width="9.42578125" style="163" customWidth="1"/>
    <col min="3086" max="3318" width="9.140625" style="163"/>
    <col min="3319" max="3319" width="0.140625" style="163" customWidth="1"/>
    <col min="3320" max="3320" width="13.7109375" style="163" customWidth="1"/>
    <col min="3321" max="3321" width="44" style="163" customWidth="1"/>
    <col min="3322" max="3322" width="0.42578125" style="163" customWidth="1"/>
    <col min="3323" max="3323" width="12.140625" style="163" customWidth="1"/>
    <col min="3324" max="3324" width="9" style="163" customWidth="1"/>
    <col min="3325" max="3325" width="12.140625" style="163" customWidth="1"/>
    <col min="3326" max="3326" width="14.85546875" style="163" customWidth="1"/>
    <col min="3327" max="3327" width="0.42578125" style="163" customWidth="1"/>
    <col min="3328" max="3328" width="12.140625" style="163" customWidth="1"/>
    <col min="3329" max="3329" width="9.5703125" style="163" bestFit="1" customWidth="1"/>
    <col min="3330" max="3330" width="12.140625" style="163" customWidth="1"/>
    <col min="3331" max="3331" width="14.85546875" style="163" customWidth="1"/>
    <col min="3332" max="3332" width="0.42578125" style="163" customWidth="1"/>
    <col min="3333" max="3333" width="12.140625" style="163" customWidth="1"/>
    <col min="3334" max="3334" width="9.5703125" style="163" bestFit="1" customWidth="1"/>
    <col min="3335" max="3335" width="12.140625" style="163" customWidth="1"/>
    <col min="3336" max="3336" width="0.42578125" style="163" customWidth="1"/>
    <col min="3337" max="3337" width="12.140625" style="163" customWidth="1"/>
    <col min="3338" max="3338" width="9.5703125" style="163" bestFit="1" customWidth="1"/>
    <col min="3339" max="3339" width="12.140625" style="163" customWidth="1"/>
    <col min="3340" max="3340" width="9.28515625" style="163" customWidth="1"/>
    <col min="3341" max="3341" width="9.42578125" style="163" customWidth="1"/>
    <col min="3342" max="3574" width="9.140625" style="163"/>
    <col min="3575" max="3575" width="0.140625" style="163" customWidth="1"/>
    <col min="3576" max="3576" width="13.7109375" style="163" customWidth="1"/>
    <col min="3577" max="3577" width="44" style="163" customWidth="1"/>
    <col min="3578" max="3578" width="0.42578125" style="163" customWidth="1"/>
    <col min="3579" max="3579" width="12.140625" style="163" customWidth="1"/>
    <col min="3580" max="3580" width="9" style="163" customWidth="1"/>
    <col min="3581" max="3581" width="12.140625" style="163" customWidth="1"/>
    <col min="3582" max="3582" width="14.85546875" style="163" customWidth="1"/>
    <col min="3583" max="3583" width="0.42578125" style="163" customWidth="1"/>
    <col min="3584" max="3584" width="12.140625" style="163" customWidth="1"/>
    <col min="3585" max="3585" width="9.5703125" style="163" bestFit="1" customWidth="1"/>
    <col min="3586" max="3586" width="12.140625" style="163" customWidth="1"/>
    <col min="3587" max="3587" width="14.85546875" style="163" customWidth="1"/>
    <col min="3588" max="3588" width="0.42578125" style="163" customWidth="1"/>
    <col min="3589" max="3589" width="12.140625" style="163" customWidth="1"/>
    <col min="3590" max="3590" width="9.5703125" style="163" bestFit="1" customWidth="1"/>
    <col min="3591" max="3591" width="12.140625" style="163" customWidth="1"/>
    <col min="3592" max="3592" width="0.42578125" style="163" customWidth="1"/>
    <col min="3593" max="3593" width="12.140625" style="163" customWidth="1"/>
    <col min="3594" max="3594" width="9.5703125" style="163" bestFit="1" customWidth="1"/>
    <col min="3595" max="3595" width="12.140625" style="163" customWidth="1"/>
    <col min="3596" max="3596" width="9.28515625" style="163" customWidth="1"/>
    <col min="3597" max="3597" width="9.42578125" style="163" customWidth="1"/>
    <col min="3598" max="3830" width="9.140625" style="163"/>
    <col min="3831" max="3831" width="0.140625" style="163" customWidth="1"/>
    <col min="3832" max="3832" width="13.7109375" style="163" customWidth="1"/>
    <col min="3833" max="3833" width="44" style="163" customWidth="1"/>
    <col min="3834" max="3834" width="0.42578125" style="163" customWidth="1"/>
    <col min="3835" max="3835" width="12.140625" style="163" customWidth="1"/>
    <col min="3836" max="3836" width="9" style="163" customWidth="1"/>
    <col min="3837" max="3837" width="12.140625" style="163" customWidth="1"/>
    <col min="3838" max="3838" width="14.85546875" style="163" customWidth="1"/>
    <col min="3839" max="3839" width="0.42578125" style="163" customWidth="1"/>
    <col min="3840" max="3840" width="12.140625" style="163" customWidth="1"/>
    <col min="3841" max="3841" width="9.5703125" style="163" bestFit="1" customWidth="1"/>
    <col min="3842" max="3842" width="12.140625" style="163" customWidth="1"/>
    <col min="3843" max="3843" width="14.85546875" style="163" customWidth="1"/>
    <col min="3844" max="3844" width="0.42578125" style="163" customWidth="1"/>
    <col min="3845" max="3845" width="12.140625" style="163" customWidth="1"/>
    <col min="3846" max="3846" width="9.5703125" style="163" bestFit="1" customWidth="1"/>
    <col min="3847" max="3847" width="12.140625" style="163" customWidth="1"/>
    <col min="3848" max="3848" width="0.42578125" style="163" customWidth="1"/>
    <col min="3849" max="3849" width="12.140625" style="163" customWidth="1"/>
    <col min="3850" max="3850" width="9.5703125" style="163" bestFit="1" customWidth="1"/>
    <col min="3851" max="3851" width="12.140625" style="163" customWidth="1"/>
    <col min="3852" max="3852" width="9.28515625" style="163" customWidth="1"/>
    <col min="3853" max="3853" width="9.42578125" style="163" customWidth="1"/>
    <col min="3854" max="4086" width="9.140625" style="163"/>
    <col min="4087" max="4087" width="0.140625" style="163" customWidth="1"/>
    <col min="4088" max="4088" width="13.7109375" style="163" customWidth="1"/>
    <col min="4089" max="4089" width="44" style="163" customWidth="1"/>
    <col min="4090" max="4090" width="0.42578125" style="163" customWidth="1"/>
    <col min="4091" max="4091" width="12.140625" style="163" customWidth="1"/>
    <col min="4092" max="4092" width="9" style="163" customWidth="1"/>
    <col min="4093" max="4093" width="12.140625" style="163" customWidth="1"/>
    <col min="4094" max="4094" width="14.85546875" style="163" customWidth="1"/>
    <col min="4095" max="4095" width="0.42578125" style="163" customWidth="1"/>
    <col min="4096" max="4096" width="12.140625" style="163" customWidth="1"/>
    <col min="4097" max="4097" width="9.5703125" style="163" bestFit="1" customWidth="1"/>
    <col min="4098" max="4098" width="12.140625" style="163" customWidth="1"/>
    <col min="4099" max="4099" width="14.85546875" style="163" customWidth="1"/>
    <col min="4100" max="4100" width="0.42578125" style="163" customWidth="1"/>
    <col min="4101" max="4101" width="12.140625" style="163" customWidth="1"/>
    <col min="4102" max="4102" width="9.5703125" style="163" bestFit="1" customWidth="1"/>
    <col min="4103" max="4103" width="12.140625" style="163" customWidth="1"/>
    <col min="4104" max="4104" width="0.42578125" style="163" customWidth="1"/>
    <col min="4105" max="4105" width="12.140625" style="163" customWidth="1"/>
    <col min="4106" max="4106" width="9.5703125" style="163" bestFit="1" customWidth="1"/>
    <col min="4107" max="4107" width="12.140625" style="163" customWidth="1"/>
    <col min="4108" max="4108" width="9.28515625" style="163" customWidth="1"/>
    <col min="4109" max="4109" width="9.42578125" style="163" customWidth="1"/>
    <col min="4110" max="4342" width="9.140625" style="163"/>
    <col min="4343" max="4343" width="0.140625" style="163" customWidth="1"/>
    <col min="4344" max="4344" width="13.7109375" style="163" customWidth="1"/>
    <col min="4345" max="4345" width="44" style="163" customWidth="1"/>
    <col min="4346" max="4346" width="0.42578125" style="163" customWidth="1"/>
    <col min="4347" max="4347" width="12.140625" style="163" customWidth="1"/>
    <col min="4348" max="4348" width="9" style="163" customWidth="1"/>
    <col min="4349" max="4349" width="12.140625" style="163" customWidth="1"/>
    <col min="4350" max="4350" width="14.85546875" style="163" customWidth="1"/>
    <col min="4351" max="4351" width="0.42578125" style="163" customWidth="1"/>
    <col min="4352" max="4352" width="12.140625" style="163" customWidth="1"/>
    <col min="4353" max="4353" width="9.5703125" style="163" bestFit="1" customWidth="1"/>
    <col min="4354" max="4354" width="12.140625" style="163" customWidth="1"/>
    <col min="4355" max="4355" width="14.85546875" style="163" customWidth="1"/>
    <col min="4356" max="4356" width="0.42578125" style="163" customWidth="1"/>
    <col min="4357" max="4357" width="12.140625" style="163" customWidth="1"/>
    <col min="4358" max="4358" width="9.5703125" style="163" bestFit="1" customWidth="1"/>
    <col min="4359" max="4359" width="12.140625" style="163" customWidth="1"/>
    <col min="4360" max="4360" width="0.42578125" style="163" customWidth="1"/>
    <col min="4361" max="4361" width="12.140625" style="163" customWidth="1"/>
    <col min="4362" max="4362" width="9.5703125" style="163" bestFit="1" customWidth="1"/>
    <col min="4363" max="4363" width="12.140625" style="163" customWidth="1"/>
    <col min="4364" max="4364" width="9.28515625" style="163" customWidth="1"/>
    <col min="4365" max="4365" width="9.42578125" style="163" customWidth="1"/>
    <col min="4366" max="4598" width="9.140625" style="163"/>
    <col min="4599" max="4599" width="0.140625" style="163" customWidth="1"/>
    <col min="4600" max="4600" width="13.7109375" style="163" customWidth="1"/>
    <col min="4601" max="4601" width="44" style="163" customWidth="1"/>
    <col min="4602" max="4602" width="0.42578125" style="163" customWidth="1"/>
    <col min="4603" max="4603" width="12.140625" style="163" customWidth="1"/>
    <col min="4604" max="4604" width="9" style="163" customWidth="1"/>
    <col min="4605" max="4605" width="12.140625" style="163" customWidth="1"/>
    <col min="4606" max="4606" width="14.85546875" style="163" customWidth="1"/>
    <col min="4607" max="4607" width="0.42578125" style="163" customWidth="1"/>
    <col min="4608" max="4608" width="12.140625" style="163" customWidth="1"/>
    <col min="4609" max="4609" width="9.5703125" style="163" bestFit="1" customWidth="1"/>
    <col min="4610" max="4610" width="12.140625" style="163" customWidth="1"/>
    <col min="4611" max="4611" width="14.85546875" style="163" customWidth="1"/>
    <col min="4612" max="4612" width="0.42578125" style="163" customWidth="1"/>
    <col min="4613" max="4613" width="12.140625" style="163" customWidth="1"/>
    <col min="4614" max="4614" width="9.5703125" style="163" bestFit="1" customWidth="1"/>
    <col min="4615" max="4615" width="12.140625" style="163" customWidth="1"/>
    <col min="4616" max="4616" width="0.42578125" style="163" customWidth="1"/>
    <col min="4617" max="4617" width="12.140625" style="163" customWidth="1"/>
    <col min="4618" max="4618" width="9.5703125" style="163" bestFit="1" customWidth="1"/>
    <col min="4619" max="4619" width="12.140625" style="163" customWidth="1"/>
    <col min="4620" max="4620" width="9.28515625" style="163" customWidth="1"/>
    <col min="4621" max="4621" width="9.42578125" style="163" customWidth="1"/>
    <col min="4622" max="4854" width="9.140625" style="163"/>
    <col min="4855" max="4855" width="0.140625" style="163" customWidth="1"/>
    <col min="4856" max="4856" width="13.7109375" style="163" customWidth="1"/>
    <col min="4857" max="4857" width="44" style="163" customWidth="1"/>
    <col min="4858" max="4858" width="0.42578125" style="163" customWidth="1"/>
    <col min="4859" max="4859" width="12.140625" style="163" customWidth="1"/>
    <col min="4860" max="4860" width="9" style="163" customWidth="1"/>
    <col min="4861" max="4861" width="12.140625" style="163" customWidth="1"/>
    <col min="4862" max="4862" width="14.85546875" style="163" customWidth="1"/>
    <col min="4863" max="4863" width="0.42578125" style="163" customWidth="1"/>
    <col min="4864" max="4864" width="12.140625" style="163" customWidth="1"/>
    <col min="4865" max="4865" width="9.5703125" style="163" bestFit="1" customWidth="1"/>
    <col min="4866" max="4866" width="12.140625" style="163" customWidth="1"/>
    <col min="4867" max="4867" width="14.85546875" style="163" customWidth="1"/>
    <col min="4868" max="4868" width="0.42578125" style="163" customWidth="1"/>
    <col min="4869" max="4869" width="12.140625" style="163" customWidth="1"/>
    <col min="4870" max="4870" width="9.5703125" style="163" bestFit="1" customWidth="1"/>
    <col min="4871" max="4871" width="12.140625" style="163" customWidth="1"/>
    <col min="4872" max="4872" width="0.42578125" style="163" customWidth="1"/>
    <col min="4873" max="4873" width="12.140625" style="163" customWidth="1"/>
    <col min="4874" max="4874" width="9.5703125" style="163" bestFit="1" customWidth="1"/>
    <col min="4875" max="4875" width="12.140625" style="163" customWidth="1"/>
    <col min="4876" max="4876" width="9.28515625" style="163" customWidth="1"/>
    <col min="4877" max="4877" width="9.42578125" style="163" customWidth="1"/>
    <col min="4878" max="5110" width="9.140625" style="163"/>
    <col min="5111" max="5111" width="0.140625" style="163" customWidth="1"/>
    <col min="5112" max="5112" width="13.7109375" style="163" customWidth="1"/>
    <col min="5113" max="5113" width="44" style="163" customWidth="1"/>
    <col min="5114" max="5114" width="0.42578125" style="163" customWidth="1"/>
    <col min="5115" max="5115" width="12.140625" style="163" customWidth="1"/>
    <col min="5116" max="5116" width="9" style="163" customWidth="1"/>
    <col min="5117" max="5117" width="12.140625" style="163" customWidth="1"/>
    <col min="5118" max="5118" width="14.85546875" style="163" customWidth="1"/>
    <col min="5119" max="5119" width="0.42578125" style="163" customWidth="1"/>
    <col min="5120" max="5120" width="12.140625" style="163" customWidth="1"/>
    <col min="5121" max="5121" width="9.5703125" style="163" bestFit="1" customWidth="1"/>
    <col min="5122" max="5122" width="12.140625" style="163" customWidth="1"/>
    <col min="5123" max="5123" width="14.85546875" style="163" customWidth="1"/>
    <col min="5124" max="5124" width="0.42578125" style="163" customWidth="1"/>
    <col min="5125" max="5125" width="12.140625" style="163" customWidth="1"/>
    <col min="5126" max="5126" width="9.5703125" style="163" bestFit="1" customWidth="1"/>
    <col min="5127" max="5127" width="12.140625" style="163" customWidth="1"/>
    <col min="5128" max="5128" width="0.42578125" style="163" customWidth="1"/>
    <col min="5129" max="5129" width="12.140625" style="163" customWidth="1"/>
    <col min="5130" max="5130" width="9.5703125" style="163" bestFit="1" customWidth="1"/>
    <col min="5131" max="5131" width="12.140625" style="163" customWidth="1"/>
    <col min="5132" max="5132" width="9.28515625" style="163" customWidth="1"/>
    <col min="5133" max="5133" width="9.42578125" style="163" customWidth="1"/>
    <col min="5134" max="5366" width="9.140625" style="163"/>
    <col min="5367" max="5367" width="0.140625" style="163" customWidth="1"/>
    <col min="5368" max="5368" width="13.7109375" style="163" customWidth="1"/>
    <col min="5369" max="5369" width="44" style="163" customWidth="1"/>
    <col min="5370" max="5370" width="0.42578125" style="163" customWidth="1"/>
    <col min="5371" max="5371" width="12.140625" style="163" customWidth="1"/>
    <col min="5372" max="5372" width="9" style="163" customWidth="1"/>
    <col min="5373" max="5373" width="12.140625" style="163" customWidth="1"/>
    <col min="5374" max="5374" width="14.85546875" style="163" customWidth="1"/>
    <col min="5375" max="5375" width="0.42578125" style="163" customWidth="1"/>
    <col min="5376" max="5376" width="12.140625" style="163" customWidth="1"/>
    <col min="5377" max="5377" width="9.5703125" style="163" bestFit="1" customWidth="1"/>
    <col min="5378" max="5378" width="12.140625" style="163" customWidth="1"/>
    <col min="5379" max="5379" width="14.85546875" style="163" customWidth="1"/>
    <col min="5380" max="5380" width="0.42578125" style="163" customWidth="1"/>
    <col min="5381" max="5381" width="12.140625" style="163" customWidth="1"/>
    <col min="5382" max="5382" width="9.5703125" style="163" bestFit="1" customWidth="1"/>
    <col min="5383" max="5383" width="12.140625" style="163" customWidth="1"/>
    <col min="5384" max="5384" width="0.42578125" style="163" customWidth="1"/>
    <col min="5385" max="5385" width="12.140625" style="163" customWidth="1"/>
    <col min="5386" max="5386" width="9.5703125" style="163" bestFit="1" customWidth="1"/>
    <col min="5387" max="5387" width="12.140625" style="163" customWidth="1"/>
    <col min="5388" max="5388" width="9.28515625" style="163" customWidth="1"/>
    <col min="5389" max="5389" width="9.42578125" style="163" customWidth="1"/>
    <col min="5390" max="5622" width="9.140625" style="163"/>
    <col min="5623" max="5623" width="0.140625" style="163" customWidth="1"/>
    <col min="5624" max="5624" width="13.7109375" style="163" customWidth="1"/>
    <col min="5625" max="5625" width="44" style="163" customWidth="1"/>
    <col min="5626" max="5626" width="0.42578125" style="163" customWidth="1"/>
    <col min="5627" max="5627" width="12.140625" style="163" customWidth="1"/>
    <col min="5628" max="5628" width="9" style="163" customWidth="1"/>
    <col min="5629" max="5629" width="12.140625" style="163" customWidth="1"/>
    <col min="5630" max="5630" width="14.85546875" style="163" customWidth="1"/>
    <col min="5631" max="5631" width="0.42578125" style="163" customWidth="1"/>
    <col min="5632" max="5632" width="12.140625" style="163" customWidth="1"/>
    <col min="5633" max="5633" width="9.5703125" style="163" bestFit="1" customWidth="1"/>
    <col min="5634" max="5634" width="12.140625" style="163" customWidth="1"/>
    <col min="5635" max="5635" width="14.85546875" style="163" customWidth="1"/>
    <col min="5636" max="5636" width="0.42578125" style="163" customWidth="1"/>
    <col min="5637" max="5637" width="12.140625" style="163" customWidth="1"/>
    <col min="5638" max="5638" width="9.5703125" style="163" bestFit="1" customWidth="1"/>
    <col min="5639" max="5639" width="12.140625" style="163" customWidth="1"/>
    <col min="5640" max="5640" width="0.42578125" style="163" customWidth="1"/>
    <col min="5641" max="5641" width="12.140625" style="163" customWidth="1"/>
    <col min="5642" max="5642" width="9.5703125" style="163" bestFit="1" customWidth="1"/>
    <col min="5643" max="5643" width="12.140625" style="163" customWidth="1"/>
    <col min="5644" max="5644" width="9.28515625" style="163" customWidth="1"/>
    <col min="5645" max="5645" width="9.42578125" style="163" customWidth="1"/>
    <col min="5646" max="5878" width="9.140625" style="163"/>
    <col min="5879" max="5879" width="0.140625" style="163" customWidth="1"/>
    <col min="5880" max="5880" width="13.7109375" style="163" customWidth="1"/>
    <col min="5881" max="5881" width="44" style="163" customWidth="1"/>
    <col min="5882" max="5882" width="0.42578125" style="163" customWidth="1"/>
    <col min="5883" max="5883" width="12.140625" style="163" customWidth="1"/>
    <col min="5884" max="5884" width="9" style="163" customWidth="1"/>
    <col min="5885" max="5885" width="12.140625" style="163" customWidth="1"/>
    <col min="5886" max="5886" width="14.85546875" style="163" customWidth="1"/>
    <col min="5887" max="5887" width="0.42578125" style="163" customWidth="1"/>
    <col min="5888" max="5888" width="12.140625" style="163" customWidth="1"/>
    <col min="5889" max="5889" width="9.5703125" style="163" bestFit="1" customWidth="1"/>
    <col min="5890" max="5890" width="12.140625" style="163" customWidth="1"/>
    <col min="5891" max="5891" width="14.85546875" style="163" customWidth="1"/>
    <col min="5892" max="5892" width="0.42578125" style="163" customWidth="1"/>
    <col min="5893" max="5893" width="12.140625" style="163" customWidth="1"/>
    <col min="5894" max="5894" width="9.5703125" style="163" bestFit="1" customWidth="1"/>
    <col min="5895" max="5895" width="12.140625" style="163" customWidth="1"/>
    <col min="5896" max="5896" width="0.42578125" style="163" customWidth="1"/>
    <col min="5897" max="5897" width="12.140625" style="163" customWidth="1"/>
    <col min="5898" max="5898" width="9.5703125" style="163" bestFit="1" customWidth="1"/>
    <col min="5899" max="5899" width="12.140625" style="163" customWidth="1"/>
    <col min="5900" max="5900" width="9.28515625" style="163" customWidth="1"/>
    <col min="5901" max="5901" width="9.42578125" style="163" customWidth="1"/>
    <col min="5902" max="6134" width="9.140625" style="163"/>
    <col min="6135" max="6135" width="0.140625" style="163" customWidth="1"/>
    <col min="6136" max="6136" width="13.7109375" style="163" customWidth="1"/>
    <col min="6137" max="6137" width="44" style="163" customWidth="1"/>
    <col min="6138" max="6138" width="0.42578125" style="163" customWidth="1"/>
    <col min="6139" max="6139" width="12.140625" style="163" customWidth="1"/>
    <col min="6140" max="6140" width="9" style="163" customWidth="1"/>
    <col min="6141" max="6141" width="12.140625" style="163" customWidth="1"/>
    <col min="6142" max="6142" width="14.85546875" style="163" customWidth="1"/>
    <col min="6143" max="6143" width="0.42578125" style="163" customWidth="1"/>
    <col min="6144" max="6144" width="12.140625" style="163" customWidth="1"/>
    <col min="6145" max="6145" width="9.5703125" style="163" bestFit="1" customWidth="1"/>
    <col min="6146" max="6146" width="12.140625" style="163" customWidth="1"/>
    <col min="6147" max="6147" width="14.85546875" style="163" customWidth="1"/>
    <col min="6148" max="6148" width="0.42578125" style="163" customWidth="1"/>
    <col min="6149" max="6149" width="12.140625" style="163" customWidth="1"/>
    <col min="6150" max="6150" width="9.5703125" style="163" bestFit="1" customWidth="1"/>
    <col min="6151" max="6151" width="12.140625" style="163" customWidth="1"/>
    <col min="6152" max="6152" width="0.42578125" style="163" customWidth="1"/>
    <col min="6153" max="6153" width="12.140625" style="163" customWidth="1"/>
    <col min="6154" max="6154" width="9.5703125" style="163" bestFit="1" customWidth="1"/>
    <col min="6155" max="6155" width="12.140625" style="163" customWidth="1"/>
    <col min="6156" max="6156" width="9.28515625" style="163" customWidth="1"/>
    <col min="6157" max="6157" width="9.42578125" style="163" customWidth="1"/>
    <col min="6158" max="6390" width="9.140625" style="163"/>
    <col min="6391" max="6391" width="0.140625" style="163" customWidth="1"/>
    <col min="6392" max="6392" width="13.7109375" style="163" customWidth="1"/>
    <col min="6393" max="6393" width="44" style="163" customWidth="1"/>
    <col min="6394" max="6394" width="0.42578125" style="163" customWidth="1"/>
    <col min="6395" max="6395" width="12.140625" style="163" customWidth="1"/>
    <col min="6396" max="6396" width="9" style="163" customWidth="1"/>
    <col min="6397" max="6397" width="12.140625" style="163" customWidth="1"/>
    <col min="6398" max="6398" width="14.85546875" style="163" customWidth="1"/>
    <col min="6399" max="6399" width="0.42578125" style="163" customWidth="1"/>
    <col min="6400" max="6400" width="12.140625" style="163" customWidth="1"/>
    <col min="6401" max="6401" width="9.5703125" style="163" bestFit="1" customWidth="1"/>
    <col min="6402" max="6402" width="12.140625" style="163" customWidth="1"/>
    <col min="6403" max="6403" width="14.85546875" style="163" customWidth="1"/>
    <col min="6404" max="6404" width="0.42578125" style="163" customWidth="1"/>
    <col min="6405" max="6405" width="12.140625" style="163" customWidth="1"/>
    <col min="6406" max="6406" width="9.5703125" style="163" bestFit="1" customWidth="1"/>
    <col min="6407" max="6407" width="12.140625" style="163" customWidth="1"/>
    <col min="6408" max="6408" width="0.42578125" style="163" customWidth="1"/>
    <col min="6409" max="6409" width="12.140625" style="163" customWidth="1"/>
    <col min="6410" max="6410" width="9.5703125" style="163" bestFit="1" customWidth="1"/>
    <col min="6411" max="6411" width="12.140625" style="163" customWidth="1"/>
    <col min="6412" max="6412" width="9.28515625" style="163" customWidth="1"/>
    <col min="6413" max="6413" width="9.42578125" style="163" customWidth="1"/>
    <col min="6414" max="6646" width="9.140625" style="163"/>
    <col min="6647" max="6647" width="0.140625" style="163" customWidth="1"/>
    <col min="6648" max="6648" width="13.7109375" style="163" customWidth="1"/>
    <col min="6649" max="6649" width="44" style="163" customWidth="1"/>
    <col min="6650" max="6650" width="0.42578125" style="163" customWidth="1"/>
    <col min="6651" max="6651" width="12.140625" style="163" customWidth="1"/>
    <col min="6652" max="6652" width="9" style="163" customWidth="1"/>
    <col min="6653" max="6653" width="12.140625" style="163" customWidth="1"/>
    <col min="6654" max="6654" width="14.85546875" style="163" customWidth="1"/>
    <col min="6655" max="6655" width="0.42578125" style="163" customWidth="1"/>
    <col min="6656" max="6656" width="12.140625" style="163" customWidth="1"/>
    <col min="6657" max="6657" width="9.5703125" style="163" bestFit="1" customWidth="1"/>
    <col min="6658" max="6658" width="12.140625" style="163" customWidth="1"/>
    <col min="6659" max="6659" width="14.85546875" style="163" customWidth="1"/>
    <col min="6660" max="6660" width="0.42578125" style="163" customWidth="1"/>
    <col min="6661" max="6661" width="12.140625" style="163" customWidth="1"/>
    <col min="6662" max="6662" width="9.5703125" style="163" bestFit="1" customWidth="1"/>
    <col min="6663" max="6663" width="12.140625" style="163" customWidth="1"/>
    <col min="6664" max="6664" width="0.42578125" style="163" customWidth="1"/>
    <col min="6665" max="6665" width="12.140625" style="163" customWidth="1"/>
    <col min="6666" max="6666" width="9.5703125" style="163" bestFit="1" customWidth="1"/>
    <col min="6667" max="6667" width="12.140625" style="163" customWidth="1"/>
    <col min="6668" max="6668" width="9.28515625" style="163" customWidth="1"/>
    <col min="6669" max="6669" width="9.42578125" style="163" customWidth="1"/>
    <col min="6670" max="6902" width="9.140625" style="163"/>
    <col min="6903" max="6903" width="0.140625" style="163" customWidth="1"/>
    <col min="6904" max="6904" width="13.7109375" style="163" customWidth="1"/>
    <col min="6905" max="6905" width="44" style="163" customWidth="1"/>
    <col min="6906" max="6906" width="0.42578125" style="163" customWidth="1"/>
    <col min="6907" max="6907" width="12.140625" style="163" customWidth="1"/>
    <col min="6908" max="6908" width="9" style="163" customWidth="1"/>
    <col min="6909" max="6909" width="12.140625" style="163" customWidth="1"/>
    <col min="6910" max="6910" width="14.85546875" style="163" customWidth="1"/>
    <col min="6911" max="6911" width="0.42578125" style="163" customWidth="1"/>
    <col min="6912" max="6912" width="12.140625" style="163" customWidth="1"/>
    <col min="6913" max="6913" width="9.5703125" style="163" bestFit="1" customWidth="1"/>
    <col min="6914" max="6914" width="12.140625" style="163" customWidth="1"/>
    <col min="6915" max="6915" width="14.85546875" style="163" customWidth="1"/>
    <col min="6916" max="6916" width="0.42578125" style="163" customWidth="1"/>
    <col min="6917" max="6917" width="12.140625" style="163" customWidth="1"/>
    <col min="6918" max="6918" width="9.5703125" style="163" bestFit="1" customWidth="1"/>
    <col min="6919" max="6919" width="12.140625" style="163" customWidth="1"/>
    <col min="6920" max="6920" width="0.42578125" style="163" customWidth="1"/>
    <col min="6921" max="6921" width="12.140625" style="163" customWidth="1"/>
    <col min="6922" max="6922" width="9.5703125" style="163" bestFit="1" customWidth="1"/>
    <col min="6923" max="6923" width="12.140625" style="163" customWidth="1"/>
    <col min="6924" max="6924" width="9.28515625" style="163" customWidth="1"/>
    <col min="6925" max="6925" width="9.42578125" style="163" customWidth="1"/>
    <col min="6926" max="7158" width="9.140625" style="163"/>
    <col min="7159" max="7159" width="0.140625" style="163" customWidth="1"/>
    <col min="7160" max="7160" width="13.7109375" style="163" customWidth="1"/>
    <col min="7161" max="7161" width="44" style="163" customWidth="1"/>
    <col min="7162" max="7162" width="0.42578125" style="163" customWidth="1"/>
    <col min="7163" max="7163" width="12.140625" style="163" customWidth="1"/>
    <col min="7164" max="7164" width="9" style="163" customWidth="1"/>
    <col min="7165" max="7165" width="12.140625" style="163" customWidth="1"/>
    <col min="7166" max="7166" width="14.85546875" style="163" customWidth="1"/>
    <col min="7167" max="7167" width="0.42578125" style="163" customWidth="1"/>
    <col min="7168" max="7168" width="12.140625" style="163" customWidth="1"/>
    <col min="7169" max="7169" width="9.5703125" style="163" bestFit="1" customWidth="1"/>
    <col min="7170" max="7170" width="12.140625" style="163" customWidth="1"/>
    <col min="7171" max="7171" width="14.85546875" style="163" customWidth="1"/>
    <col min="7172" max="7172" width="0.42578125" style="163" customWidth="1"/>
    <col min="7173" max="7173" width="12.140625" style="163" customWidth="1"/>
    <col min="7174" max="7174" width="9.5703125" style="163" bestFit="1" customWidth="1"/>
    <col min="7175" max="7175" width="12.140625" style="163" customWidth="1"/>
    <col min="7176" max="7176" width="0.42578125" style="163" customWidth="1"/>
    <col min="7177" max="7177" width="12.140625" style="163" customWidth="1"/>
    <col min="7178" max="7178" width="9.5703125" style="163" bestFit="1" customWidth="1"/>
    <col min="7179" max="7179" width="12.140625" style="163" customWidth="1"/>
    <col min="7180" max="7180" width="9.28515625" style="163" customWidth="1"/>
    <col min="7181" max="7181" width="9.42578125" style="163" customWidth="1"/>
    <col min="7182" max="7414" width="9.140625" style="163"/>
    <col min="7415" max="7415" width="0.140625" style="163" customWidth="1"/>
    <col min="7416" max="7416" width="13.7109375" style="163" customWidth="1"/>
    <col min="7417" max="7417" width="44" style="163" customWidth="1"/>
    <col min="7418" max="7418" width="0.42578125" style="163" customWidth="1"/>
    <col min="7419" max="7419" width="12.140625" style="163" customWidth="1"/>
    <col min="7420" max="7420" width="9" style="163" customWidth="1"/>
    <col min="7421" max="7421" width="12.140625" style="163" customWidth="1"/>
    <col min="7422" max="7422" width="14.85546875" style="163" customWidth="1"/>
    <col min="7423" max="7423" width="0.42578125" style="163" customWidth="1"/>
    <col min="7424" max="7424" width="12.140625" style="163" customWidth="1"/>
    <col min="7425" max="7425" width="9.5703125" style="163" bestFit="1" customWidth="1"/>
    <col min="7426" max="7426" width="12.140625" style="163" customWidth="1"/>
    <col min="7427" max="7427" width="14.85546875" style="163" customWidth="1"/>
    <col min="7428" max="7428" width="0.42578125" style="163" customWidth="1"/>
    <col min="7429" max="7429" width="12.140625" style="163" customWidth="1"/>
    <col min="7430" max="7430" width="9.5703125" style="163" bestFit="1" customWidth="1"/>
    <col min="7431" max="7431" width="12.140625" style="163" customWidth="1"/>
    <col min="7432" max="7432" width="0.42578125" style="163" customWidth="1"/>
    <col min="7433" max="7433" width="12.140625" style="163" customWidth="1"/>
    <col min="7434" max="7434" width="9.5703125" style="163" bestFit="1" customWidth="1"/>
    <col min="7435" max="7435" width="12.140625" style="163" customWidth="1"/>
    <col min="7436" max="7436" width="9.28515625" style="163" customWidth="1"/>
    <col min="7437" max="7437" width="9.42578125" style="163" customWidth="1"/>
    <col min="7438" max="7670" width="9.140625" style="163"/>
    <col min="7671" max="7671" width="0.140625" style="163" customWidth="1"/>
    <col min="7672" max="7672" width="13.7109375" style="163" customWidth="1"/>
    <col min="7673" max="7673" width="44" style="163" customWidth="1"/>
    <col min="7674" max="7674" width="0.42578125" style="163" customWidth="1"/>
    <col min="7675" max="7675" width="12.140625" style="163" customWidth="1"/>
    <col min="7676" max="7676" width="9" style="163" customWidth="1"/>
    <col min="7677" max="7677" width="12.140625" style="163" customWidth="1"/>
    <col min="7678" max="7678" width="14.85546875" style="163" customWidth="1"/>
    <col min="7679" max="7679" width="0.42578125" style="163" customWidth="1"/>
    <col min="7680" max="7680" width="12.140625" style="163" customWidth="1"/>
    <col min="7681" max="7681" width="9.5703125" style="163" bestFit="1" customWidth="1"/>
    <col min="7682" max="7682" width="12.140625" style="163" customWidth="1"/>
    <col min="7683" max="7683" width="14.85546875" style="163" customWidth="1"/>
    <col min="7684" max="7684" width="0.42578125" style="163" customWidth="1"/>
    <col min="7685" max="7685" width="12.140625" style="163" customWidth="1"/>
    <col min="7686" max="7686" width="9.5703125" style="163" bestFit="1" customWidth="1"/>
    <col min="7687" max="7687" width="12.140625" style="163" customWidth="1"/>
    <col min="7688" max="7688" width="0.42578125" style="163" customWidth="1"/>
    <col min="7689" max="7689" width="12.140625" style="163" customWidth="1"/>
    <col min="7690" max="7690" width="9.5703125" style="163" bestFit="1" customWidth="1"/>
    <col min="7691" max="7691" width="12.140625" style="163" customWidth="1"/>
    <col min="7692" max="7692" width="9.28515625" style="163" customWidth="1"/>
    <col min="7693" max="7693" width="9.42578125" style="163" customWidth="1"/>
    <col min="7694" max="7926" width="9.140625" style="163"/>
    <col min="7927" max="7927" width="0.140625" style="163" customWidth="1"/>
    <col min="7928" max="7928" width="13.7109375" style="163" customWidth="1"/>
    <col min="7929" max="7929" width="44" style="163" customWidth="1"/>
    <col min="7930" max="7930" width="0.42578125" style="163" customWidth="1"/>
    <col min="7931" max="7931" width="12.140625" style="163" customWidth="1"/>
    <col min="7932" max="7932" width="9" style="163" customWidth="1"/>
    <col min="7933" max="7933" width="12.140625" style="163" customWidth="1"/>
    <col min="7934" max="7934" width="14.85546875" style="163" customWidth="1"/>
    <col min="7935" max="7935" width="0.42578125" style="163" customWidth="1"/>
    <col min="7936" max="7936" width="12.140625" style="163" customWidth="1"/>
    <col min="7937" max="7937" width="9.5703125" style="163" bestFit="1" customWidth="1"/>
    <col min="7938" max="7938" width="12.140625" style="163" customWidth="1"/>
    <col min="7939" max="7939" width="14.85546875" style="163" customWidth="1"/>
    <col min="7940" max="7940" width="0.42578125" style="163" customWidth="1"/>
    <col min="7941" max="7941" width="12.140625" style="163" customWidth="1"/>
    <col min="7942" max="7942" width="9.5703125" style="163" bestFit="1" customWidth="1"/>
    <col min="7943" max="7943" width="12.140625" style="163" customWidth="1"/>
    <col min="7944" max="7944" width="0.42578125" style="163" customWidth="1"/>
    <col min="7945" max="7945" width="12.140625" style="163" customWidth="1"/>
    <col min="7946" max="7946" width="9.5703125" style="163" bestFit="1" customWidth="1"/>
    <col min="7947" max="7947" width="12.140625" style="163" customWidth="1"/>
    <col min="7948" max="7948" width="9.28515625" style="163" customWidth="1"/>
    <col min="7949" max="7949" width="9.42578125" style="163" customWidth="1"/>
    <col min="7950" max="8182" width="9.140625" style="163"/>
    <col min="8183" max="8183" width="0.140625" style="163" customWidth="1"/>
    <col min="8184" max="8184" width="13.7109375" style="163" customWidth="1"/>
    <col min="8185" max="8185" width="44" style="163" customWidth="1"/>
    <col min="8186" max="8186" width="0.42578125" style="163" customWidth="1"/>
    <col min="8187" max="8187" width="12.140625" style="163" customWidth="1"/>
    <col min="8188" max="8188" width="9" style="163" customWidth="1"/>
    <col min="8189" max="8189" width="12.140625" style="163" customWidth="1"/>
    <col min="8190" max="8190" width="14.85546875" style="163" customWidth="1"/>
    <col min="8191" max="8191" width="0.42578125" style="163" customWidth="1"/>
    <col min="8192" max="8192" width="12.140625" style="163" customWidth="1"/>
    <col min="8193" max="8193" width="9.5703125" style="163" bestFit="1" customWidth="1"/>
    <col min="8194" max="8194" width="12.140625" style="163" customWidth="1"/>
    <col min="8195" max="8195" width="14.85546875" style="163" customWidth="1"/>
    <col min="8196" max="8196" width="0.42578125" style="163" customWidth="1"/>
    <col min="8197" max="8197" width="12.140625" style="163" customWidth="1"/>
    <col min="8198" max="8198" width="9.5703125" style="163" bestFit="1" customWidth="1"/>
    <col min="8199" max="8199" width="12.140625" style="163" customWidth="1"/>
    <col min="8200" max="8200" width="0.42578125" style="163" customWidth="1"/>
    <col min="8201" max="8201" width="12.140625" style="163" customWidth="1"/>
    <col min="8202" max="8202" width="9.5703125" style="163" bestFit="1" customWidth="1"/>
    <col min="8203" max="8203" width="12.140625" style="163" customWidth="1"/>
    <col min="8204" max="8204" width="9.28515625" style="163" customWidth="1"/>
    <col min="8205" max="8205" width="9.42578125" style="163" customWidth="1"/>
    <col min="8206" max="8438" width="9.140625" style="163"/>
    <col min="8439" max="8439" width="0.140625" style="163" customWidth="1"/>
    <col min="8440" max="8440" width="13.7109375" style="163" customWidth="1"/>
    <col min="8441" max="8441" width="44" style="163" customWidth="1"/>
    <col min="8442" max="8442" width="0.42578125" style="163" customWidth="1"/>
    <col min="8443" max="8443" width="12.140625" style="163" customWidth="1"/>
    <col min="8444" max="8444" width="9" style="163" customWidth="1"/>
    <col min="8445" max="8445" width="12.140625" style="163" customWidth="1"/>
    <col min="8446" max="8446" width="14.85546875" style="163" customWidth="1"/>
    <col min="8447" max="8447" width="0.42578125" style="163" customWidth="1"/>
    <col min="8448" max="8448" width="12.140625" style="163" customWidth="1"/>
    <col min="8449" max="8449" width="9.5703125" style="163" bestFit="1" customWidth="1"/>
    <col min="8450" max="8450" width="12.140625" style="163" customWidth="1"/>
    <col min="8451" max="8451" width="14.85546875" style="163" customWidth="1"/>
    <col min="8452" max="8452" width="0.42578125" style="163" customWidth="1"/>
    <col min="8453" max="8453" width="12.140625" style="163" customWidth="1"/>
    <col min="8454" max="8454" width="9.5703125" style="163" bestFit="1" customWidth="1"/>
    <col min="8455" max="8455" width="12.140625" style="163" customWidth="1"/>
    <col min="8456" max="8456" width="0.42578125" style="163" customWidth="1"/>
    <col min="8457" max="8457" width="12.140625" style="163" customWidth="1"/>
    <col min="8458" max="8458" width="9.5703125" style="163" bestFit="1" customWidth="1"/>
    <col min="8459" max="8459" width="12.140625" style="163" customWidth="1"/>
    <col min="8460" max="8460" width="9.28515625" style="163" customWidth="1"/>
    <col min="8461" max="8461" width="9.42578125" style="163" customWidth="1"/>
    <col min="8462" max="8694" width="9.140625" style="163"/>
    <col min="8695" max="8695" width="0.140625" style="163" customWidth="1"/>
    <col min="8696" max="8696" width="13.7109375" style="163" customWidth="1"/>
    <col min="8697" max="8697" width="44" style="163" customWidth="1"/>
    <col min="8698" max="8698" width="0.42578125" style="163" customWidth="1"/>
    <col min="8699" max="8699" width="12.140625" style="163" customWidth="1"/>
    <col min="8700" max="8700" width="9" style="163" customWidth="1"/>
    <col min="8701" max="8701" width="12.140625" style="163" customWidth="1"/>
    <col min="8702" max="8702" width="14.85546875" style="163" customWidth="1"/>
    <col min="8703" max="8703" width="0.42578125" style="163" customWidth="1"/>
    <col min="8704" max="8704" width="12.140625" style="163" customWidth="1"/>
    <col min="8705" max="8705" width="9.5703125" style="163" bestFit="1" customWidth="1"/>
    <col min="8706" max="8706" width="12.140625" style="163" customWidth="1"/>
    <col min="8707" max="8707" width="14.85546875" style="163" customWidth="1"/>
    <col min="8708" max="8708" width="0.42578125" style="163" customWidth="1"/>
    <col min="8709" max="8709" width="12.140625" style="163" customWidth="1"/>
    <col min="8710" max="8710" width="9.5703125" style="163" bestFit="1" customWidth="1"/>
    <col min="8711" max="8711" width="12.140625" style="163" customWidth="1"/>
    <col min="8712" max="8712" width="0.42578125" style="163" customWidth="1"/>
    <col min="8713" max="8713" width="12.140625" style="163" customWidth="1"/>
    <col min="8714" max="8714" width="9.5703125" style="163" bestFit="1" customWidth="1"/>
    <col min="8715" max="8715" width="12.140625" style="163" customWidth="1"/>
    <col min="8716" max="8716" width="9.28515625" style="163" customWidth="1"/>
    <col min="8717" max="8717" width="9.42578125" style="163" customWidth="1"/>
    <col min="8718" max="8950" width="9.140625" style="163"/>
    <col min="8951" max="8951" width="0.140625" style="163" customWidth="1"/>
    <col min="8952" max="8952" width="13.7109375" style="163" customWidth="1"/>
    <col min="8953" max="8953" width="44" style="163" customWidth="1"/>
    <col min="8954" max="8954" width="0.42578125" style="163" customWidth="1"/>
    <col min="8955" max="8955" width="12.140625" style="163" customWidth="1"/>
    <col min="8956" max="8956" width="9" style="163" customWidth="1"/>
    <col min="8957" max="8957" width="12.140625" style="163" customWidth="1"/>
    <col min="8958" max="8958" width="14.85546875" style="163" customWidth="1"/>
    <col min="8959" max="8959" width="0.42578125" style="163" customWidth="1"/>
    <col min="8960" max="8960" width="12.140625" style="163" customWidth="1"/>
    <col min="8961" max="8961" width="9.5703125" style="163" bestFit="1" customWidth="1"/>
    <col min="8962" max="8962" width="12.140625" style="163" customWidth="1"/>
    <col min="8963" max="8963" width="14.85546875" style="163" customWidth="1"/>
    <col min="8964" max="8964" width="0.42578125" style="163" customWidth="1"/>
    <col min="8965" max="8965" width="12.140625" style="163" customWidth="1"/>
    <col min="8966" max="8966" width="9.5703125" style="163" bestFit="1" customWidth="1"/>
    <col min="8967" max="8967" width="12.140625" style="163" customWidth="1"/>
    <col min="8968" max="8968" width="0.42578125" style="163" customWidth="1"/>
    <col min="8969" max="8969" width="12.140625" style="163" customWidth="1"/>
    <col min="8970" max="8970" width="9.5703125" style="163" bestFit="1" customWidth="1"/>
    <col min="8971" max="8971" width="12.140625" style="163" customWidth="1"/>
    <col min="8972" max="8972" width="9.28515625" style="163" customWidth="1"/>
    <col min="8973" max="8973" width="9.42578125" style="163" customWidth="1"/>
    <col min="8974" max="9206" width="9.140625" style="163"/>
    <col min="9207" max="9207" width="0.140625" style="163" customWidth="1"/>
    <col min="9208" max="9208" width="13.7109375" style="163" customWidth="1"/>
    <col min="9209" max="9209" width="44" style="163" customWidth="1"/>
    <col min="9210" max="9210" width="0.42578125" style="163" customWidth="1"/>
    <col min="9211" max="9211" width="12.140625" style="163" customWidth="1"/>
    <col min="9212" max="9212" width="9" style="163" customWidth="1"/>
    <col min="9213" max="9213" width="12.140625" style="163" customWidth="1"/>
    <col min="9214" max="9214" width="14.85546875" style="163" customWidth="1"/>
    <col min="9215" max="9215" width="0.42578125" style="163" customWidth="1"/>
    <col min="9216" max="9216" width="12.140625" style="163" customWidth="1"/>
    <col min="9217" max="9217" width="9.5703125" style="163" bestFit="1" customWidth="1"/>
    <col min="9218" max="9218" width="12.140625" style="163" customWidth="1"/>
    <col min="9219" max="9219" width="14.85546875" style="163" customWidth="1"/>
    <col min="9220" max="9220" width="0.42578125" style="163" customWidth="1"/>
    <col min="9221" max="9221" width="12.140625" style="163" customWidth="1"/>
    <col min="9222" max="9222" width="9.5703125" style="163" bestFit="1" customWidth="1"/>
    <col min="9223" max="9223" width="12.140625" style="163" customWidth="1"/>
    <col min="9224" max="9224" width="0.42578125" style="163" customWidth="1"/>
    <col min="9225" max="9225" width="12.140625" style="163" customWidth="1"/>
    <col min="9226" max="9226" width="9.5703125" style="163" bestFit="1" customWidth="1"/>
    <col min="9227" max="9227" width="12.140625" style="163" customWidth="1"/>
    <col min="9228" max="9228" width="9.28515625" style="163" customWidth="1"/>
    <col min="9229" max="9229" width="9.42578125" style="163" customWidth="1"/>
    <col min="9230" max="9462" width="9.140625" style="163"/>
    <col min="9463" max="9463" width="0.140625" style="163" customWidth="1"/>
    <col min="9464" max="9464" width="13.7109375" style="163" customWidth="1"/>
    <col min="9465" max="9465" width="44" style="163" customWidth="1"/>
    <col min="9466" max="9466" width="0.42578125" style="163" customWidth="1"/>
    <col min="9467" max="9467" width="12.140625" style="163" customWidth="1"/>
    <col min="9468" max="9468" width="9" style="163" customWidth="1"/>
    <col min="9469" max="9469" width="12.140625" style="163" customWidth="1"/>
    <col min="9470" max="9470" width="14.85546875" style="163" customWidth="1"/>
    <col min="9471" max="9471" width="0.42578125" style="163" customWidth="1"/>
    <col min="9472" max="9472" width="12.140625" style="163" customWidth="1"/>
    <col min="9473" max="9473" width="9.5703125" style="163" bestFit="1" customWidth="1"/>
    <col min="9474" max="9474" width="12.140625" style="163" customWidth="1"/>
    <col min="9475" max="9475" width="14.85546875" style="163" customWidth="1"/>
    <col min="9476" max="9476" width="0.42578125" style="163" customWidth="1"/>
    <col min="9477" max="9477" width="12.140625" style="163" customWidth="1"/>
    <col min="9478" max="9478" width="9.5703125" style="163" bestFit="1" customWidth="1"/>
    <col min="9479" max="9479" width="12.140625" style="163" customWidth="1"/>
    <col min="9480" max="9480" width="0.42578125" style="163" customWidth="1"/>
    <col min="9481" max="9481" width="12.140625" style="163" customWidth="1"/>
    <col min="9482" max="9482" width="9.5703125" style="163" bestFit="1" customWidth="1"/>
    <col min="9483" max="9483" width="12.140625" style="163" customWidth="1"/>
    <col min="9484" max="9484" width="9.28515625" style="163" customWidth="1"/>
    <col min="9485" max="9485" width="9.42578125" style="163" customWidth="1"/>
    <col min="9486" max="9718" width="9.140625" style="163"/>
    <col min="9719" max="9719" width="0.140625" style="163" customWidth="1"/>
    <col min="9720" max="9720" width="13.7109375" style="163" customWidth="1"/>
    <col min="9721" max="9721" width="44" style="163" customWidth="1"/>
    <col min="9722" max="9722" width="0.42578125" style="163" customWidth="1"/>
    <col min="9723" max="9723" width="12.140625" style="163" customWidth="1"/>
    <col min="9724" max="9724" width="9" style="163" customWidth="1"/>
    <col min="9725" max="9725" width="12.140625" style="163" customWidth="1"/>
    <col min="9726" max="9726" width="14.85546875" style="163" customWidth="1"/>
    <col min="9727" max="9727" width="0.42578125" style="163" customWidth="1"/>
    <col min="9728" max="9728" width="12.140625" style="163" customWidth="1"/>
    <col min="9729" max="9729" width="9.5703125" style="163" bestFit="1" customWidth="1"/>
    <col min="9730" max="9730" width="12.140625" style="163" customWidth="1"/>
    <col min="9731" max="9731" width="14.85546875" style="163" customWidth="1"/>
    <col min="9732" max="9732" width="0.42578125" style="163" customWidth="1"/>
    <col min="9733" max="9733" width="12.140625" style="163" customWidth="1"/>
    <col min="9734" max="9734" width="9.5703125" style="163" bestFit="1" customWidth="1"/>
    <col min="9735" max="9735" width="12.140625" style="163" customWidth="1"/>
    <col min="9736" max="9736" width="0.42578125" style="163" customWidth="1"/>
    <col min="9737" max="9737" width="12.140625" style="163" customWidth="1"/>
    <col min="9738" max="9738" width="9.5703125" style="163" bestFit="1" customWidth="1"/>
    <col min="9739" max="9739" width="12.140625" style="163" customWidth="1"/>
    <col min="9740" max="9740" width="9.28515625" style="163" customWidth="1"/>
    <col min="9741" max="9741" width="9.42578125" style="163" customWidth="1"/>
    <col min="9742" max="9974" width="9.140625" style="163"/>
    <col min="9975" max="9975" width="0.140625" style="163" customWidth="1"/>
    <col min="9976" max="9976" width="13.7109375" style="163" customWidth="1"/>
    <col min="9977" max="9977" width="44" style="163" customWidth="1"/>
    <col min="9978" max="9978" width="0.42578125" style="163" customWidth="1"/>
    <col min="9979" max="9979" width="12.140625" style="163" customWidth="1"/>
    <col min="9980" max="9980" width="9" style="163" customWidth="1"/>
    <col min="9981" max="9981" width="12.140625" style="163" customWidth="1"/>
    <col min="9982" max="9982" width="14.85546875" style="163" customWidth="1"/>
    <col min="9983" max="9983" width="0.42578125" style="163" customWidth="1"/>
    <col min="9984" max="9984" width="12.140625" style="163" customWidth="1"/>
    <col min="9985" max="9985" width="9.5703125" style="163" bestFit="1" customWidth="1"/>
    <col min="9986" max="9986" width="12.140625" style="163" customWidth="1"/>
    <col min="9987" max="9987" width="14.85546875" style="163" customWidth="1"/>
    <col min="9988" max="9988" width="0.42578125" style="163" customWidth="1"/>
    <col min="9989" max="9989" width="12.140625" style="163" customWidth="1"/>
    <col min="9990" max="9990" width="9.5703125" style="163" bestFit="1" customWidth="1"/>
    <col min="9991" max="9991" width="12.140625" style="163" customWidth="1"/>
    <col min="9992" max="9992" width="0.42578125" style="163" customWidth="1"/>
    <col min="9993" max="9993" width="12.140625" style="163" customWidth="1"/>
    <col min="9994" max="9994" width="9.5703125" style="163" bestFit="1" customWidth="1"/>
    <col min="9995" max="9995" width="12.140625" style="163" customWidth="1"/>
    <col min="9996" max="9996" width="9.28515625" style="163" customWidth="1"/>
    <col min="9997" max="9997" width="9.42578125" style="163" customWidth="1"/>
    <col min="9998" max="10230" width="9.140625" style="163"/>
    <col min="10231" max="10231" width="0.140625" style="163" customWidth="1"/>
    <col min="10232" max="10232" width="13.7109375" style="163" customWidth="1"/>
    <col min="10233" max="10233" width="44" style="163" customWidth="1"/>
    <col min="10234" max="10234" width="0.42578125" style="163" customWidth="1"/>
    <col min="10235" max="10235" width="12.140625" style="163" customWidth="1"/>
    <col min="10236" max="10236" width="9" style="163" customWidth="1"/>
    <col min="10237" max="10237" width="12.140625" style="163" customWidth="1"/>
    <col min="10238" max="10238" width="14.85546875" style="163" customWidth="1"/>
    <col min="10239" max="10239" width="0.42578125" style="163" customWidth="1"/>
    <col min="10240" max="10240" width="12.140625" style="163" customWidth="1"/>
    <col min="10241" max="10241" width="9.5703125" style="163" bestFit="1" customWidth="1"/>
    <col min="10242" max="10242" width="12.140625" style="163" customWidth="1"/>
    <col min="10243" max="10243" width="14.85546875" style="163" customWidth="1"/>
    <col min="10244" max="10244" width="0.42578125" style="163" customWidth="1"/>
    <col min="10245" max="10245" width="12.140625" style="163" customWidth="1"/>
    <col min="10246" max="10246" width="9.5703125" style="163" bestFit="1" customWidth="1"/>
    <col min="10247" max="10247" width="12.140625" style="163" customWidth="1"/>
    <col min="10248" max="10248" width="0.42578125" style="163" customWidth="1"/>
    <col min="10249" max="10249" width="12.140625" style="163" customWidth="1"/>
    <col min="10250" max="10250" width="9.5703125" style="163" bestFit="1" customWidth="1"/>
    <col min="10251" max="10251" width="12.140625" style="163" customWidth="1"/>
    <col min="10252" max="10252" width="9.28515625" style="163" customWidth="1"/>
    <col min="10253" max="10253" width="9.42578125" style="163" customWidth="1"/>
    <col min="10254" max="10486" width="9.140625" style="163"/>
    <col min="10487" max="10487" width="0.140625" style="163" customWidth="1"/>
    <col min="10488" max="10488" width="13.7109375" style="163" customWidth="1"/>
    <col min="10489" max="10489" width="44" style="163" customWidth="1"/>
    <col min="10490" max="10490" width="0.42578125" style="163" customWidth="1"/>
    <col min="10491" max="10491" width="12.140625" style="163" customWidth="1"/>
    <col min="10492" max="10492" width="9" style="163" customWidth="1"/>
    <col min="10493" max="10493" width="12.140625" style="163" customWidth="1"/>
    <col min="10494" max="10494" width="14.85546875" style="163" customWidth="1"/>
    <col min="10495" max="10495" width="0.42578125" style="163" customWidth="1"/>
    <col min="10496" max="10496" width="12.140625" style="163" customWidth="1"/>
    <col min="10497" max="10497" width="9.5703125" style="163" bestFit="1" customWidth="1"/>
    <col min="10498" max="10498" width="12.140625" style="163" customWidth="1"/>
    <col min="10499" max="10499" width="14.85546875" style="163" customWidth="1"/>
    <col min="10500" max="10500" width="0.42578125" style="163" customWidth="1"/>
    <col min="10501" max="10501" width="12.140625" style="163" customWidth="1"/>
    <col min="10502" max="10502" width="9.5703125" style="163" bestFit="1" customWidth="1"/>
    <col min="10503" max="10503" width="12.140625" style="163" customWidth="1"/>
    <col min="10504" max="10504" width="0.42578125" style="163" customWidth="1"/>
    <col min="10505" max="10505" width="12.140625" style="163" customWidth="1"/>
    <col min="10506" max="10506" width="9.5703125" style="163" bestFit="1" customWidth="1"/>
    <col min="10507" max="10507" width="12.140625" style="163" customWidth="1"/>
    <col min="10508" max="10508" width="9.28515625" style="163" customWidth="1"/>
    <col min="10509" max="10509" width="9.42578125" style="163" customWidth="1"/>
    <col min="10510" max="10742" width="9.140625" style="163"/>
    <col min="10743" max="10743" width="0.140625" style="163" customWidth="1"/>
    <col min="10744" max="10744" width="13.7109375" style="163" customWidth="1"/>
    <col min="10745" max="10745" width="44" style="163" customWidth="1"/>
    <col min="10746" max="10746" width="0.42578125" style="163" customWidth="1"/>
    <col min="10747" max="10747" width="12.140625" style="163" customWidth="1"/>
    <col min="10748" max="10748" width="9" style="163" customWidth="1"/>
    <col min="10749" max="10749" width="12.140625" style="163" customWidth="1"/>
    <col min="10750" max="10750" width="14.85546875" style="163" customWidth="1"/>
    <col min="10751" max="10751" width="0.42578125" style="163" customWidth="1"/>
    <col min="10752" max="10752" width="12.140625" style="163" customWidth="1"/>
    <col min="10753" max="10753" width="9.5703125" style="163" bestFit="1" customWidth="1"/>
    <col min="10754" max="10754" width="12.140625" style="163" customWidth="1"/>
    <col min="10755" max="10755" width="14.85546875" style="163" customWidth="1"/>
    <col min="10756" max="10756" width="0.42578125" style="163" customWidth="1"/>
    <col min="10757" max="10757" width="12.140625" style="163" customWidth="1"/>
    <col min="10758" max="10758" width="9.5703125" style="163" bestFit="1" customWidth="1"/>
    <col min="10759" max="10759" width="12.140625" style="163" customWidth="1"/>
    <col min="10760" max="10760" width="0.42578125" style="163" customWidth="1"/>
    <col min="10761" max="10761" width="12.140625" style="163" customWidth="1"/>
    <col min="10762" max="10762" width="9.5703125" style="163" bestFit="1" customWidth="1"/>
    <col min="10763" max="10763" width="12.140625" style="163" customWidth="1"/>
    <col min="10764" max="10764" width="9.28515625" style="163" customWidth="1"/>
    <col min="10765" max="10765" width="9.42578125" style="163" customWidth="1"/>
    <col min="10766" max="10998" width="9.140625" style="163"/>
    <col min="10999" max="10999" width="0.140625" style="163" customWidth="1"/>
    <col min="11000" max="11000" width="13.7109375" style="163" customWidth="1"/>
    <col min="11001" max="11001" width="44" style="163" customWidth="1"/>
    <col min="11002" max="11002" width="0.42578125" style="163" customWidth="1"/>
    <col min="11003" max="11003" width="12.140625" style="163" customWidth="1"/>
    <col min="11004" max="11004" width="9" style="163" customWidth="1"/>
    <col min="11005" max="11005" width="12.140625" style="163" customWidth="1"/>
    <col min="11006" max="11006" width="14.85546875" style="163" customWidth="1"/>
    <col min="11007" max="11007" width="0.42578125" style="163" customWidth="1"/>
    <col min="11008" max="11008" width="12.140625" style="163" customWidth="1"/>
    <col min="11009" max="11009" width="9.5703125" style="163" bestFit="1" customWidth="1"/>
    <col min="11010" max="11010" width="12.140625" style="163" customWidth="1"/>
    <col min="11011" max="11011" width="14.85546875" style="163" customWidth="1"/>
    <col min="11012" max="11012" width="0.42578125" style="163" customWidth="1"/>
    <col min="11013" max="11013" width="12.140625" style="163" customWidth="1"/>
    <col min="11014" max="11014" width="9.5703125" style="163" bestFit="1" customWidth="1"/>
    <col min="11015" max="11015" width="12.140625" style="163" customWidth="1"/>
    <col min="11016" max="11016" width="0.42578125" style="163" customWidth="1"/>
    <col min="11017" max="11017" width="12.140625" style="163" customWidth="1"/>
    <col min="11018" max="11018" width="9.5703125" style="163" bestFit="1" customWidth="1"/>
    <col min="11019" max="11019" width="12.140625" style="163" customWidth="1"/>
    <col min="11020" max="11020" width="9.28515625" style="163" customWidth="1"/>
    <col min="11021" max="11021" width="9.42578125" style="163" customWidth="1"/>
    <col min="11022" max="11254" width="9.140625" style="163"/>
    <col min="11255" max="11255" width="0.140625" style="163" customWidth="1"/>
    <col min="11256" max="11256" width="13.7109375" style="163" customWidth="1"/>
    <col min="11257" max="11257" width="44" style="163" customWidth="1"/>
    <col min="11258" max="11258" width="0.42578125" style="163" customWidth="1"/>
    <col min="11259" max="11259" width="12.140625" style="163" customWidth="1"/>
    <col min="11260" max="11260" width="9" style="163" customWidth="1"/>
    <col min="11261" max="11261" width="12.140625" style="163" customWidth="1"/>
    <col min="11262" max="11262" width="14.85546875" style="163" customWidth="1"/>
    <col min="11263" max="11263" width="0.42578125" style="163" customWidth="1"/>
    <col min="11264" max="11264" width="12.140625" style="163" customWidth="1"/>
    <col min="11265" max="11265" width="9.5703125" style="163" bestFit="1" customWidth="1"/>
    <col min="11266" max="11266" width="12.140625" style="163" customWidth="1"/>
    <col min="11267" max="11267" width="14.85546875" style="163" customWidth="1"/>
    <col min="11268" max="11268" width="0.42578125" style="163" customWidth="1"/>
    <col min="11269" max="11269" width="12.140625" style="163" customWidth="1"/>
    <col min="11270" max="11270" width="9.5703125" style="163" bestFit="1" customWidth="1"/>
    <col min="11271" max="11271" width="12.140625" style="163" customWidth="1"/>
    <col min="11272" max="11272" width="0.42578125" style="163" customWidth="1"/>
    <col min="11273" max="11273" width="12.140625" style="163" customWidth="1"/>
    <col min="11274" max="11274" width="9.5703125" style="163" bestFit="1" customWidth="1"/>
    <col min="11275" max="11275" width="12.140625" style="163" customWidth="1"/>
    <col min="11276" max="11276" width="9.28515625" style="163" customWidth="1"/>
    <col min="11277" max="11277" width="9.42578125" style="163" customWidth="1"/>
    <col min="11278" max="11510" width="9.140625" style="163"/>
    <col min="11511" max="11511" width="0.140625" style="163" customWidth="1"/>
    <col min="11512" max="11512" width="13.7109375" style="163" customWidth="1"/>
    <col min="11513" max="11513" width="44" style="163" customWidth="1"/>
    <col min="11514" max="11514" width="0.42578125" style="163" customWidth="1"/>
    <col min="11515" max="11515" width="12.140625" style="163" customWidth="1"/>
    <col min="11516" max="11516" width="9" style="163" customWidth="1"/>
    <col min="11517" max="11517" width="12.140625" style="163" customWidth="1"/>
    <col min="11518" max="11518" width="14.85546875" style="163" customWidth="1"/>
    <col min="11519" max="11519" width="0.42578125" style="163" customWidth="1"/>
    <col min="11520" max="11520" width="12.140625" style="163" customWidth="1"/>
    <col min="11521" max="11521" width="9.5703125" style="163" bestFit="1" customWidth="1"/>
    <col min="11522" max="11522" width="12.140625" style="163" customWidth="1"/>
    <col min="11523" max="11523" width="14.85546875" style="163" customWidth="1"/>
    <col min="11524" max="11524" width="0.42578125" style="163" customWidth="1"/>
    <col min="11525" max="11525" width="12.140625" style="163" customWidth="1"/>
    <col min="11526" max="11526" width="9.5703125" style="163" bestFit="1" customWidth="1"/>
    <col min="11527" max="11527" width="12.140625" style="163" customWidth="1"/>
    <col min="11528" max="11528" width="0.42578125" style="163" customWidth="1"/>
    <col min="11529" max="11529" width="12.140625" style="163" customWidth="1"/>
    <col min="11530" max="11530" width="9.5703125" style="163" bestFit="1" customWidth="1"/>
    <col min="11531" max="11531" width="12.140625" style="163" customWidth="1"/>
    <col min="11532" max="11532" width="9.28515625" style="163" customWidth="1"/>
    <col min="11533" max="11533" width="9.42578125" style="163" customWidth="1"/>
    <col min="11534" max="11766" width="9.140625" style="163"/>
    <col min="11767" max="11767" width="0.140625" style="163" customWidth="1"/>
    <col min="11768" max="11768" width="13.7109375" style="163" customWidth="1"/>
    <col min="11769" max="11769" width="44" style="163" customWidth="1"/>
    <col min="11770" max="11770" width="0.42578125" style="163" customWidth="1"/>
    <col min="11771" max="11771" width="12.140625" style="163" customWidth="1"/>
    <col min="11772" max="11772" width="9" style="163" customWidth="1"/>
    <col min="11773" max="11773" width="12.140625" style="163" customWidth="1"/>
    <col min="11774" max="11774" width="14.85546875" style="163" customWidth="1"/>
    <col min="11775" max="11775" width="0.42578125" style="163" customWidth="1"/>
    <col min="11776" max="11776" width="12.140625" style="163" customWidth="1"/>
    <col min="11777" max="11777" width="9.5703125" style="163" bestFit="1" customWidth="1"/>
    <col min="11778" max="11778" width="12.140625" style="163" customWidth="1"/>
    <col min="11779" max="11779" width="14.85546875" style="163" customWidth="1"/>
    <col min="11780" max="11780" width="0.42578125" style="163" customWidth="1"/>
    <col min="11781" max="11781" width="12.140625" style="163" customWidth="1"/>
    <col min="11782" max="11782" width="9.5703125" style="163" bestFit="1" customWidth="1"/>
    <col min="11783" max="11783" width="12.140625" style="163" customWidth="1"/>
    <col min="11784" max="11784" width="0.42578125" style="163" customWidth="1"/>
    <col min="11785" max="11785" width="12.140625" style="163" customWidth="1"/>
    <col min="11786" max="11786" width="9.5703125" style="163" bestFit="1" customWidth="1"/>
    <col min="11787" max="11787" width="12.140625" style="163" customWidth="1"/>
    <col min="11788" max="11788" width="9.28515625" style="163" customWidth="1"/>
    <col min="11789" max="11789" width="9.42578125" style="163" customWidth="1"/>
    <col min="11790" max="12022" width="9.140625" style="163"/>
    <col min="12023" max="12023" width="0.140625" style="163" customWidth="1"/>
    <col min="12024" max="12024" width="13.7109375" style="163" customWidth="1"/>
    <col min="12025" max="12025" width="44" style="163" customWidth="1"/>
    <col min="12026" max="12026" width="0.42578125" style="163" customWidth="1"/>
    <col min="12027" max="12027" width="12.140625" style="163" customWidth="1"/>
    <col min="12028" max="12028" width="9" style="163" customWidth="1"/>
    <col min="12029" max="12029" width="12.140625" style="163" customWidth="1"/>
    <col min="12030" max="12030" width="14.85546875" style="163" customWidth="1"/>
    <col min="12031" max="12031" width="0.42578125" style="163" customWidth="1"/>
    <col min="12032" max="12032" width="12.140625" style="163" customWidth="1"/>
    <col min="12033" max="12033" width="9.5703125" style="163" bestFit="1" customWidth="1"/>
    <col min="12034" max="12034" width="12.140625" style="163" customWidth="1"/>
    <col min="12035" max="12035" width="14.85546875" style="163" customWidth="1"/>
    <col min="12036" max="12036" width="0.42578125" style="163" customWidth="1"/>
    <col min="12037" max="12037" width="12.140625" style="163" customWidth="1"/>
    <col min="12038" max="12038" width="9.5703125" style="163" bestFit="1" customWidth="1"/>
    <col min="12039" max="12039" width="12.140625" style="163" customWidth="1"/>
    <col min="12040" max="12040" width="0.42578125" style="163" customWidth="1"/>
    <col min="12041" max="12041" width="12.140625" style="163" customWidth="1"/>
    <col min="12042" max="12042" width="9.5703125" style="163" bestFit="1" customWidth="1"/>
    <col min="12043" max="12043" width="12.140625" style="163" customWidth="1"/>
    <col min="12044" max="12044" width="9.28515625" style="163" customWidth="1"/>
    <col min="12045" max="12045" width="9.42578125" style="163" customWidth="1"/>
    <col min="12046" max="12278" width="9.140625" style="163"/>
    <col min="12279" max="12279" width="0.140625" style="163" customWidth="1"/>
    <col min="12280" max="12280" width="13.7109375" style="163" customWidth="1"/>
    <col min="12281" max="12281" width="44" style="163" customWidth="1"/>
    <col min="12282" max="12282" width="0.42578125" style="163" customWidth="1"/>
    <col min="12283" max="12283" width="12.140625" style="163" customWidth="1"/>
    <col min="12284" max="12284" width="9" style="163" customWidth="1"/>
    <col min="12285" max="12285" width="12.140625" style="163" customWidth="1"/>
    <col min="12286" max="12286" width="14.85546875" style="163" customWidth="1"/>
    <col min="12287" max="12287" width="0.42578125" style="163" customWidth="1"/>
    <col min="12288" max="12288" width="12.140625" style="163" customWidth="1"/>
    <col min="12289" max="12289" width="9.5703125" style="163" bestFit="1" customWidth="1"/>
    <col min="12290" max="12290" width="12.140625" style="163" customWidth="1"/>
    <col min="12291" max="12291" width="14.85546875" style="163" customWidth="1"/>
    <col min="12292" max="12292" width="0.42578125" style="163" customWidth="1"/>
    <col min="12293" max="12293" width="12.140625" style="163" customWidth="1"/>
    <col min="12294" max="12294" width="9.5703125" style="163" bestFit="1" customWidth="1"/>
    <col min="12295" max="12295" width="12.140625" style="163" customWidth="1"/>
    <col min="12296" max="12296" width="0.42578125" style="163" customWidth="1"/>
    <col min="12297" max="12297" width="12.140625" style="163" customWidth="1"/>
    <col min="12298" max="12298" width="9.5703125" style="163" bestFit="1" customWidth="1"/>
    <col min="12299" max="12299" width="12.140625" style="163" customWidth="1"/>
    <col min="12300" max="12300" width="9.28515625" style="163" customWidth="1"/>
    <col min="12301" max="12301" width="9.42578125" style="163" customWidth="1"/>
    <col min="12302" max="12534" width="9.140625" style="163"/>
    <col min="12535" max="12535" width="0.140625" style="163" customWidth="1"/>
    <col min="12536" max="12536" width="13.7109375" style="163" customWidth="1"/>
    <col min="12537" max="12537" width="44" style="163" customWidth="1"/>
    <col min="12538" max="12538" width="0.42578125" style="163" customWidth="1"/>
    <col min="12539" max="12539" width="12.140625" style="163" customWidth="1"/>
    <col min="12540" max="12540" width="9" style="163" customWidth="1"/>
    <col min="12541" max="12541" width="12.140625" style="163" customWidth="1"/>
    <col min="12542" max="12542" width="14.85546875" style="163" customWidth="1"/>
    <col min="12543" max="12543" width="0.42578125" style="163" customWidth="1"/>
    <col min="12544" max="12544" width="12.140625" style="163" customWidth="1"/>
    <col min="12545" max="12545" width="9.5703125" style="163" bestFit="1" customWidth="1"/>
    <col min="12546" max="12546" width="12.140625" style="163" customWidth="1"/>
    <col min="12547" max="12547" width="14.85546875" style="163" customWidth="1"/>
    <col min="12548" max="12548" width="0.42578125" style="163" customWidth="1"/>
    <col min="12549" max="12549" width="12.140625" style="163" customWidth="1"/>
    <col min="12550" max="12550" width="9.5703125" style="163" bestFit="1" customWidth="1"/>
    <col min="12551" max="12551" width="12.140625" style="163" customWidth="1"/>
    <col min="12552" max="12552" width="0.42578125" style="163" customWidth="1"/>
    <col min="12553" max="12553" width="12.140625" style="163" customWidth="1"/>
    <col min="12554" max="12554" width="9.5703125" style="163" bestFit="1" customWidth="1"/>
    <col min="12555" max="12555" width="12.140625" style="163" customWidth="1"/>
    <col min="12556" max="12556" width="9.28515625" style="163" customWidth="1"/>
    <col min="12557" max="12557" width="9.42578125" style="163" customWidth="1"/>
    <col min="12558" max="12790" width="9.140625" style="163"/>
    <col min="12791" max="12791" width="0.140625" style="163" customWidth="1"/>
    <col min="12792" max="12792" width="13.7109375" style="163" customWidth="1"/>
    <col min="12793" max="12793" width="44" style="163" customWidth="1"/>
    <col min="12794" max="12794" width="0.42578125" style="163" customWidth="1"/>
    <col min="12795" max="12795" width="12.140625" style="163" customWidth="1"/>
    <col min="12796" max="12796" width="9" style="163" customWidth="1"/>
    <col min="12797" max="12797" width="12.140625" style="163" customWidth="1"/>
    <col min="12798" max="12798" width="14.85546875" style="163" customWidth="1"/>
    <col min="12799" max="12799" width="0.42578125" style="163" customWidth="1"/>
    <col min="12800" max="12800" width="12.140625" style="163" customWidth="1"/>
    <col min="12801" max="12801" width="9.5703125" style="163" bestFit="1" customWidth="1"/>
    <col min="12802" max="12802" width="12.140625" style="163" customWidth="1"/>
    <col min="12803" max="12803" width="14.85546875" style="163" customWidth="1"/>
    <col min="12804" max="12804" width="0.42578125" style="163" customWidth="1"/>
    <col min="12805" max="12805" width="12.140625" style="163" customWidth="1"/>
    <col min="12806" max="12806" width="9.5703125" style="163" bestFit="1" customWidth="1"/>
    <col min="12807" max="12807" width="12.140625" style="163" customWidth="1"/>
    <col min="12808" max="12808" width="0.42578125" style="163" customWidth="1"/>
    <col min="12809" max="12809" width="12.140625" style="163" customWidth="1"/>
    <col min="12810" max="12810" width="9.5703125" style="163" bestFit="1" customWidth="1"/>
    <col min="12811" max="12811" width="12.140625" style="163" customWidth="1"/>
    <col min="12812" max="12812" width="9.28515625" style="163" customWidth="1"/>
    <col min="12813" max="12813" width="9.42578125" style="163" customWidth="1"/>
    <col min="12814" max="13046" width="9.140625" style="163"/>
    <col min="13047" max="13047" width="0.140625" style="163" customWidth="1"/>
    <col min="13048" max="13048" width="13.7109375" style="163" customWidth="1"/>
    <col min="13049" max="13049" width="44" style="163" customWidth="1"/>
    <col min="13050" max="13050" width="0.42578125" style="163" customWidth="1"/>
    <col min="13051" max="13051" width="12.140625" style="163" customWidth="1"/>
    <col min="13052" max="13052" width="9" style="163" customWidth="1"/>
    <col min="13053" max="13053" width="12.140625" style="163" customWidth="1"/>
    <col min="13054" max="13054" width="14.85546875" style="163" customWidth="1"/>
    <col min="13055" max="13055" width="0.42578125" style="163" customWidth="1"/>
    <col min="13056" max="13056" width="12.140625" style="163" customWidth="1"/>
    <col min="13057" max="13057" width="9.5703125" style="163" bestFit="1" customWidth="1"/>
    <col min="13058" max="13058" width="12.140625" style="163" customWidth="1"/>
    <col min="13059" max="13059" width="14.85546875" style="163" customWidth="1"/>
    <col min="13060" max="13060" width="0.42578125" style="163" customWidth="1"/>
    <col min="13061" max="13061" width="12.140625" style="163" customWidth="1"/>
    <col min="13062" max="13062" width="9.5703125" style="163" bestFit="1" customWidth="1"/>
    <col min="13063" max="13063" width="12.140625" style="163" customWidth="1"/>
    <col min="13064" max="13064" width="0.42578125" style="163" customWidth="1"/>
    <col min="13065" max="13065" width="12.140625" style="163" customWidth="1"/>
    <col min="13066" max="13066" width="9.5703125" style="163" bestFit="1" customWidth="1"/>
    <col min="13067" max="13067" width="12.140625" style="163" customWidth="1"/>
    <col min="13068" max="13068" width="9.28515625" style="163" customWidth="1"/>
    <col min="13069" max="13069" width="9.42578125" style="163" customWidth="1"/>
    <col min="13070" max="13302" width="9.140625" style="163"/>
    <col min="13303" max="13303" width="0.140625" style="163" customWidth="1"/>
    <col min="13304" max="13304" width="13.7109375" style="163" customWidth="1"/>
    <col min="13305" max="13305" width="44" style="163" customWidth="1"/>
    <col min="13306" max="13306" width="0.42578125" style="163" customWidth="1"/>
    <col min="13307" max="13307" width="12.140625" style="163" customWidth="1"/>
    <col min="13308" max="13308" width="9" style="163" customWidth="1"/>
    <col min="13309" max="13309" width="12.140625" style="163" customWidth="1"/>
    <col min="13310" max="13310" width="14.85546875" style="163" customWidth="1"/>
    <col min="13311" max="13311" width="0.42578125" style="163" customWidth="1"/>
    <col min="13312" max="13312" width="12.140625" style="163" customWidth="1"/>
    <col min="13313" max="13313" width="9.5703125" style="163" bestFit="1" customWidth="1"/>
    <col min="13314" max="13314" width="12.140625" style="163" customWidth="1"/>
    <col min="13315" max="13315" width="14.85546875" style="163" customWidth="1"/>
    <col min="13316" max="13316" width="0.42578125" style="163" customWidth="1"/>
    <col min="13317" max="13317" width="12.140625" style="163" customWidth="1"/>
    <col min="13318" max="13318" width="9.5703125" style="163" bestFit="1" customWidth="1"/>
    <col min="13319" max="13319" width="12.140625" style="163" customWidth="1"/>
    <col min="13320" max="13320" width="0.42578125" style="163" customWidth="1"/>
    <col min="13321" max="13321" width="12.140625" style="163" customWidth="1"/>
    <col min="13322" max="13322" width="9.5703125" style="163" bestFit="1" customWidth="1"/>
    <col min="13323" max="13323" width="12.140625" style="163" customWidth="1"/>
    <col min="13324" max="13324" width="9.28515625" style="163" customWidth="1"/>
    <col min="13325" max="13325" width="9.42578125" style="163" customWidth="1"/>
    <col min="13326" max="13558" width="9.140625" style="163"/>
    <col min="13559" max="13559" width="0.140625" style="163" customWidth="1"/>
    <col min="13560" max="13560" width="13.7109375" style="163" customWidth="1"/>
    <col min="13561" max="13561" width="44" style="163" customWidth="1"/>
    <col min="13562" max="13562" width="0.42578125" style="163" customWidth="1"/>
    <col min="13563" max="13563" width="12.140625" style="163" customWidth="1"/>
    <col min="13564" max="13564" width="9" style="163" customWidth="1"/>
    <col min="13565" max="13565" width="12.140625" style="163" customWidth="1"/>
    <col min="13566" max="13566" width="14.85546875" style="163" customWidth="1"/>
    <col min="13567" max="13567" width="0.42578125" style="163" customWidth="1"/>
    <col min="13568" max="13568" width="12.140625" style="163" customWidth="1"/>
    <col min="13569" max="13569" width="9.5703125" style="163" bestFit="1" customWidth="1"/>
    <col min="13570" max="13570" width="12.140625" style="163" customWidth="1"/>
    <col min="13571" max="13571" width="14.85546875" style="163" customWidth="1"/>
    <col min="13572" max="13572" width="0.42578125" style="163" customWidth="1"/>
    <col min="13573" max="13573" width="12.140625" style="163" customWidth="1"/>
    <col min="13574" max="13574" width="9.5703125" style="163" bestFit="1" customWidth="1"/>
    <col min="13575" max="13575" width="12.140625" style="163" customWidth="1"/>
    <col min="13576" max="13576" width="0.42578125" style="163" customWidth="1"/>
    <col min="13577" max="13577" width="12.140625" style="163" customWidth="1"/>
    <col min="13578" max="13578" width="9.5703125" style="163" bestFit="1" customWidth="1"/>
    <col min="13579" max="13579" width="12.140625" style="163" customWidth="1"/>
    <col min="13580" max="13580" width="9.28515625" style="163" customWidth="1"/>
    <col min="13581" max="13581" width="9.42578125" style="163" customWidth="1"/>
    <col min="13582" max="13814" width="9.140625" style="163"/>
    <col min="13815" max="13815" width="0.140625" style="163" customWidth="1"/>
    <col min="13816" max="13816" width="13.7109375" style="163" customWidth="1"/>
    <col min="13817" max="13817" width="44" style="163" customWidth="1"/>
    <col min="13818" max="13818" width="0.42578125" style="163" customWidth="1"/>
    <col min="13819" max="13819" width="12.140625" style="163" customWidth="1"/>
    <col min="13820" max="13820" width="9" style="163" customWidth="1"/>
    <col min="13821" max="13821" width="12.140625" style="163" customWidth="1"/>
    <col min="13822" max="13822" width="14.85546875" style="163" customWidth="1"/>
    <col min="13823" max="13823" width="0.42578125" style="163" customWidth="1"/>
    <col min="13824" max="13824" width="12.140625" style="163" customWidth="1"/>
    <col min="13825" max="13825" width="9.5703125" style="163" bestFit="1" customWidth="1"/>
    <col min="13826" max="13826" width="12.140625" style="163" customWidth="1"/>
    <col min="13827" max="13827" width="14.85546875" style="163" customWidth="1"/>
    <col min="13828" max="13828" width="0.42578125" style="163" customWidth="1"/>
    <col min="13829" max="13829" width="12.140625" style="163" customWidth="1"/>
    <col min="13830" max="13830" width="9.5703125" style="163" bestFit="1" customWidth="1"/>
    <col min="13831" max="13831" width="12.140625" style="163" customWidth="1"/>
    <col min="13832" max="13832" width="0.42578125" style="163" customWidth="1"/>
    <col min="13833" max="13833" width="12.140625" style="163" customWidth="1"/>
    <col min="13834" max="13834" width="9.5703125" style="163" bestFit="1" customWidth="1"/>
    <col min="13835" max="13835" width="12.140625" style="163" customWidth="1"/>
    <col min="13836" max="13836" width="9.28515625" style="163" customWidth="1"/>
    <col min="13837" max="13837" width="9.42578125" style="163" customWidth="1"/>
    <col min="13838" max="14070" width="9.140625" style="163"/>
    <col min="14071" max="14071" width="0.140625" style="163" customWidth="1"/>
    <col min="14072" max="14072" width="13.7109375" style="163" customWidth="1"/>
    <col min="14073" max="14073" width="44" style="163" customWidth="1"/>
    <col min="14074" max="14074" width="0.42578125" style="163" customWidth="1"/>
    <col min="14075" max="14075" width="12.140625" style="163" customWidth="1"/>
    <col min="14076" max="14076" width="9" style="163" customWidth="1"/>
    <col min="14077" max="14077" width="12.140625" style="163" customWidth="1"/>
    <col min="14078" max="14078" width="14.85546875" style="163" customWidth="1"/>
    <col min="14079" max="14079" width="0.42578125" style="163" customWidth="1"/>
    <col min="14080" max="14080" width="12.140625" style="163" customWidth="1"/>
    <col min="14081" max="14081" width="9.5703125" style="163" bestFit="1" customWidth="1"/>
    <col min="14082" max="14082" width="12.140625" style="163" customWidth="1"/>
    <col min="14083" max="14083" width="14.85546875" style="163" customWidth="1"/>
    <col min="14084" max="14084" width="0.42578125" style="163" customWidth="1"/>
    <col min="14085" max="14085" width="12.140625" style="163" customWidth="1"/>
    <col min="14086" max="14086" width="9.5703125" style="163" bestFit="1" customWidth="1"/>
    <col min="14087" max="14087" width="12.140625" style="163" customWidth="1"/>
    <col min="14088" max="14088" width="0.42578125" style="163" customWidth="1"/>
    <col min="14089" max="14089" width="12.140625" style="163" customWidth="1"/>
    <col min="14090" max="14090" width="9.5703125" style="163" bestFit="1" customWidth="1"/>
    <col min="14091" max="14091" width="12.140625" style="163" customWidth="1"/>
    <col min="14092" max="14092" width="9.28515625" style="163" customWidth="1"/>
    <col min="14093" max="14093" width="9.42578125" style="163" customWidth="1"/>
    <col min="14094" max="14326" width="9.140625" style="163"/>
    <col min="14327" max="14327" width="0.140625" style="163" customWidth="1"/>
    <col min="14328" max="14328" width="13.7109375" style="163" customWidth="1"/>
    <col min="14329" max="14329" width="44" style="163" customWidth="1"/>
    <col min="14330" max="14330" width="0.42578125" style="163" customWidth="1"/>
    <col min="14331" max="14331" width="12.140625" style="163" customWidth="1"/>
    <col min="14332" max="14332" width="9" style="163" customWidth="1"/>
    <col min="14333" max="14333" width="12.140625" style="163" customWidth="1"/>
    <col min="14334" max="14334" width="14.85546875" style="163" customWidth="1"/>
    <col min="14335" max="14335" width="0.42578125" style="163" customWidth="1"/>
    <col min="14336" max="14336" width="12.140625" style="163" customWidth="1"/>
    <col min="14337" max="14337" width="9.5703125" style="163" bestFit="1" customWidth="1"/>
    <col min="14338" max="14338" width="12.140625" style="163" customWidth="1"/>
    <col min="14339" max="14339" width="14.85546875" style="163" customWidth="1"/>
    <col min="14340" max="14340" width="0.42578125" style="163" customWidth="1"/>
    <col min="14341" max="14341" width="12.140625" style="163" customWidth="1"/>
    <col min="14342" max="14342" width="9.5703125" style="163" bestFit="1" customWidth="1"/>
    <col min="14343" max="14343" width="12.140625" style="163" customWidth="1"/>
    <col min="14344" max="14344" width="0.42578125" style="163" customWidth="1"/>
    <col min="14345" max="14345" width="12.140625" style="163" customWidth="1"/>
    <col min="14346" max="14346" width="9.5703125" style="163" bestFit="1" customWidth="1"/>
    <col min="14347" max="14347" width="12.140625" style="163" customWidth="1"/>
    <col min="14348" max="14348" width="9.28515625" style="163" customWidth="1"/>
    <col min="14349" max="14349" width="9.42578125" style="163" customWidth="1"/>
    <col min="14350" max="14582" width="9.140625" style="163"/>
    <col min="14583" max="14583" width="0.140625" style="163" customWidth="1"/>
    <col min="14584" max="14584" width="13.7109375" style="163" customWidth="1"/>
    <col min="14585" max="14585" width="44" style="163" customWidth="1"/>
    <col min="14586" max="14586" width="0.42578125" style="163" customWidth="1"/>
    <col min="14587" max="14587" width="12.140625" style="163" customWidth="1"/>
    <col min="14588" max="14588" width="9" style="163" customWidth="1"/>
    <col min="14589" max="14589" width="12.140625" style="163" customWidth="1"/>
    <col min="14590" max="14590" width="14.85546875" style="163" customWidth="1"/>
    <col min="14591" max="14591" width="0.42578125" style="163" customWidth="1"/>
    <col min="14592" max="14592" width="12.140625" style="163" customWidth="1"/>
    <col min="14593" max="14593" width="9.5703125" style="163" bestFit="1" customWidth="1"/>
    <col min="14594" max="14594" width="12.140625" style="163" customWidth="1"/>
    <col min="14595" max="14595" width="14.85546875" style="163" customWidth="1"/>
    <col min="14596" max="14596" width="0.42578125" style="163" customWidth="1"/>
    <col min="14597" max="14597" width="12.140625" style="163" customWidth="1"/>
    <col min="14598" max="14598" width="9.5703125" style="163" bestFit="1" customWidth="1"/>
    <col min="14599" max="14599" width="12.140625" style="163" customWidth="1"/>
    <col min="14600" max="14600" width="0.42578125" style="163" customWidth="1"/>
    <col min="14601" max="14601" width="12.140625" style="163" customWidth="1"/>
    <col min="14602" max="14602" width="9.5703125" style="163" bestFit="1" customWidth="1"/>
    <col min="14603" max="14603" width="12.140625" style="163" customWidth="1"/>
    <col min="14604" max="14604" width="9.28515625" style="163" customWidth="1"/>
    <col min="14605" max="14605" width="9.42578125" style="163" customWidth="1"/>
    <col min="14606" max="14838" width="9.140625" style="163"/>
    <col min="14839" max="14839" width="0.140625" style="163" customWidth="1"/>
    <col min="14840" max="14840" width="13.7109375" style="163" customWidth="1"/>
    <col min="14841" max="14841" width="44" style="163" customWidth="1"/>
    <col min="14842" max="14842" width="0.42578125" style="163" customWidth="1"/>
    <col min="14843" max="14843" width="12.140625" style="163" customWidth="1"/>
    <col min="14844" max="14844" width="9" style="163" customWidth="1"/>
    <col min="14845" max="14845" width="12.140625" style="163" customWidth="1"/>
    <col min="14846" max="14846" width="14.85546875" style="163" customWidth="1"/>
    <col min="14847" max="14847" width="0.42578125" style="163" customWidth="1"/>
    <col min="14848" max="14848" width="12.140625" style="163" customWidth="1"/>
    <col min="14849" max="14849" width="9.5703125" style="163" bestFit="1" customWidth="1"/>
    <col min="14850" max="14850" width="12.140625" style="163" customWidth="1"/>
    <col min="14851" max="14851" width="14.85546875" style="163" customWidth="1"/>
    <col min="14852" max="14852" width="0.42578125" style="163" customWidth="1"/>
    <col min="14853" max="14853" width="12.140625" style="163" customWidth="1"/>
    <col min="14854" max="14854" width="9.5703125" style="163" bestFit="1" customWidth="1"/>
    <col min="14855" max="14855" width="12.140625" style="163" customWidth="1"/>
    <col min="14856" max="14856" width="0.42578125" style="163" customWidth="1"/>
    <col min="14857" max="14857" width="12.140625" style="163" customWidth="1"/>
    <col min="14858" max="14858" width="9.5703125" style="163" bestFit="1" customWidth="1"/>
    <col min="14859" max="14859" width="12.140625" style="163" customWidth="1"/>
    <col min="14860" max="14860" width="9.28515625" style="163" customWidth="1"/>
    <col min="14861" max="14861" width="9.42578125" style="163" customWidth="1"/>
    <col min="14862" max="15094" width="9.140625" style="163"/>
    <col min="15095" max="15095" width="0.140625" style="163" customWidth="1"/>
    <col min="15096" max="15096" width="13.7109375" style="163" customWidth="1"/>
    <col min="15097" max="15097" width="44" style="163" customWidth="1"/>
    <col min="15098" max="15098" width="0.42578125" style="163" customWidth="1"/>
    <col min="15099" max="15099" width="12.140625" style="163" customWidth="1"/>
    <col min="15100" max="15100" width="9" style="163" customWidth="1"/>
    <col min="15101" max="15101" width="12.140625" style="163" customWidth="1"/>
    <col min="15102" max="15102" width="14.85546875" style="163" customWidth="1"/>
    <col min="15103" max="15103" width="0.42578125" style="163" customWidth="1"/>
    <col min="15104" max="15104" width="12.140625" style="163" customWidth="1"/>
    <col min="15105" max="15105" width="9.5703125" style="163" bestFit="1" customWidth="1"/>
    <col min="15106" max="15106" width="12.140625" style="163" customWidth="1"/>
    <col min="15107" max="15107" width="14.85546875" style="163" customWidth="1"/>
    <col min="15108" max="15108" width="0.42578125" style="163" customWidth="1"/>
    <col min="15109" max="15109" width="12.140625" style="163" customWidth="1"/>
    <col min="15110" max="15110" width="9.5703125" style="163" bestFit="1" customWidth="1"/>
    <col min="15111" max="15111" width="12.140625" style="163" customWidth="1"/>
    <col min="15112" max="15112" width="0.42578125" style="163" customWidth="1"/>
    <col min="15113" max="15113" width="12.140625" style="163" customWidth="1"/>
    <col min="15114" max="15114" width="9.5703125" style="163" bestFit="1" customWidth="1"/>
    <col min="15115" max="15115" width="12.140625" style="163" customWidth="1"/>
    <col min="15116" max="15116" width="9.28515625" style="163" customWidth="1"/>
    <col min="15117" max="15117" width="9.42578125" style="163" customWidth="1"/>
    <col min="15118" max="15350" width="9.140625" style="163"/>
    <col min="15351" max="15351" width="0.140625" style="163" customWidth="1"/>
    <col min="15352" max="15352" width="13.7109375" style="163" customWidth="1"/>
    <col min="15353" max="15353" width="44" style="163" customWidth="1"/>
    <col min="15354" max="15354" width="0.42578125" style="163" customWidth="1"/>
    <col min="15355" max="15355" width="12.140625" style="163" customWidth="1"/>
    <col min="15356" max="15356" width="9" style="163" customWidth="1"/>
    <col min="15357" max="15357" width="12.140625" style="163" customWidth="1"/>
    <col min="15358" max="15358" width="14.85546875" style="163" customWidth="1"/>
    <col min="15359" max="15359" width="0.42578125" style="163" customWidth="1"/>
    <col min="15360" max="15360" width="12.140625" style="163" customWidth="1"/>
    <col min="15361" max="15361" width="9.5703125" style="163" bestFit="1" customWidth="1"/>
    <col min="15362" max="15362" width="12.140625" style="163" customWidth="1"/>
    <col min="15363" max="15363" width="14.85546875" style="163" customWidth="1"/>
    <col min="15364" max="15364" width="0.42578125" style="163" customWidth="1"/>
    <col min="15365" max="15365" width="12.140625" style="163" customWidth="1"/>
    <col min="15366" max="15366" width="9.5703125" style="163" bestFit="1" customWidth="1"/>
    <col min="15367" max="15367" width="12.140625" style="163" customWidth="1"/>
    <col min="15368" max="15368" width="0.42578125" style="163" customWidth="1"/>
    <col min="15369" max="15369" width="12.140625" style="163" customWidth="1"/>
    <col min="15370" max="15370" width="9.5703125" style="163" bestFit="1" customWidth="1"/>
    <col min="15371" max="15371" width="12.140625" style="163" customWidth="1"/>
    <col min="15372" max="15372" width="9.28515625" style="163" customWidth="1"/>
    <col min="15373" max="15373" width="9.42578125" style="163" customWidth="1"/>
    <col min="15374" max="15606" width="9.140625" style="163"/>
    <col min="15607" max="15607" width="0.140625" style="163" customWidth="1"/>
    <col min="15608" max="15608" width="13.7109375" style="163" customWidth="1"/>
    <col min="15609" max="15609" width="44" style="163" customWidth="1"/>
    <col min="15610" max="15610" width="0.42578125" style="163" customWidth="1"/>
    <col min="15611" max="15611" width="12.140625" style="163" customWidth="1"/>
    <col min="15612" max="15612" width="9" style="163" customWidth="1"/>
    <col min="15613" max="15613" width="12.140625" style="163" customWidth="1"/>
    <col min="15614" max="15614" width="14.85546875" style="163" customWidth="1"/>
    <col min="15615" max="15615" width="0.42578125" style="163" customWidth="1"/>
    <col min="15616" max="15616" width="12.140625" style="163" customWidth="1"/>
    <col min="15617" max="15617" width="9.5703125" style="163" bestFit="1" customWidth="1"/>
    <col min="15618" max="15618" width="12.140625" style="163" customWidth="1"/>
    <col min="15619" max="15619" width="14.85546875" style="163" customWidth="1"/>
    <col min="15620" max="15620" width="0.42578125" style="163" customWidth="1"/>
    <col min="15621" max="15621" width="12.140625" style="163" customWidth="1"/>
    <col min="15622" max="15622" width="9.5703125" style="163" bestFit="1" customWidth="1"/>
    <col min="15623" max="15623" width="12.140625" style="163" customWidth="1"/>
    <col min="15624" max="15624" width="0.42578125" style="163" customWidth="1"/>
    <col min="15625" max="15625" width="12.140625" style="163" customWidth="1"/>
    <col min="15626" max="15626" width="9.5703125" style="163" bestFit="1" customWidth="1"/>
    <col min="15627" max="15627" width="12.140625" style="163" customWidth="1"/>
    <col min="15628" max="15628" width="9.28515625" style="163" customWidth="1"/>
    <col min="15629" max="15629" width="9.42578125" style="163" customWidth="1"/>
    <col min="15630" max="15862" width="9.140625" style="163"/>
    <col min="15863" max="15863" width="0.140625" style="163" customWidth="1"/>
    <col min="15864" max="15864" width="13.7109375" style="163" customWidth="1"/>
    <col min="15865" max="15865" width="44" style="163" customWidth="1"/>
    <col min="15866" max="15866" width="0.42578125" style="163" customWidth="1"/>
    <col min="15867" max="15867" width="12.140625" style="163" customWidth="1"/>
    <col min="15868" max="15868" width="9" style="163" customWidth="1"/>
    <col min="15869" max="15869" width="12.140625" style="163" customWidth="1"/>
    <col min="15870" max="15870" width="14.85546875" style="163" customWidth="1"/>
    <col min="15871" max="15871" width="0.42578125" style="163" customWidth="1"/>
    <col min="15872" max="15872" width="12.140625" style="163" customWidth="1"/>
    <col min="15873" max="15873" width="9.5703125" style="163" bestFit="1" customWidth="1"/>
    <col min="15874" max="15874" width="12.140625" style="163" customWidth="1"/>
    <col min="15875" max="15875" width="14.85546875" style="163" customWidth="1"/>
    <col min="15876" max="15876" width="0.42578125" style="163" customWidth="1"/>
    <col min="15877" max="15877" width="12.140625" style="163" customWidth="1"/>
    <col min="15878" max="15878" width="9.5703125" style="163" bestFit="1" customWidth="1"/>
    <col min="15879" max="15879" width="12.140625" style="163" customWidth="1"/>
    <col min="15880" max="15880" width="0.42578125" style="163" customWidth="1"/>
    <col min="15881" max="15881" width="12.140625" style="163" customWidth="1"/>
    <col min="15882" max="15882" width="9.5703125" style="163" bestFit="1" customWidth="1"/>
    <col min="15883" max="15883" width="12.140625" style="163" customWidth="1"/>
    <col min="15884" max="15884" width="9.28515625" style="163" customWidth="1"/>
    <col min="15885" max="15885" width="9.42578125" style="163" customWidth="1"/>
    <col min="15886" max="16118" width="9.140625" style="163"/>
    <col min="16119" max="16119" width="0.140625" style="163" customWidth="1"/>
    <col min="16120" max="16120" width="13.7109375" style="163" customWidth="1"/>
    <col min="16121" max="16121" width="44" style="163" customWidth="1"/>
    <col min="16122" max="16122" width="0.42578125" style="163" customWidth="1"/>
    <col min="16123" max="16123" width="12.140625" style="163" customWidth="1"/>
    <col min="16124" max="16124" width="9" style="163" customWidth="1"/>
    <col min="16125" max="16125" width="12.140625" style="163" customWidth="1"/>
    <col min="16126" max="16126" width="14.85546875" style="163" customWidth="1"/>
    <col min="16127" max="16127" width="0.42578125" style="163" customWidth="1"/>
    <col min="16128" max="16128" width="12.140625" style="163" customWidth="1"/>
    <col min="16129" max="16129" width="9.5703125" style="163" bestFit="1" customWidth="1"/>
    <col min="16130" max="16130" width="12.140625" style="163" customWidth="1"/>
    <col min="16131" max="16131" width="14.85546875" style="163" customWidth="1"/>
    <col min="16132" max="16132" width="0.42578125" style="163" customWidth="1"/>
    <col min="16133" max="16133" width="12.140625" style="163" customWidth="1"/>
    <col min="16134" max="16134" width="9.5703125" style="163" bestFit="1" customWidth="1"/>
    <col min="16135" max="16135" width="12.140625" style="163" customWidth="1"/>
    <col min="16136" max="16136" width="0.42578125" style="163" customWidth="1"/>
    <col min="16137" max="16137" width="12.140625" style="163" customWidth="1"/>
    <col min="16138" max="16138" width="9.5703125" style="163" bestFit="1" customWidth="1"/>
    <col min="16139" max="16139" width="12.140625" style="163" customWidth="1"/>
    <col min="16140" max="16140" width="9.28515625" style="163" customWidth="1"/>
    <col min="16141" max="16141" width="9.42578125" style="163" customWidth="1"/>
    <col min="16142" max="16384" width="9.140625" style="163"/>
  </cols>
  <sheetData>
    <row r="1" spans="1:13" ht="27" customHeight="1" x14ac:dyDescent="0.35">
      <c r="B1" s="354"/>
      <c r="C1" s="720"/>
      <c r="D1" s="323"/>
      <c r="E1" s="869">
        <v>2016</v>
      </c>
      <c r="F1" s="323"/>
      <c r="G1" s="919">
        <v>2017</v>
      </c>
      <c r="H1" s="323"/>
      <c r="I1" s="932">
        <v>2018</v>
      </c>
      <c r="J1" s="323"/>
      <c r="K1" s="1006">
        <v>2019</v>
      </c>
    </row>
    <row r="2" spans="1:13" s="724" customFormat="1" ht="42" customHeight="1" x14ac:dyDescent="0.2">
      <c r="A2" s="721" t="s">
        <v>383</v>
      </c>
      <c r="B2" s="324" t="s">
        <v>272</v>
      </c>
      <c r="C2" s="674" t="s">
        <v>1</v>
      </c>
      <c r="D2" s="722"/>
      <c r="E2" s="674" t="s">
        <v>2</v>
      </c>
      <c r="F2" s="722"/>
      <c r="G2" s="674" t="s">
        <v>2</v>
      </c>
      <c r="H2" s="722"/>
      <c r="I2" s="674" t="s">
        <v>2</v>
      </c>
      <c r="J2" s="722"/>
      <c r="K2" s="674" t="s">
        <v>2</v>
      </c>
      <c r="L2" s="723" t="s">
        <v>340</v>
      </c>
      <c r="M2" s="162" t="s">
        <v>6</v>
      </c>
    </row>
    <row r="3" spans="1:13" s="727" customFormat="1" ht="23.25" customHeight="1" x14ac:dyDescent="0.2">
      <c r="A3" s="725"/>
      <c r="B3" s="1121" t="s">
        <v>7</v>
      </c>
      <c r="C3" s="1121"/>
      <c r="D3" s="722"/>
      <c r="E3" s="669">
        <f>E4+E24</f>
        <v>3990091</v>
      </c>
      <c r="F3" s="722"/>
      <c r="G3" s="669">
        <f>G4+G24</f>
        <v>6000000.0199999996</v>
      </c>
      <c r="H3" s="722"/>
      <c r="I3" s="669">
        <f>I4+I24</f>
        <v>5459425</v>
      </c>
      <c r="J3" s="722"/>
      <c r="K3" s="669">
        <f>K4+K24</f>
        <v>5800000</v>
      </c>
      <c r="L3" s="726"/>
      <c r="M3" s="669"/>
    </row>
    <row r="4" spans="1:13" s="207" customFormat="1" ht="18.75" customHeight="1" x14ac:dyDescent="0.2">
      <c r="A4" s="728"/>
      <c r="B4" s="203" t="s">
        <v>8</v>
      </c>
      <c r="C4" s="204"/>
      <c r="D4" s="323"/>
      <c r="E4" s="204">
        <f>SUM(E5:E23)</f>
        <v>2295563</v>
      </c>
      <c r="F4" s="323"/>
      <c r="G4" s="204">
        <f>SUM(G5:G23)</f>
        <v>2381876</v>
      </c>
      <c r="H4" s="323"/>
      <c r="I4" s="204">
        <f>SUM(I5:I23)</f>
        <v>2959025</v>
      </c>
      <c r="J4" s="323"/>
      <c r="K4" s="204">
        <f>SUM(K5:K23)</f>
        <v>3347000</v>
      </c>
      <c r="L4" s="729"/>
      <c r="M4" s="204"/>
    </row>
    <row r="5" spans="1:13" s="732" customFormat="1" ht="21.75" customHeight="1" x14ac:dyDescent="0.2">
      <c r="A5" s="730">
        <v>3</v>
      </c>
      <c r="B5" s="231">
        <v>580228120</v>
      </c>
      <c r="C5" s="403" t="s">
        <v>2096</v>
      </c>
      <c r="D5" s="323"/>
      <c r="E5" s="236">
        <v>310051</v>
      </c>
      <c r="F5" s="323"/>
      <c r="G5" s="236">
        <v>65000</v>
      </c>
      <c r="H5" s="323"/>
      <c r="I5" s="836">
        <v>183802</v>
      </c>
      <c r="J5" s="323"/>
      <c r="K5" s="236">
        <f>90000+35000+50000+50000</f>
        <v>225000</v>
      </c>
      <c r="L5" s="731" t="s">
        <v>68</v>
      </c>
      <c r="M5" s="236" t="s">
        <v>9</v>
      </c>
    </row>
    <row r="6" spans="1:13" s="359" customFormat="1" ht="42" customHeight="1" x14ac:dyDescent="0.2">
      <c r="A6" s="730"/>
      <c r="B6" s="231">
        <v>580341998</v>
      </c>
      <c r="C6" s="733" t="s">
        <v>2097</v>
      </c>
      <c r="D6" s="323"/>
      <c r="E6" s="236"/>
      <c r="F6" s="323"/>
      <c r="G6" s="236"/>
      <c r="H6" s="323"/>
      <c r="I6" s="236">
        <v>0</v>
      </c>
      <c r="J6" s="323"/>
      <c r="K6" s="236"/>
      <c r="L6" s="731" t="s">
        <v>68</v>
      </c>
      <c r="M6" s="236" t="s">
        <v>9</v>
      </c>
    </row>
    <row r="7" spans="1:13" s="359" customFormat="1" ht="26.25" customHeight="1" x14ac:dyDescent="0.2">
      <c r="A7" s="730"/>
      <c r="B7" s="231">
        <v>580342228</v>
      </c>
      <c r="C7" s="403" t="s">
        <v>2098</v>
      </c>
      <c r="D7" s="323"/>
      <c r="E7" s="236"/>
      <c r="F7" s="323"/>
      <c r="G7" s="236">
        <v>84647</v>
      </c>
      <c r="H7" s="323"/>
      <c r="I7" s="236">
        <v>128932</v>
      </c>
      <c r="J7" s="323"/>
      <c r="K7" s="236">
        <v>130000</v>
      </c>
      <c r="L7" s="731" t="s">
        <v>2099</v>
      </c>
      <c r="M7" s="236" t="s">
        <v>9</v>
      </c>
    </row>
    <row r="8" spans="1:13" s="359" customFormat="1" ht="26.25" customHeight="1" x14ac:dyDescent="0.2">
      <c r="A8" s="734"/>
      <c r="B8" s="231">
        <v>513037523</v>
      </c>
      <c r="C8" s="403" t="s">
        <v>2100</v>
      </c>
      <c r="D8" s="323"/>
      <c r="E8" s="236">
        <v>228678</v>
      </c>
      <c r="F8" s="323"/>
      <c r="G8" s="236">
        <v>301955</v>
      </c>
      <c r="H8" s="323"/>
      <c r="I8" s="236">
        <v>320000</v>
      </c>
      <c r="J8" s="323"/>
      <c r="K8" s="236">
        <v>360000</v>
      </c>
      <c r="L8" s="735" t="s">
        <v>68</v>
      </c>
      <c r="M8" s="736" t="s">
        <v>9</v>
      </c>
    </row>
    <row r="9" spans="1:13" s="359" customFormat="1" ht="26.25" customHeight="1" x14ac:dyDescent="0.2">
      <c r="A9" s="734"/>
      <c r="B9" s="231">
        <v>580316503</v>
      </c>
      <c r="C9" s="403" t="s">
        <v>2101</v>
      </c>
      <c r="D9" s="323"/>
      <c r="E9" s="236">
        <v>120000</v>
      </c>
      <c r="F9" s="323"/>
      <c r="G9" s="236">
        <v>120000</v>
      </c>
      <c r="H9" s="323"/>
      <c r="I9" s="236">
        <v>120000</v>
      </c>
      <c r="J9" s="323"/>
      <c r="K9" s="236">
        <v>150000</v>
      </c>
      <c r="L9" s="737" t="s">
        <v>2102</v>
      </c>
      <c r="M9" s="738" t="s">
        <v>9</v>
      </c>
    </row>
    <row r="10" spans="1:13" s="359" customFormat="1" ht="51" customHeight="1" x14ac:dyDescent="0.2">
      <c r="A10" s="734"/>
      <c r="B10" s="231">
        <v>580351070</v>
      </c>
      <c r="C10" s="403" t="s">
        <v>2103</v>
      </c>
      <c r="D10" s="323"/>
      <c r="E10" s="236">
        <v>321553</v>
      </c>
      <c r="F10" s="323"/>
      <c r="G10" s="236"/>
      <c r="H10" s="323"/>
      <c r="I10" s="236">
        <v>0</v>
      </c>
      <c r="J10" s="323"/>
      <c r="K10" s="236"/>
      <c r="L10" s="737" t="s">
        <v>2104</v>
      </c>
      <c r="M10" s="738" t="s">
        <v>9</v>
      </c>
    </row>
    <row r="11" spans="1:13" s="359" customFormat="1" ht="41.25" customHeight="1" x14ac:dyDescent="0.2">
      <c r="A11" s="734"/>
      <c r="B11" s="231">
        <v>580397552</v>
      </c>
      <c r="C11" s="403" t="s">
        <v>2105</v>
      </c>
      <c r="D11" s="323"/>
      <c r="E11" s="236">
        <v>217282</v>
      </c>
      <c r="F11" s="323"/>
      <c r="G11" s="236">
        <v>286162</v>
      </c>
      <c r="H11" s="323"/>
      <c r="I11" s="236">
        <v>291491</v>
      </c>
      <c r="J11" s="323"/>
      <c r="K11" s="236">
        <v>360000</v>
      </c>
      <c r="L11" s="739" t="s">
        <v>2106</v>
      </c>
      <c r="M11" s="740" t="s">
        <v>9</v>
      </c>
    </row>
    <row r="12" spans="1:13" s="359" customFormat="1" ht="54" customHeight="1" x14ac:dyDescent="0.2">
      <c r="A12" s="734"/>
      <c r="B12" s="231">
        <v>580399293</v>
      </c>
      <c r="C12" s="403" t="s">
        <v>2107</v>
      </c>
      <c r="D12" s="323"/>
      <c r="E12" s="236">
        <v>52500</v>
      </c>
      <c r="F12" s="323"/>
      <c r="G12" s="236">
        <v>52284</v>
      </c>
      <c r="H12" s="323"/>
      <c r="I12" s="236">
        <v>32800</v>
      </c>
      <c r="J12" s="323"/>
      <c r="K12" s="236">
        <v>35000</v>
      </c>
      <c r="L12" s="739" t="s">
        <v>2108</v>
      </c>
      <c r="M12" s="740" t="s">
        <v>9</v>
      </c>
    </row>
    <row r="13" spans="1:13" s="359" customFormat="1" ht="26.25" customHeight="1" x14ac:dyDescent="0.2">
      <c r="A13" s="734"/>
      <c r="B13" s="231">
        <v>580231454</v>
      </c>
      <c r="C13" s="403" t="s">
        <v>2109</v>
      </c>
      <c r="D13" s="323"/>
      <c r="E13" s="236">
        <v>167462</v>
      </c>
      <c r="F13" s="323"/>
      <c r="G13" s="236">
        <v>212000</v>
      </c>
      <c r="H13" s="323"/>
      <c r="I13" s="236">
        <v>212000</v>
      </c>
      <c r="J13" s="323"/>
      <c r="K13" s="236">
        <f>130000+46000+38000</f>
        <v>214000</v>
      </c>
      <c r="L13" s="737" t="s">
        <v>2110</v>
      </c>
      <c r="M13" s="738" t="s">
        <v>9</v>
      </c>
    </row>
    <row r="14" spans="1:13" s="359" customFormat="1" ht="26.25" customHeight="1" x14ac:dyDescent="0.2">
      <c r="A14" s="734"/>
      <c r="B14" s="231">
        <v>580429983</v>
      </c>
      <c r="C14" s="403" t="s">
        <v>2111</v>
      </c>
      <c r="D14" s="323"/>
      <c r="E14" s="236">
        <v>145411</v>
      </c>
      <c r="F14" s="323"/>
      <c r="G14" s="236">
        <v>203719</v>
      </c>
      <c r="H14" s="323"/>
      <c r="I14" s="836">
        <v>220000</v>
      </c>
      <c r="J14" s="323"/>
      <c r="K14" s="236">
        <v>220000</v>
      </c>
      <c r="L14" s="737" t="s">
        <v>2102</v>
      </c>
      <c r="M14" s="738" t="s">
        <v>9</v>
      </c>
    </row>
    <row r="15" spans="1:13" s="359" customFormat="1" ht="26.25" customHeight="1" x14ac:dyDescent="0.2">
      <c r="A15" s="734"/>
      <c r="B15" s="231">
        <v>580439065</v>
      </c>
      <c r="C15" s="403" t="s">
        <v>2112</v>
      </c>
      <c r="D15" s="323"/>
      <c r="E15" s="236">
        <v>181197</v>
      </c>
      <c r="F15" s="323"/>
      <c r="G15" s="236">
        <v>180000</v>
      </c>
      <c r="H15" s="323"/>
      <c r="I15" s="236">
        <v>300000</v>
      </c>
      <c r="J15" s="323"/>
      <c r="K15" s="236">
        <v>350000</v>
      </c>
      <c r="L15" s="737" t="s">
        <v>2113</v>
      </c>
      <c r="M15" s="738" t="s">
        <v>9</v>
      </c>
    </row>
    <row r="16" spans="1:13" s="359" customFormat="1" ht="26.25" customHeight="1" x14ac:dyDescent="0.2">
      <c r="A16" s="734"/>
      <c r="B16" s="231">
        <v>580494946</v>
      </c>
      <c r="C16" s="403" t="s">
        <v>2114</v>
      </c>
      <c r="D16" s="323"/>
      <c r="E16" s="236">
        <v>150000</v>
      </c>
      <c r="F16" s="323"/>
      <c r="G16" s="236">
        <v>208717</v>
      </c>
      <c r="H16" s="323"/>
      <c r="I16" s="236">
        <v>170000</v>
      </c>
      <c r="J16" s="323"/>
      <c r="K16" s="236">
        <v>335000</v>
      </c>
      <c r="L16" s="741" t="s">
        <v>2115</v>
      </c>
      <c r="M16" s="742" t="s">
        <v>9</v>
      </c>
    </row>
    <row r="17" spans="1:13" s="359" customFormat="1" ht="18" customHeight="1" x14ac:dyDescent="0.2">
      <c r="A17" s="734"/>
      <c r="B17" s="231">
        <v>580463420</v>
      </c>
      <c r="C17" s="403" t="s">
        <v>2116</v>
      </c>
      <c r="D17" s="323"/>
      <c r="E17" s="236">
        <v>83475</v>
      </c>
      <c r="F17" s="323"/>
      <c r="G17" s="236">
        <v>152575</v>
      </c>
      <c r="H17" s="323"/>
      <c r="I17" s="836">
        <v>260000</v>
      </c>
      <c r="J17" s="323"/>
      <c r="K17" s="236">
        <f>60000+80000</f>
        <v>140000</v>
      </c>
      <c r="L17" s="741" t="s">
        <v>111</v>
      </c>
      <c r="M17" s="742" t="s">
        <v>9</v>
      </c>
    </row>
    <row r="18" spans="1:13" s="359" customFormat="1" ht="26.25" customHeight="1" x14ac:dyDescent="0.2">
      <c r="A18" s="734"/>
      <c r="B18" s="111">
        <v>580512358</v>
      </c>
      <c r="C18" s="743" t="s">
        <v>2117</v>
      </c>
      <c r="D18" s="323"/>
      <c r="E18" s="236">
        <v>169133</v>
      </c>
      <c r="F18" s="323"/>
      <c r="G18" s="236">
        <v>280000</v>
      </c>
      <c r="H18" s="323"/>
      <c r="I18" s="236">
        <v>280000</v>
      </c>
      <c r="J18" s="323"/>
      <c r="K18" s="236">
        <f>150000*2</f>
        <v>300000</v>
      </c>
      <c r="L18" s="731" t="s">
        <v>2118</v>
      </c>
      <c r="M18" s="236" t="s">
        <v>9</v>
      </c>
    </row>
    <row r="19" spans="1:13" s="359" customFormat="1" ht="26.25" customHeight="1" x14ac:dyDescent="0.2">
      <c r="A19" s="734"/>
      <c r="B19" s="111" t="s">
        <v>3009</v>
      </c>
      <c r="C19" s="743" t="s">
        <v>116</v>
      </c>
      <c r="D19" s="323"/>
      <c r="E19" s="236"/>
      <c r="F19" s="323"/>
      <c r="G19" s="236">
        <v>126000</v>
      </c>
      <c r="H19" s="323"/>
      <c r="I19" s="236">
        <v>220000</v>
      </c>
      <c r="J19" s="323"/>
      <c r="K19" s="236">
        <v>160000</v>
      </c>
      <c r="L19" s="737" t="s">
        <v>2099</v>
      </c>
      <c r="M19" s="236" t="s">
        <v>9</v>
      </c>
    </row>
    <row r="20" spans="1:13" s="732" customFormat="1" ht="29.25" customHeight="1" x14ac:dyDescent="0.2">
      <c r="A20" s="730"/>
      <c r="B20" s="195" t="s">
        <v>2445</v>
      </c>
      <c r="C20" s="403" t="s">
        <v>2446</v>
      </c>
      <c r="D20" s="323"/>
      <c r="E20" s="236">
        <v>81144</v>
      </c>
      <c r="F20" s="323"/>
      <c r="G20" s="236"/>
      <c r="H20" s="323"/>
      <c r="I20" s="236"/>
      <c r="J20" s="323"/>
      <c r="K20" s="236"/>
      <c r="L20" s="748" t="s">
        <v>2336</v>
      </c>
      <c r="M20" s="435" t="s">
        <v>9</v>
      </c>
    </row>
    <row r="21" spans="1:13" s="732" customFormat="1" ht="29.25" customHeight="1" x14ac:dyDescent="0.2">
      <c r="A21" s="734"/>
      <c r="B21" s="195" t="s">
        <v>3171</v>
      </c>
      <c r="C21" s="403" t="s">
        <v>3172</v>
      </c>
      <c r="D21" s="323"/>
      <c r="E21" s="236"/>
      <c r="F21" s="323"/>
      <c r="G21" s="236"/>
      <c r="H21" s="323"/>
      <c r="I21" s="836">
        <v>30000</v>
      </c>
      <c r="J21" s="323"/>
      <c r="K21" s="236"/>
      <c r="L21" s="741" t="s">
        <v>23</v>
      </c>
      <c r="M21" s="435" t="s">
        <v>9</v>
      </c>
    </row>
    <row r="22" spans="1:13" s="732" customFormat="1" ht="29.25" customHeight="1" x14ac:dyDescent="0.2">
      <c r="A22" s="734"/>
      <c r="B22" s="195" t="s">
        <v>3173</v>
      </c>
      <c r="C22" s="403" t="s">
        <v>3174</v>
      </c>
      <c r="D22" s="323"/>
      <c r="E22" s="236"/>
      <c r="F22" s="323"/>
      <c r="G22" s="236"/>
      <c r="H22" s="323"/>
      <c r="I22" s="236">
        <v>190000</v>
      </c>
      <c r="J22" s="323"/>
      <c r="K22" s="236">
        <f>115000+50000+80000</f>
        <v>245000</v>
      </c>
      <c r="L22" s="741" t="s">
        <v>2108</v>
      </c>
      <c r="M22" s="959" t="s">
        <v>9</v>
      </c>
    </row>
    <row r="23" spans="1:13" s="359" customFormat="1" ht="21" customHeight="1" x14ac:dyDescent="0.2">
      <c r="A23" s="734"/>
      <c r="B23" s="231">
        <v>580391282</v>
      </c>
      <c r="C23" s="403" t="s">
        <v>2119</v>
      </c>
      <c r="D23" s="323"/>
      <c r="E23" s="236">
        <v>67677</v>
      </c>
      <c r="F23" s="323"/>
      <c r="G23" s="236">
        <v>108817</v>
      </c>
      <c r="H23" s="323"/>
      <c r="I23" s="236"/>
      <c r="J23" s="323"/>
      <c r="K23" s="236">
        <v>123000</v>
      </c>
      <c r="L23" s="741" t="s">
        <v>2102</v>
      </c>
      <c r="M23" s="742" t="s">
        <v>9</v>
      </c>
    </row>
    <row r="24" spans="1:13" s="747" customFormat="1" ht="15.75" x14ac:dyDescent="0.25">
      <c r="A24" s="744"/>
      <c r="B24" s="745" t="s">
        <v>475</v>
      </c>
      <c r="C24" s="460"/>
      <c r="D24" s="323"/>
      <c r="E24" s="408">
        <f t="shared" ref="E24:G24" si="0">SUM(E25:E41)</f>
        <v>1694528</v>
      </c>
      <c r="F24" s="323"/>
      <c r="G24" s="408">
        <f t="shared" si="0"/>
        <v>3618124.02</v>
      </c>
      <c r="H24" s="323"/>
      <c r="I24" s="408">
        <f t="shared" ref="I24:K24" si="1">SUM(I25:I41)</f>
        <v>2500400</v>
      </c>
      <c r="J24" s="323"/>
      <c r="K24" s="408">
        <f t="shared" si="1"/>
        <v>2453000</v>
      </c>
      <c r="L24" s="746"/>
      <c r="M24" s="408"/>
    </row>
    <row r="25" spans="1:13" s="732" customFormat="1" ht="24.75" customHeight="1" x14ac:dyDescent="0.2">
      <c r="A25" s="730">
        <v>17</v>
      </c>
      <c r="B25" s="231">
        <v>500205257</v>
      </c>
      <c r="C25" s="403" t="s">
        <v>2120</v>
      </c>
      <c r="D25" s="323"/>
      <c r="E25" s="236">
        <v>130000</v>
      </c>
      <c r="F25" s="323"/>
      <c r="G25" s="236">
        <v>150000</v>
      </c>
      <c r="H25" s="323"/>
      <c r="I25" s="236">
        <v>178500</v>
      </c>
      <c r="J25" s="323"/>
      <c r="K25" s="236">
        <f>50000+63000</f>
        <v>113000</v>
      </c>
      <c r="L25" s="748" t="s">
        <v>2121</v>
      </c>
      <c r="M25" s="604" t="s">
        <v>9</v>
      </c>
    </row>
    <row r="26" spans="1:13" s="732" customFormat="1" ht="26.1" customHeight="1" x14ac:dyDescent="0.2">
      <c r="A26" s="730">
        <v>11</v>
      </c>
      <c r="B26" s="231">
        <v>500212964</v>
      </c>
      <c r="C26" s="403" t="s">
        <v>2122</v>
      </c>
      <c r="D26" s="323"/>
      <c r="E26" s="236"/>
      <c r="F26" s="323"/>
      <c r="G26" s="236">
        <v>122400</v>
      </c>
      <c r="H26" s="323"/>
      <c r="I26" s="836">
        <v>122400</v>
      </c>
      <c r="J26" s="323"/>
      <c r="K26" s="1033"/>
      <c r="L26" s="731" t="s">
        <v>2123</v>
      </c>
      <c r="M26" s="236" t="s">
        <v>9</v>
      </c>
    </row>
    <row r="27" spans="1:13" s="732" customFormat="1" ht="22.5" customHeight="1" x14ac:dyDescent="0.2">
      <c r="A27" s="730">
        <v>14</v>
      </c>
      <c r="B27" s="231">
        <v>500204805</v>
      </c>
      <c r="C27" s="403" t="s">
        <v>2124</v>
      </c>
      <c r="D27" s="323"/>
      <c r="E27" s="236">
        <v>246274</v>
      </c>
      <c r="F27" s="323"/>
      <c r="G27" s="236">
        <v>325000</v>
      </c>
      <c r="H27" s="323"/>
      <c r="I27" s="236">
        <v>320000</v>
      </c>
      <c r="J27" s="323"/>
      <c r="K27" s="236">
        <f>40000*2+150000+70000</f>
        <v>300000</v>
      </c>
      <c r="L27" s="731" t="s">
        <v>2118</v>
      </c>
      <c r="M27" s="236" t="s">
        <v>9</v>
      </c>
    </row>
    <row r="28" spans="1:13" s="732" customFormat="1" ht="21" customHeight="1" x14ac:dyDescent="0.2">
      <c r="A28" s="730">
        <v>15</v>
      </c>
      <c r="B28" s="231">
        <v>500288006</v>
      </c>
      <c r="C28" s="403" t="s">
        <v>2125</v>
      </c>
      <c r="D28" s="323"/>
      <c r="E28" s="236"/>
      <c r="F28" s="323"/>
      <c r="G28" s="236"/>
      <c r="H28" s="323"/>
      <c r="I28" s="236"/>
      <c r="J28" s="323"/>
      <c r="K28" s="236"/>
      <c r="L28" s="731" t="s">
        <v>19</v>
      </c>
      <c r="M28" s="236" t="s">
        <v>9</v>
      </c>
    </row>
    <row r="29" spans="1:13" s="732" customFormat="1" ht="19.5" customHeight="1" x14ac:dyDescent="0.2">
      <c r="A29" s="730"/>
      <c r="B29" s="231">
        <v>500205026</v>
      </c>
      <c r="C29" s="403" t="s">
        <v>2126</v>
      </c>
      <c r="D29" s="323"/>
      <c r="E29" s="236">
        <v>220000</v>
      </c>
      <c r="F29" s="323"/>
      <c r="G29" s="236">
        <v>438710</v>
      </c>
      <c r="H29" s="323"/>
      <c r="I29" s="236">
        <v>325000</v>
      </c>
      <c r="J29" s="323"/>
      <c r="K29" s="236">
        <f>50000+180000+75000</f>
        <v>305000</v>
      </c>
      <c r="L29" s="748" t="s">
        <v>2113</v>
      </c>
      <c r="M29" s="604" t="s">
        <v>9</v>
      </c>
    </row>
    <row r="30" spans="1:13" s="732" customFormat="1" ht="29.25" customHeight="1" x14ac:dyDescent="0.2">
      <c r="A30" s="730"/>
      <c r="B30" s="231">
        <v>500212956</v>
      </c>
      <c r="C30" s="403" t="s">
        <v>2127</v>
      </c>
      <c r="D30" s="323"/>
      <c r="E30" s="236">
        <v>152500</v>
      </c>
      <c r="F30" s="323"/>
      <c r="G30" s="236">
        <v>160000.01999999999</v>
      </c>
      <c r="H30" s="323"/>
      <c r="I30" s="236">
        <v>150000</v>
      </c>
      <c r="J30" s="323"/>
      <c r="K30" s="236">
        <f>70000+50000</f>
        <v>120000</v>
      </c>
      <c r="L30" s="748" t="s">
        <v>2128</v>
      </c>
      <c r="M30" s="604" t="s">
        <v>9</v>
      </c>
    </row>
    <row r="31" spans="1:13" s="732" customFormat="1" ht="29.25" customHeight="1" x14ac:dyDescent="0.2">
      <c r="A31" s="730"/>
      <c r="B31" s="231">
        <v>500205349</v>
      </c>
      <c r="C31" s="403" t="s">
        <v>2129</v>
      </c>
      <c r="D31" s="323"/>
      <c r="E31" s="236">
        <v>92000</v>
      </c>
      <c r="F31" s="323"/>
      <c r="G31" s="236">
        <v>365610</v>
      </c>
      <c r="H31" s="323"/>
      <c r="I31" s="236">
        <v>180000</v>
      </c>
      <c r="J31" s="323"/>
      <c r="K31" s="236">
        <f>50000*3</f>
        <v>150000</v>
      </c>
      <c r="L31" s="748" t="s">
        <v>2106</v>
      </c>
      <c r="M31" s="604" t="s">
        <v>9</v>
      </c>
    </row>
    <row r="32" spans="1:13" s="732" customFormat="1" ht="24" customHeight="1" x14ac:dyDescent="0.2">
      <c r="A32" s="730"/>
      <c r="B32" s="231">
        <v>500204854</v>
      </c>
      <c r="C32" s="403" t="s">
        <v>2130</v>
      </c>
      <c r="D32" s="323"/>
      <c r="E32" s="236">
        <v>130000</v>
      </c>
      <c r="F32" s="323"/>
      <c r="G32" s="236">
        <v>130000</v>
      </c>
      <c r="H32" s="323"/>
      <c r="I32" s="236">
        <v>0</v>
      </c>
      <c r="J32" s="323"/>
      <c r="K32" s="236"/>
      <c r="L32" s="748" t="s">
        <v>2336</v>
      </c>
      <c r="M32" s="604" t="s">
        <v>9</v>
      </c>
    </row>
    <row r="33" spans="1:13" s="732" customFormat="1" ht="27.75" customHeight="1" x14ac:dyDescent="0.2">
      <c r="A33" s="730"/>
      <c r="B33" s="231">
        <v>5000204961</v>
      </c>
      <c r="C33" s="403" t="s">
        <v>2131</v>
      </c>
      <c r="D33" s="323"/>
      <c r="E33" s="236">
        <v>225000</v>
      </c>
      <c r="F33" s="323"/>
      <c r="G33" s="236">
        <v>212000</v>
      </c>
      <c r="H33" s="323"/>
      <c r="I33" s="236">
        <v>52500</v>
      </c>
      <c r="J33" s="323"/>
      <c r="K33" s="236">
        <v>150000</v>
      </c>
      <c r="L33" s="748" t="s">
        <v>2337</v>
      </c>
      <c r="M33" s="604" t="s">
        <v>9</v>
      </c>
    </row>
    <row r="34" spans="1:13" s="732" customFormat="1" ht="20.25" customHeight="1" x14ac:dyDescent="0.2">
      <c r="A34" s="730"/>
      <c r="B34" s="231">
        <v>500205364</v>
      </c>
      <c r="C34" s="403" t="s">
        <v>2132</v>
      </c>
      <c r="D34" s="323"/>
      <c r="E34" s="236">
        <v>137000</v>
      </c>
      <c r="F34" s="323"/>
      <c r="G34" s="236">
        <v>314270</v>
      </c>
      <c r="H34" s="323"/>
      <c r="I34" s="236">
        <v>107000</v>
      </c>
      <c r="J34" s="323"/>
      <c r="K34" s="236">
        <f>60000+40000</f>
        <v>100000</v>
      </c>
      <c r="L34" s="748" t="s">
        <v>2338</v>
      </c>
      <c r="M34" s="604" t="s">
        <v>9</v>
      </c>
    </row>
    <row r="35" spans="1:13" s="732" customFormat="1" ht="30.75" customHeight="1" x14ac:dyDescent="0.2">
      <c r="A35" s="730"/>
      <c r="B35" s="195">
        <v>500221023</v>
      </c>
      <c r="C35" s="403" t="s">
        <v>2133</v>
      </c>
      <c r="D35" s="323"/>
      <c r="E35" s="236">
        <v>35000</v>
      </c>
      <c r="F35" s="323"/>
      <c r="G35" s="236">
        <v>118627</v>
      </c>
      <c r="H35" s="323"/>
      <c r="I35" s="236">
        <v>90000</v>
      </c>
      <c r="J35" s="323"/>
      <c r="K35" s="236">
        <f>60000*2</f>
        <v>120000</v>
      </c>
      <c r="L35" s="871" t="s">
        <v>2339</v>
      </c>
      <c r="M35" s="604" t="s">
        <v>9</v>
      </c>
    </row>
    <row r="36" spans="1:13" s="732" customFormat="1" ht="20.25" customHeight="1" x14ac:dyDescent="0.2">
      <c r="A36" s="730"/>
      <c r="B36" s="195">
        <v>500205083</v>
      </c>
      <c r="C36" s="403" t="s">
        <v>2134</v>
      </c>
      <c r="D36" s="323"/>
      <c r="E36" s="236">
        <v>127853</v>
      </c>
      <c r="F36" s="323"/>
      <c r="G36" s="236">
        <v>191765</v>
      </c>
      <c r="H36" s="323"/>
      <c r="I36" s="236">
        <v>295000</v>
      </c>
      <c r="J36" s="323"/>
      <c r="K36" s="236">
        <v>300000</v>
      </c>
      <c r="L36" s="737" t="s">
        <v>2110</v>
      </c>
      <c r="M36" s="738" t="s">
        <v>9</v>
      </c>
    </row>
    <row r="37" spans="1:13" s="732" customFormat="1" ht="20.25" customHeight="1" x14ac:dyDescent="0.2">
      <c r="A37" s="730"/>
      <c r="B37" s="195">
        <v>500242037</v>
      </c>
      <c r="C37" s="403" t="s">
        <v>2236</v>
      </c>
      <c r="D37" s="323"/>
      <c r="E37" s="236"/>
      <c r="F37" s="323"/>
      <c r="G37" s="236">
        <v>130000</v>
      </c>
      <c r="H37" s="323"/>
      <c r="I37" s="236"/>
      <c r="J37" s="323"/>
      <c r="K37" s="236"/>
      <c r="L37" s="737" t="s">
        <v>2236</v>
      </c>
      <c r="M37" s="738" t="s">
        <v>9</v>
      </c>
    </row>
    <row r="38" spans="1:13" s="732" customFormat="1" ht="29.25" customHeight="1" x14ac:dyDescent="0.2">
      <c r="A38" s="730">
        <v>1</v>
      </c>
      <c r="B38" s="195">
        <v>500204946</v>
      </c>
      <c r="C38" s="403" t="s">
        <v>2135</v>
      </c>
      <c r="D38" s="323"/>
      <c r="E38" s="236">
        <v>198901</v>
      </c>
      <c r="F38" s="323"/>
      <c r="G38" s="236">
        <v>333901</v>
      </c>
      <c r="H38" s="323"/>
      <c r="I38" s="236">
        <v>465000</v>
      </c>
      <c r="J38" s="323"/>
      <c r="K38" s="236">
        <f>80000+85000+250000+100000</f>
        <v>515000</v>
      </c>
      <c r="L38" s="749" t="s">
        <v>2136</v>
      </c>
      <c r="M38" s="435" t="s">
        <v>9</v>
      </c>
    </row>
    <row r="39" spans="1:13" s="732" customFormat="1" ht="29.25" customHeight="1" x14ac:dyDescent="0.2">
      <c r="A39" s="730"/>
      <c r="B39" s="195" t="s">
        <v>2578</v>
      </c>
      <c r="C39" s="403" t="s">
        <v>2579</v>
      </c>
      <c r="D39" s="323"/>
      <c r="E39" s="236"/>
      <c r="F39" s="323"/>
      <c r="G39" s="236">
        <v>353841</v>
      </c>
      <c r="H39" s="323"/>
      <c r="I39" s="236">
        <v>165000</v>
      </c>
      <c r="J39" s="323"/>
      <c r="K39" s="236">
        <v>180000</v>
      </c>
      <c r="L39" s="403" t="s">
        <v>2579</v>
      </c>
      <c r="M39" s="435" t="s">
        <v>9</v>
      </c>
    </row>
    <row r="40" spans="1:13" s="732" customFormat="1" ht="29.25" customHeight="1" x14ac:dyDescent="0.2">
      <c r="A40" s="730"/>
      <c r="B40" s="195" t="s">
        <v>2845</v>
      </c>
      <c r="C40" s="403" t="s">
        <v>2846</v>
      </c>
      <c r="D40" s="323"/>
      <c r="E40" s="236"/>
      <c r="F40" s="323"/>
      <c r="G40" s="236">
        <v>142000</v>
      </c>
      <c r="H40" s="323"/>
      <c r="I40" s="236">
        <v>50000</v>
      </c>
      <c r="J40" s="323"/>
      <c r="K40" s="236">
        <v>100000</v>
      </c>
      <c r="L40" s="403" t="s">
        <v>2846</v>
      </c>
      <c r="M40" s="435" t="s">
        <v>9</v>
      </c>
    </row>
    <row r="41" spans="1:13" s="732" customFormat="1" ht="29.25" customHeight="1" x14ac:dyDescent="0.2">
      <c r="A41" s="730"/>
      <c r="B41" s="195" t="s">
        <v>2726</v>
      </c>
      <c r="C41" s="403" t="s">
        <v>2727</v>
      </c>
      <c r="D41" s="323"/>
      <c r="E41" s="236"/>
      <c r="F41" s="323"/>
      <c r="G41" s="236">
        <v>130000</v>
      </c>
      <c r="H41" s="323"/>
      <c r="I41" s="236"/>
      <c r="J41" s="323"/>
      <c r="K41" s="236"/>
      <c r="L41" s="403" t="s">
        <v>2727</v>
      </c>
      <c r="M41" s="435" t="s">
        <v>9</v>
      </c>
    </row>
  </sheetData>
  <mergeCells count="1">
    <mergeCell ref="B3:C3"/>
  </mergeCells>
  <pageMargins left="0" right="0.62992125984251968" top="1.4960629921259843" bottom="0.35433070866141736" header="1.0629921259842521" footer="0.11811023622047245"/>
  <pageSetup paperSize="9" scale="74" fitToHeight="2" orientation="landscape" r:id="rId1"/>
  <headerFooter alignWithMargins="0">
    <oddHeader>&amp;L&amp;D&amp;Cמינהל תרבות
&amp;"Arial,מודגש"&amp;11תקציב על שינויו 2016-2019 בש"ח בהתאם להחלטת ועדת התמיכות
&amp;R&amp;"Arial,מודגש"&amp;16תקנה 42-02-49- תרבות במגזר דרוזי</oddHeader>
    <oddFooter>&amp;L&amp;F&amp;C&amp;P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0"/>
  <dimension ref="A1:CO89"/>
  <sheetViews>
    <sheetView rightToLeft="1" zoomScale="80" zoomScaleNormal="80" zoomScaleSheetLayoutView="100" workbookViewId="0">
      <pane ySplit="1" topLeftCell="A71" activePane="bottomLeft" state="frozen"/>
      <selection pane="bottomLeft" activeCell="B41" sqref="B41"/>
    </sheetView>
  </sheetViews>
  <sheetFormatPr defaultColWidth="0.7109375" defaultRowHeight="12.75" outlineLevelRow="2" x14ac:dyDescent="0.2"/>
  <cols>
    <col min="1" max="1" width="24.28515625" style="41" customWidth="1"/>
    <col min="2" max="2" width="10.85546875" style="41" bestFit="1" customWidth="1"/>
    <col min="3" max="3" width="13.5703125" style="41" customWidth="1"/>
    <col min="4" max="4" width="11.28515625" style="41" customWidth="1"/>
    <col min="5" max="5" width="12.85546875" style="117" hidden="1" customWidth="1"/>
    <col min="6" max="7" width="13" style="117" hidden="1" customWidth="1"/>
    <col min="8" max="9" width="13" style="43" hidden="1" customWidth="1"/>
    <col min="10" max="12" width="13" style="43" customWidth="1"/>
    <col min="13" max="13" width="37.28515625" style="43" customWidth="1"/>
    <col min="14" max="14" width="16.7109375" style="42" customWidth="1"/>
    <col min="15" max="15" width="11.28515625" style="42" customWidth="1"/>
    <col min="16" max="36" width="5.85546875" style="42" customWidth="1"/>
    <col min="37" max="73" width="0.7109375" style="42"/>
    <col min="74" max="16384" width="0.7109375" style="41"/>
  </cols>
  <sheetData>
    <row r="1" spans="1:93" s="99" customFormat="1" ht="41.25" customHeight="1" x14ac:dyDescent="0.2">
      <c r="A1" s="103" t="s">
        <v>273</v>
      </c>
      <c r="B1" s="103" t="s">
        <v>272</v>
      </c>
      <c r="C1" s="148" t="s">
        <v>271</v>
      </c>
      <c r="D1" s="148" t="s">
        <v>270</v>
      </c>
      <c r="E1" s="147" t="s">
        <v>381</v>
      </c>
      <c r="F1" s="147" t="s">
        <v>380</v>
      </c>
      <c r="G1" s="103" t="s">
        <v>379</v>
      </c>
      <c r="H1" s="103" t="s">
        <v>378</v>
      </c>
      <c r="I1" s="103" t="s">
        <v>377</v>
      </c>
      <c r="J1" s="104" t="s">
        <v>269</v>
      </c>
      <c r="K1" s="103" t="s">
        <v>268</v>
      </c>
      <c r="L1" s="102" t="s">
        <v>267</v>
      </c>
      <c r="M1" s="146" t="s">
        <v>4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</row>
    <row r="2" spans="1:93" ht="32.25" customHeight="1" outlineLevel="2" x14ac:dyDescent="0.2">
      <c r="A2" s="51" t="s">
        <v>2137</v>
      </c>
      <c r="B2" s="53">
        <v>500204805</v>
      </c>
      <c r="C2" s="49">
        <v>1000548906</v>
      </c>
      <c r="D2" s="48">
        <v>20000034</v>
      </c>
      <c r="E2" s="536">
        <v>50000</v>
      </c>
      <c r="F2" s="46">
        <v>30000</v>
      </c>
      <c r="G2" s="46">
        <v>40000</v>
      </c>
      <c r="H2" s="101">
        <v>45000</v>
      </c>
      <c r="I2" s="46">
        <v>44175</v>
      </c>
      <c r="J2" s="46">
        <v>38542</v>
      </c>
      <c r="K2" s="46">
        <v>38542</v>
      </c>
      <c r="L2" s="59">
        <f>J2-K2</f>
        <v>0</v>
      </c>
      <c r="M2" s="394"/>
      <c r="N2" s="41"/>
      <c r="O2" s="288" t="e">
        <f>MATCH(B2,#REF!,0)</f>
        <v>#REF!</v>
      </c>
      <c r="P2" s="288" t="e">
        <f>-MATCH(B2,#REF!,0)</f>
        <v>#REF!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</row>
    <row r="3" spans="1:93" s="44" customFormat="1" ht="36" customHeight="1" outlineLevel="2" x14ac:dyDescent="0.2">
      <c r="A3" s="51" t="s">
        <v>2138</v>
      </c>
      <c r="B3" s="53">
        <v>500204805</v>
      </c>
      <c r="C3" s="49">
        <v>1000548929</v>
      </c>
      <c r="D3" s="48">
        <v>20000034</v>
      </c>
      <c r="E3" s="536"/>
      <c r="F3" s="46">
        <v>0</v>
      </c>
      <c r="G3" s="46">
        <v>40000</v>
      </c>
      <c r="H3" s="101">
        <v>32176</v>
      </c>
      <c r="I3" s="46">
        <v>33981</v>
      </c>
      <c r="J3" s="46">
        <v>36495</v>
      </c>
      <c r="K3" s="46">
        <v>36495</v>
      </c>
      <c r="L3" s="59">
        <f>J3-K3</f>
        <v>0</v>
      </c>
      <c r="M3" s="394"/>
      <c r="O3" s="288" t="e">
        <f>MATCH(B3,#REF!,0)</f>
        <v>#REF!</v>
      </c>
      <c r="P3" s="288" t="e">
        <f>-MATCH(B3,#REF!,0)</f>
        <v>#REF!</v>
      </c>
    </row>
    <row r="4" spans="1:93" ht="41.1" customHeight="1" outlineLevel="2" x14ac:dyDescent="0.2">
      <c r="A4" s="51" t="s">
        <v>2139</v>
      </c>
      <c r="B4" s="53">
        <v>500204805</v>
      </c>
      <c r="C4" s="49">
        <v>1000548937</v>
      </c>
      <c r="D4" s="48">
        <v>20000034</v>
      </c>
      <c r="E4" s="46">
        <v>0</v>
      </c>
      <c r="F4" s="101">
        <v>40000</v>
      </c>
      <c r="G4" s="536">
        <v>0</v>
      </c>
      <c r="H4" s="536"/>
      <c r="I4" s="46">
        <v>0</v>
      </c>
      <c r="J4" s="46">
        <v>35005</v>
      </c>
      <c r="K4" s="46">
        <v>35005</v>
      </c>
      <c r="L4" s="59">
        <f>J4-K4</f>
        <v>0</v>
      </c>
      <c r="M4" s="59"/>
      <c r="O4" s="288" t="e">
        <f>MATCH(B4,#REF!,0)</f>
        <v>#REF!</v>
      </c>
      <c r="P4" s="288" t="e">
        <f>-MATCH(B4,#REF!,0)</f>
        <v>#REF!</v>
      </c>
      <c r="BU4" s="41"/>
    </row>
    <row r="5" spans="1:93" ht="41.1" customHeight="1" outlineLevel="1" x14ac:dyDescent="0.2">
      <c r="A5" s="51"/>
      <c r="B5" s="53"/>
      <c r="C5" s="49"/>
      <c r="D5" s="750" t="s">
        <v>2140</v>
      </c>
      <c r="E5" s="46"/>
      <c r="F5" s="101"/>
      <c r="G5" s="536"/>
      <c r="H5" s="536"/>
      <c r="I5" s="46"/>
      <c r="J5" s="46"/>
      <c r="K5" s="46">
        <f>SUBTOTAL(9,K2:K4)</f>
        <v>110042</v>
      </c>
      <c r="L5" s="59"/>
      <c r="M5" s="59"/>
      <c r="O5" s="288" t="e">
        <f>MATCH(B5,#REF!,0)</f>
        <v>#REF!</v>
      </c>
      <c r="P5" s="288" t="e">
        <f>-MATCH(B5,#REF!,0)</f>
        <v>#REF!</v>
      </c>
      <c r="BU5" s="41"/>
    </row>
    <row r="6" spans="1:93" s="44" customFormat="1" ht="39.950000000000003" customHeight="1" outlineLevel="2" x14ac:dyDescent="0.2">
      <c r="A6" s="55" t="s">
        <v>2141</v>
      </c>
      <c r="B6" s="50">
        <v>500204854</v>
      </c>
      <c r="C6" s="54">
        <v>1000552776</v>
      </c>
      <c r="D6" s="48">
        <v>20000038</v>
      </c>
      <c r="E6" s="536"/>
      <c r="F6" s="536"/>
      <c r="G6" s="536"/>
      <c r="H6" s="536"/>
      <c r="I6" s="536">
        <v>0</v>
      </c>
      <c r="J6" s="46">
        <v>30728</v>
      </c>
      <c r="K6" s="46">
        <v>30728</v>
      </c>
      <c r="L6" s="59">
        <f>J6-K6</f>
        <v>0</v>
      </c>
      <c r="M6" s="471"/>
      <c r="O6" s="288" t="e">
        <f>MATCH(B6,#REF!,0)</f>
        <v>#REF!</v>
      </c>
      <c r="P6" s="288" t="e">
        <f>-MATCH(B6,#REF!,0)</f>
        <v>#REF!</v>
      </c>
    </row>
    <row r="7" spans="1:93" s="42" customFormat="1" ht="41.1" customHeight="1" outlineLevel="2" x14ac:dyDescent="0.2">
      <c r="A7" s="55" t="s">
        <v>2142</v>
      </c>
      <c r="B7" s="50">
        <v>500204854</v>
      </c>
      <c r="C7" s="54">
        <v>1000552788</v>
      </c>
      <c r="D7" s="48">
        <v>20000038</v>
      </c>
      <c r="E7" s="536"/>
      <c r="F7" s="536"/>
      <c r="G7" s="536"/>
      <c r="H7" s="536"/>
      <c r="I7" s="536">
        <v>26195</v>
      </c>
      <c r="J7" s="46">
        <v>30000</v>
      </c>
      <c r="K7" s="46">
        <v>30000</v>
      </c>
      <c r="L7" s="59">
        <f>J7-K7</f>
        <v>0</v>
      </c>
      <c r="M7" s="471"/>
      <c r="O7" s="288" t="e">
        <f>MATCH(B7,#REF!,0)</f>
        <v>#REF!</v>
      </c>
      <c r="P7" s="288" t="e">
        <f>-MATCH(B7,#REF!,0)</f>
        <v>#REF!</v>
      </c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</row>
    <row r="8" spans="1:93" s="42" customFormat="1" ht="41.1" customHeight="1" outlineLevel="2" x14ac:dyDescent="0.2">
      <c r="A8" s="55" t="s">
        <v>2143</v>
      </c>
      <c r="B8" s="50">
        <v>500204854</v>
      </c>
      <c r="C8" s="54">
        <v>1000552823</v>
      </c>
      <c r="D8" s="48">
        <v>20000038</v>
      </c>
      <c r="E8" s="536"/>
      <c r="F8" s="536"/>
      <c r="G8" s="536"/>
      <c r="H8" s="536"/>
      <c r="I8" s="536">
        <v>50000</v>
      </c>
      <c r="J8" s="46">
        <v>50000</v>
      </c>
      <c r="K8" s="46">
        <v>50000</v>
      </c>
      <c r="L8" s="59">
        <f>J8-K8</f>
        <v>0</v>
      </c>
      <c r="M8" s="471"/>
      <c r="O8" s="288" t="e">
        <f>MATCH(B8,#REF!,0)</f>
        <v>#REF!</v>
      </c>
      <c r="P8" s="288" t="e">
        <f>-MATCH(B8,#REF!,0)</f>
        <v>#REF!</v>
      </c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</row>
    <row r="9" spans="1:93" s="42" customFormat="1" ht="41.1" customHeight="1" outlineLevel="1" x14ac:dyDescent="0.2">
      <c r="A9" s="55"/>
      <c r="B9" s="50"/>
      <c r="C9" s="54"/>
      <c r="D9" s="750" t="s">
        <v>2144</v>
      </c>
      <c r="E9" s="536"/>
      <c r="F9" s="536"/>
      <c r="G9" s="536"/>
      <c r="H9" s="536"/>
      <c r="I9" s="536"/>
      <c r="J9" s="46"/>
      <c r="K9" s="46">
        <f>SUBTOTAL(9,K6:K8)</f>
        <v>110728</v>
      </c>
      <c r="L9" s="59"/>
      <c r="M9" s="471"/>
      <c r="O9" s="288" t="e">
        <f>MATCH(B9,#REF!,0)</f>
        <v>#REF!</v>
      </c>
      <c r="P9" s="288" t="e">
        <f>-MATCH(B9,#REF!,0)</f>
        <v>#REF!</v>
      </c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</row>
    <row r="10" spans="1:93" s="42" customFormat="1" ht="41.1" customHeight="1" outlineLevel="2" x14ac:dyDescent="0.2">
      <c r="A10" s="51" t="s">
        <v>2145</v>
      </c>
      <c r="B10" s="50">
        <v>500204946</v>
      </c>
      <c r="C10" s="49">
        <v>1000545813</v>
      </c>
      <c r="D10" s="48">
        <v>20000043</v>
      </c>
      <c r="E10" s="46">
        <v>0</v>
      </c>
      <c r="F10" s="46">
        <v>30000</v>
      </c>
      <c r="G10" s="46">
        <v>45000</v>
      </c>
      <c r="H10" s="101">
        <v>45046</v>
      </c>
      <c r="I10" s="46">
        <v>31149</v>
      </c>
      <c r="J10" s="46">
        <v>36125</v>
      </c>
      <c r="K10" s="46">
        <v>36125</v>
      </c>
      <c r="L10" s="59">
        <f>J10-K10</f>
        <v>0</v>
      </c>
      <c r="M10" s="751"/>
      <c r="O10" s="288" t="e">
        <f>MATCH(B10,#REF!,0)</f>
        <v>#REF!</v>
      </c>
      <c r="P10" s="288" t="e">
        <f>-MATCH(B10,#REF!,0)</f>
        <v>#REF!</v>
      </c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</row>
    <row r="11" spans="1:93" s="42" customFormat="1" ht="41.1" customHeight="1" outlineLevel="2" x14ac:dyDescent="0.2">
      <c r="A11" s="51" t="s">
        <v>2146</v>
      </c>
      <c r="B11" s="50">
        <v>500204946</v>
      </c>
      <c r="C11" s="49">
        <v>1000545869</v>
      </c>
      <c r="D11" s="48">
        <v>20000043</v>
      </c>
      <c r="E11" s="46">
        <v>35000</v>
      </c>
      <c r="F11" s="46">
        <v>45000</v>
      </c>
      <c r="G11" s="46">
        <v>55000</v>
      </c>
      <c r="H11" s="101">
        <v>45064</v>
      </c>
      <c r="I11" s="46">
        <v>63997</v>
      </c>
      <c r="J11" s="46">
        <v>55836</v>
      </c>
      <c r="K11" s="46">
        <v>55836</v>
      </c>
      <c r="L11" s="59">
        <f>J11-K11</f>
        <v>0</v>
      </c>
      <c r="M11" s="751"/>
      <c r="O11" s="288" t="e">
        <f>MATCH(B11,#REF!,0)</f>
        <v>#REF!</v>
      </c>
      <c r="P11" s="288" t="e">
        <f>-MATCH(B11,#REF!,0)</f>
        <v>#REF!</v>
      </c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</row>
    <row r="12" spans="1:93" s="42" customFormat="1" ht="47.25" customHeight="1" outlineLevel="2" x14ac:dyDescent="0.2">
      <c r="A12" s="51" t="s">
        <v>2147</v>
      </c>
      <c r="B12" s="50">
        <v>500204946</v>
      </c>
      <c r="C12" s="49">
        <v>1000545876</v>
      </c>
      <c r="D12" s="48">
        <v>20000043</v>
      </c>
      <c r="E12" s="46">
        <v>0</v>
      </c>
      <c r="F12" s="46">
        <v>0</v>
      </c>
      <c r="G12" s="46">
        <v>0</v>
      </c>
      <c r="H12" s="101">
        <v>0</v>
      </c>
      <c r="I12" s="46">
        <v>32848</v>
      </c>
      <c r="J12" s="46">
        <v>50000</v>
      </c>
      <c r="K12" s="46">
        <v>50000</v>
      </c>
      <c r="L12" s="59">
        <f>J12-K12</f>
        <v>0</v>
      </c>
      <c r="M12" s="751"/>
      <c r="O12" s="288" t="e">
        <f>MATCH(B12,#REF!,0)</f>
        <v>#REF!</v>
      </c>
      <c r="P12" s="288" t="e">
        <f>-MATCH(B12,#REF!,0)</f>
        <v>#REF!</v>
      </c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</row>
    <row r="13" spans="1:93" s="42" customFormat="1" ht="41.1" customHeight="1" outlineLevel="2" x14ac:dyDescent="0.2">
      <c r="A13" s="51" t="s">
        <v>2148</v>
      </c>
      <c r="B13" s="50">
        <v>500204946</v>
      </c>
      <c r="C13" s="49">
        <v>1000545802</v>
      </c>
      <c r="D13" s="48">
        <v>20000043</v>
      </c>
      <c r="E13" s="46">
        <v>0</v>
      </c>
      <c r="F13" s="46">
        <v>30000</v>
      </c>
      <c r="G13" s="46">
        <v>50000</v>
      </c>
      <c r="H13" s="101"/>
      <c r="I13" s="46">
        <v>0</v>
      </c>
      <c r="J13" s="46">
        <v>71501</v>
      </c>
      <c r="K13" s="46">
        <v>71501</v>
      </c>
      <c r="L13" s="59">
        <f>J13-K13</f>
        <v>0</v>
      </c>
      <c r="M13" s="51"/>
      <c r="O13" s="288" t="e">
        <f>MATCH(B13,#REF!,0)</f>
        <v>#REF!</v>
      </c>
      <c r="P13" s="288" t="e">
        <f>-MATCH(B13,#REF!,0)</f>
        <v>#REF!</v>
      </c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</row>
    <row r="14" spans="1:93" s="42" customFormat="1" ht="48.75" customHeight="1" outlineLevel="2" x14ac:dyDescent="0.2">
      <c r="A14" s="51" t="s">
        <v>2149</v>
      </c>
      <c r="B14" s="50">
        <v>500204946</v>
      </c>
      <c r="C14" s="49">
        <v>1000546110</v>
      </c>
      <c r="D14" s="48">
        <v>20000043</v>
      </c>
      <c r="E14" s="536">
        <v>0</v>
      </c>
      <c r="F14" s="46">
        <v>20000</v>
      </c>
      <c r="G14" s="46">
        <v>39991</v>
      </c>
      <c r="H14" s="101">
        <v>45046</v>
      </c>
      <c r="I14" s="46">
        <v>34547</v>
      </c>
      <c r="J14" s="46">
        <v>43140</v>
      </c>
      <c r="K14" s="46">
        <v>43140</v>
      </c>
      <c r="L14" s="59">
        <f>J14-K14</f>
        <v>0</v>
      </c>
      <c r="M14" s="751"/>
      <c r="O14" s="288" t="e">
        <f>MATCH(B14,#REF!,0)</f>
        <v>#REF!</v>
      </c>
      <c r="P14" s="288" t="e">
        <f>-MATCH(B14,#REF!,0)</f>
        <v>#REF!</v>
      </c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</row>
    <row r="15" spans="1:93" s="42" customFormat="1" ht="48.75" customHeight="1" outlineLevel="1" x14ac:dyDescent="0.2">
      <c r="A15" s="51"/>
      <c r="B15" s="50"/>
      <c r="C15" s="49"/>
      <c r="D15" s="750" t="s">
        <v>2150</v>
      </c>
      <c r="E15" s="536"/>
      <c r="F15" s="46"/>
      <c r="G15" s="46"/>
      <c r="H15" s="101"/>
      <c r="I15" s="46"/>
      <c r="J15" s="46"/>
      <c r="K15" s="46">
        <f>SUBTOTAL(9,K10:K14)</f>
        <v>256602</v>
      </c>
      <c r="L15" s="59"/>
      <c r="M15" s="751"/>
      <c r="O15" s="288" t="e">
        <f>MATCH(B15,#REF!,0)</f>
        <v>#REF!</v>
      </c>
      <c r="P15" s="288" t="e">
        <f>-MATCH(B15,#REF!,0)</f>
        <v>#REF!</v>
      </c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</row>
    <row r="16" spans="1:93" s="42" customFormat="1" ht="48" customHeight="1" outlineLevel="2" x14ac:dyDescent="0.2">
      <c r="A16" s="55" t="s">
        <v>2151</v>
      </c>
      <c r="B16" s="50">
        <v>500205026</v>
      </c>
      <c r="C16" s="54">
        <v>1000545863</v>
      </c>
      <c r="D16" s="48">
        <v>20000047</v>
      </c>
      <c r="E16" s="46">
        <v>0</v>
      </c>
      <c r="F16" s="101">
        <v>49249</v>
      </c>
      <c r="G16" s="101">
        <v>150000</v>
      </c>
      <c r="H16" s="101">
        <v>193054</v>
      </c>
      <c r="I16" s="46">
        <v>70227</v>
      </c>
      <c r="J16" s="46">
        <v>37932</v>
      </c>
      <c r="K16" s="46">
        <v>37932</v>
      </c>
      <c r="L16" s="59">
        <f>J16-K16</f>
        <v>0</v>
      </c>
      <c r="M16" s="471"/>
      <c r="O16" s="288" t="e">
        <f>MATCH(B16,#REF!,0)</f>
        <v>#REF!</v>
      </c>
      <c r="P16" s="288" t="e">
        <f>-MATCH(B16,#REF!,0)</f>
        <v>#REF!</v>
      </c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</row>
    <row r="17" spans="1:93" ht="41.1" customHeight="1" outlineLevel="2" x14ac:dyDescent="0.2">
      <c r="A17" s="51" t="s">
        <v>2152</v>
      </c>
      <c r="B17" s="50">
        <v>500205026</v>
      </c>
      <c r="C17" s="49">
        <v>1000553127</v>
      </c>
      <c r="D17" s="48">
        <v>20000047</v>
      </c>
      <c r="E17" s="536"/>
      <c r="F17" s="46"/>
      <c r="G17" s="46">
        <v>30000</v>
      </c>
      <c r="H17" s="46">
        <v>43054</v>
      </c>
      <c r="I17" s="46">
        <v>0</v>
      </c>
      <c r="J17" s="46">
        <v>40000</v>
      </c>
      <c r="K17" s="46">
        <v>40000</v>
      </c>
      <c r="L17" s="59">
        <f>J17-K17</f>
        <v>0</v>
      </c>
      <c r="M17" s="751"/>
      <c r="O17" s="288" t="e">
        <f>MATCH(B17,#REF!,0)</f>
        <v>#REF!</v>
      </c>
      <c r="P17" s="288" t="e">
        <f>-MATCH(B17,#REF!,0)</f>
        <v>#REF!</v>
      </c>
      <c r="BT17" s="41"/>
      <c r="BU17" s="41"/>
    </row>
    <row r="18" spans="1:93" s="44" customFormat="1" ht="29.25" customHeight="1" outlineLevel="2" x14ac:dyDescent="0.2">
      <c r="A18" s="51" t="s">
        <v>2153</v>
      </c>
      <c r="B18" s="50">
        <v>500205026</v>
      </c>
      <c r="C18" s="49">
        <v>1000553128</v>
      </c>
      <c r="D18" s="48">
        <v>20000047</v>
      </c>
      <c r="E18" s="536"/>
      <c r="F18" s="46"/>
      <c r="G18" s="46">
        <v>60000</v>
      </c>
      <c r="H18" s="46">
        <v>75000</v>
      </c>
      <c r="I18" s="46">
        <v>0</v>
      </c>
      <c r="J18" s="46">
        <v>40000</v>
      </c>
      <c r="K18" s="46">
        <v>40000</v>
      </c>
      <c r="L18" s="59">
        <f>J18-K18</f>
        <v>0</v>
      </c>
      <c r="M18" s="751"/>
      <c r="O18" s="288" t="e">
        <f>MATCH(B18,#REF!,0)</f>
        <v>#REF!</v>
      </c>
      <c r="P18" s="288" t="e">
        <f>-MATCH(B18,#REF!,0)</f>
        <v>#REF!</v>
      </c>
    </row>
    <row r="19" spans="1:93" s="42" customFormat="1" ht="41.1" customHeight="1" outlineLevel="2" x14ac:dyDescent="0.2">
      <c r="A19" s="51" t="s">
        <v>2154</v>
      </c>
      <c r="B19" s="50">
        <v>500205026</v>
      </c>
      <c r="C19" s="49">
        <v>1000553167</v>
      </c>
      <c r="D19" s="48">
        <v>20000047</v>
      </c>
      <c r="E19" s="536"/>
      <c r="F19" s="536">
        <v>60000</v>
      </c>
      <c r="G19" s="536">
        <v>60000</v>
      </c>
      <c r="H19" s="536">
        <v>75000</v>
      </c>
      <c r="I19" s="536">
        <v>68528</v>
      </c>
      <c r="J19" s="46">
        <v>59789</v>
      </c>
      <c r="K19" s="46">
        <v>59789</v>
      </c>
      <c r="L19" s="59">
        <f>J19-K19</f>
        <v>0</v>
      </c>
      <c r="M19" s="471"/>
      <c r="O19" s="288" t="e">
        <f>MATCH(B19,#REF!,0)</f>
        <v>#REF!</v>
      </c>
      <c r="P19" s="288" t="e">
        <f>-MATCH(B19,#REF!,0)</f>
        <v>#REF!</v>
      </c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</row>
    <row r="20" spans="1:93" s="42" customFormat="1" ht="41.1" customHeight="1" outlineLevel="1" x14ac:dyDescent="0.2">
      <c r="A20" s="51"/>
      <c r="B20" s="50"/>
      <c r="C20" s="49"/>
      <c r="D20" s="750" t="s">
        <v>2155</v>
      </c>
      <c r="E20" s="536"/>
      <c r="F20" s="536"/>
      <c r="G20" s="536"/>
      <c r="H20" s="536"/>
      <c r="I20" s="536"/>
      <c r="J20" s="46"/>
      <c r="K20" s="46">
        <f>SUBTOTAL(9,K16:K19)</f>
        <v>177721</v>
      </c>
      <c r="L20" s="59"/>
      <c r="M20" s="471"/>
      <c r="O20" s="288" t="e">
        <f>MATCH(B20,#REF!,0)</f>
        <v>#REF!</v>
      </c>
      <c r="P20" s="288" t="e">
        <f>-MATCH(B20,#REF!,0)</f>
        <v>#REF!</v>
      </c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</row>
    <row r="21" spans="1:93" s="42" customFormat="1" ht="41.1" customHeight="1" outlineLevel="2" x14ac:dyDescent="0.2">
      <c r="A21" s="51" t="s">
        <v>2156</v>
      </c>
      <c r="B21" s="50">
        <v>500205083</v>
      </c>
      <c r="C21" s="49">
        <v>1000592911</v>
      </c>
      <c r="D21" s="48">
        <v>20000051</v>
      </c>
      <c r="E21" s="536"/>
      <c r="F21" s="536"/>
      <c r="G21" s="536"/>
      <c r="H21" s="536"/>
      <c r="I21" s="536">
        <v>0</v>
      </c>
      <c r="J21" s="46">
        <v>64854</v>
      </c>
      <c r="K21" s="46">
        <v>64854</v>
      </c>
      <c r="L21" s="59">
        <f>J21-K21</f>
        <v>0</v>
      </c>
      <c r="M21" s="471"/>
      <c r="O21" s="288" t="e">
        <f>MATCH(B21,#REF!,0)</f>
        <v>#REF!</v>
      </c>
      <c r="P21" s="288" t="e">
        <f>-MATCH(B21,#REF!,0)</f>
        <v>#REF!</v>
      </c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</row>
    <row r="22" spans="1:93" s="42" customFormat="1" ht="41.1" customHeight="1" outlineLevel="1" x14ac:dyDescent="0.2">
      <c r="A22" s="51"/>
      <c r="B22" s="50"/>
      <c r="C22" s="49"/>
      <c r="D22" s="750" t="s">
        <v>2157</v>
      </c>
      <c r="E22" s="536"/>
      <c r="F22" s="536"/>
      <c r="G22" s="536"/>
      <c r="H22" s="536"/>
      <c r="I22" s="536"/>
      <c r="J22" s="46"/>
      <c r="K22" s="46">
        <f>SUBTOTAL(9,K21:K21)</f>
        <v>64854</v>
      </c>
      <c r="L22" s="59"/>
      <c r="M22" s="471"/>
      <c r="O22" s="288" t="e">
        <f>MATCH(B22,#REF!,0)</f>
        <v>#REF!</v>
      </c>
      <c r="P22" s="288" t="e">
        <f>-MATCH(B22,#REF!,0)</f>
        <v>#REF!</v>
      </c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</row>
    <row r="23" spans="1:93" s="42" customFormat="1" ht="37.5" customHeight="1" outlineLevel="2" x14ac:dyDescent="0.2">
      <c r="A23" s="51" t="s">
        <v>2158</v>
      </c>
      <c r="B23" s="53">
        <v>500205257</v>
      </c>
      <c r="C23" s="49">
        <v>1000551449</v>
      </c>
      <c r="D23" s="48">
        <v>20000060</v>
      </c>
      <c r="E23" s="536">
        <v>0</v>
      </c>
      <c r="F23" s="536">
        <v>30000</v>
      </c>
      <c r="G23" s="536">
        <v>25000</v>
      </c>
      <c r="H23" s="46">
        <v>46527</v>
      </c>
      <c r="I23" s="46">
        <v>28317</v>
      </c>
      <c r="J23" s="46">
        <v>33833</v>
      </c>
      <c r="K23" s="46">
        <v>33833</v>
      </c>
      <c r="L23" s="59">
        <f>J23-K23</f>
        <v>0</v>
      </c>
      <c r="M23" s="304"/>
      <c r="O23" s="288" t="e">
        <f>MATCH(B23,#REF!,0)</f>
        <v>#REF!</v>
      </c>
      <c r="P23" s="288" t="e">
        <f>-MATCH(B23,#REF!,0)</f>
        <v>#REF!</v>
      </c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</row>
    <row r="24" spans="1:93" s="42" customFormat="1" ht="39" customHeight="1" outlineLevel="2" x14ac:dyDescent="0.2">
      <c r="A24" s="51" t="s">
        <v>2159</v>
      </c>
      <c r="B24" s="53">
        <v>500205257</v>
      </c>
      <c r="C24" s="49">
        <v>1000551621</v>
      </c>
      <c r="D24" s="48">
        <v>20000060</v>
      </c>
      <c r="E24" s="536">
        <v>0</v>
      </c>
      <c r="F24" s="46">
        <v>0</v>
      </c>
      <c r="G24" s="536">
        <v>0</v>
      </c>
      <c r="H24" s="46">
        <v>0</v>
      </c>
      <c r="I24" s="46">
        <v>68528</v>
      </c>
      <c r="J24" s="46">
        <v>70000</v>
      </c>
      <c r="K24" s="46">
        <v>70000</v>
      </c>
      <c r="L24" s="59">
        <f>J24-K24</f>
        <v>0</v>
      </c>
      <c r="M24" s="304"/>
      <c r="O24" s="288" t="e">
        <f>MATCH(B24,#REF!,0)</f>
        <v>#REF!</v>
      </c>
      <c r="P24" s="288" t="e">
        <f>-MATCH(B24,#REF!,0)</f>
        <v>#REF!</v>
      </c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</row>
    <row r="25" spans="1:93" s="42" customFormat="1" ht="39" customHeight="1" outlineLevel="1" x14ac:dyDescent="0.2">
      <c r="A25" s="51"/>
      <c r="B25" s="53"/>
      <c r="C25" s="49"/>
      <c r="D25" s="750" t="s">
        <v>2160</v>
      </c>
      <c r="E25" s="536"/>
      <c r="F25" s="46"/>
      <c r="G25" s="536"/>
      <c r="H25" s="46"/>
      <c r="I25" s="46"/>
      <c r="J25" s="46"/>
      <c r="K25" s="46">
        <f>SUBTOTAL(9,K23:K24)</f>
        <v>103833</v>
      </c>
      <c r="L25" s="59"/>
      <c r="M25" s="304"/>
      <c r="O25" s="288" t="e">
        <f>MATCH(B25,#REF!,0)</f>
        <v>#REF!</v>
      </c>
      <c r="P25" s="288" t="e">
        <f>-MATCH(B25,#REF!,0)</f>
        <v>#REF!</v>
      </c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</row>
    <row r="26" spans="1:93" s="42" customFormat="1" ht="39" customHeight="1" outlineLevel="2" x14ac:dyDescent="0.2">
      <c r="A26" s="55" t="s">
        <v>2161</v>
      </c>
      <c r="B26" s="50">
        <v>500205349</v>
      </c>
      <c r="C26" s="49">
        <v>1000537055</v>
      </c>
      <c r="D26" s="48">
        <v>20000065</v>
      </c>
      <c r="E26" s="46">
        <v>0</v>
      </c>
      <c r="F26" s="46">
        <v>0</v>
      </c>
      <c r="G26" s="46">
        <v>0</v>
      </c>
      <c r="H26" s="101">
        <v>0</v>
      </c>
      <c r="I26" s="46">
        <v>32484</v>
      </c>
      <c r="J26" s="46">
        <v>59033</v>
      </c>
      <c r="K26" s="46">
        <v>59033</v>
      </c>
      <c r="L26" s="59">
        <f>J26-K26</f>
        <v>0</v>
      </c>
      <c r="M26" s="471"/>
      <c r="O26" s="288" t="e">
        <f>MATCH(B26,#REF!,0)</f>
        <v>#REF!</v>
      </c>
      <c r="P26" s="288" t="e">
        <f>-MATCH(B26,#REF!,0)</f>
        <v>#REF!</v>
      </c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</row>
    <row r="27" spans="1:93" s="42" customFormat="1" ht="41.1" customHeight="1" outlineLevel="2" x14ac:dyDescent="0.2">
      <c r="A27" s="55" t="s">
        <v>2162</v>
      </c>
      <c r="B27" s="50">
        <v>500205349</v>
      </c>
      <c r="C27" s="49">
        <v>1000537059</v>
      </c>
      <c r="D27" s="48">
        <v>20000065</v>
      </c>
      <c r="E27" s="46">
        <v>0</v>
      </c>
      <c r="F27" s="46">
        <v>0</v>
      </c>
      <c r="G27" s="46">
        <v>66333</v>
      </c>
      <c r="H27" s="101">
        <v>0</v>
      </c>
      <c r="I27" s="46">
        <v>33981</v>
      </c>
      <c r="J27" s="46">
        <v>37439</v>
      </c>
      <c r="K27" s="46">
        <v>37439</v>
      </c>
      <c r="L27" s="59">
        <f>J27-K27</f>
        <v>0</v>
      </c>
      <c r="M27" s="471"/>
      <c r="O27" s="288" t="e">
        <f>MATCH(B27,#REF!,0)</f>
        <v>#REF!</v>
      </c>
      <c r="P27" s="288" t="e">
        <f>-MATCH(B27,#REF!,0)</f>
        <v>#REF!</v>
      </c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</row>
    <row r="28" spans="1:93" s="42" customFormat="1" ht="41.1" customHeight="1" outlineLevel="2" x14ac:dyDescent="0.2">
      <c r="A28" s="55" t="s">
        <v>2163</v>
      </c>
      <c r="B28" s="50">
        <v>500205349</v>
      </c>
      <c r="C28" s="49">
        <v>1000537060</v>
      </c>
      <c r="D28" s="48">
        <v>20000065</v>
      </c>
      <c r="E28" s="46">
        <v>0</v>
      </c>
      <c r="F28" s="46">
        <v>0</v>
      </c>
      <c r="G28" s="46">
        <v>10000</v>
      </c>
      <c r="H28" s="101">
        <v>0</v>
      </c>
      <c r="I28" s="46">
        <v>28317</v>
      </c>
      <c r="J28" s="46">
        <v>40000</v>
      </c>
      <c r="K28" s="46">
        <v>40000</v>
      </c>
      <c r="L28" s="59">
        <f>J28-K28</f>
        <v>0</v>
      </c>
      <c r="M28" s="471"/>
      <c r="O28" s="288" t="e">
        <f>MATCH(B28,#REF!,0)</f>
        <v>#REF!</v>
      </c>
      <c r="P28" s="288" t="e">
        <f>-MATCH(B28,#REF!,0)</f>
        <v>#REF!</v>
      </c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</row>
    <row r="29" spans="1:93" s="42" customFormat="1" ht="36.75" customHeight="1" outlineLevel="2" x14ac:dyDescent="0.2">
      <c r="A29" s="55" t="s">
        <v>2164</v>
      </c>
      <c r="B29" s="50">
        <v>500205349</v>
      </c>
      <c r="C29" s="49">
        <v>1000537062</v>
      </c>
      <c r="D29" s="48">
        <v>20000065</v>
      </c>
      <c r="E29" s="46">
        <v>0</v>
      </c>
      <c r="F29" s="46">
        <v>0</v>
      </c>
      <c r="G29" s="46">
        <v>30000</v>
      </c>
      <c r="H29" s="101">
        <v>0</v>
      </c>
      <c r="I29" s="46">
        <v>28317</v>
      </c>
      <c r="J29" s="46">
        <v>46059</v>
      </c>
      <c r="K29" s="46">
        <v>46059</v>
      </c>
      <c r="L29" s="59">
        <f>J29-K29</f>
        <v>0</v>
      </c>
      <c r="M29" s="471"/>
      <c r="O29" s="288" t="e">
        <f>MATCH(B29,#REF!,0)</f>
        <v>#REF!</v>
      </c>
      <c r="P29" s="288" t="e">
        <f>-MATCH(B29,#REF!,0)</f>
        <v>#REF!</v>
      </c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</row>
    <row r="30" spans="1:93" s="42" customFormat="1" ht="36.75" customHeight="1" outlineLevel="1" x14ac:dyDescent="0.2">
      <c r="A30" s="55"/>
      <c r="B30" s="50"/>
      <c r="C30" s="49"/>
      <c r="D30" s="750" t="s">
        <v>2165</v>
      </c>
      <c r="E30" s="46"/>
      <c r="F30" s="46"/>
      <c r="G30" s="46"/>
      <c r="H30" s="101"/>
      <c r="I30" s="46"/>
      <c r="J30" s="46"/>
      <c r="K30" s="46">
        <f>SUBTOTAL(9,K26:K29)</f>
        <v>182531</v>
      </c>
      <c r="L30" s="59"/>
      <c r="M30" s="471"/>
      <c r="O30" s="288" t="e">
        <f>MATCH(B30,#REF!,0)</f>
        <v>#REF!</v>
      </c>
      <c r="P30" s="288" t="e">
        <f>-MATCH(B30,#REF!,0)</f>
        <v>#REF!</v>
      </c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</row>
    <row r="31" spans="1:93" s="44" customFormat="1" ht="29.25" customHeight="1" outlineLevel="2" x14ac:dyDescent="0.2">
      <c r="A31" s="51" t="s">
        <v>2166</v>
      </c>
      <c r="B31" s="50">
        <v>500205364</v>
      </c>
      <c r="C31" s="49">
        <v>1000546413</v>
      </c>
      <c r="D31" s="48">
        <v>20000067</v>
      </c>
      <c r="E31" s="536">
        <v>0</v>
      </c>
      <c r="F31" s="46">
        <v>0</v>
      </c>
      <c r="G31" s="46">
        <v>0</v>
      </c>
      <c r="H31" s="101">
        <v>0</v>
      </c>
      <c r="I31" s="46">
        <v>27751</v>
      </c>
      <c r="J31" s="46">
        <v>40000</v>
      </c>
      <c r="K31" s="46">
        <v>40000</v>
      </c>
      <c r="L31" s="59">
        <f>J31-K31</f>
        <v>0</v>
      </c>
      <c r="M31" s="751"/>
      <c r="O31" s="288" t="e">
        <f>MATCH(B31,#REF!,0)</f>
        <v>#REF!</v>
      </c>
      <c r="P31" s="288" t="e">
        <f>-MATCH(B31,#REF!,0)</f>
        <v>#REF!</v>
      </c>
    </row>
    <row r="32" spans="1:93" s="44" customFormat="1" ht="29.25" customHeight="1" outlineLevel="1" x14ac:dyDescent="0.2">
      <c r="A32" s="51"/>
      <c r="B32" s="50"/>
      <c r="C32" s="49"/>
      <c r="D32" s="750" t="s">
        <v>2167</v>
      </c>
      <c r="E32" s="536"/>
      <c r="F32" s="46"/>
      <c r="G32" s="46"/>
      <c r="H32" s="101"/>
      <c r="I32" s="46"/>
      <c r="J32" s="46"/>
      <c r="K32" s="46">
        <f>SUBTOTAL(9,K31:K31)</f>
        <v>40000</v>
      </c>
      <c r="L32" s="59"/>
      <c r="M32" s="751"/>
      <c r="O32" s="288" t="e">
        <f>MATCH(B32,#REF!,0)</f>
        <v>#REF!</v>
      </c>
      <c r="P32" s="288" t="e">
        <f>-MATCH(B32,#REF!,0)</f>
        <v>#REF!</v>
      </c>
    </row>
    <row r="33" spans="1:93" s="62" customFormat="1" ht="30" customHeight="1" outlineLevel="2" x14ac:dyDescent="0.2">
      <c r="A33" s="55" t="s">
        <v>2168</v>
      </c>
      <c r="B33" s="50">
        <v>500212956</v>
      </c>
      <c r="C33" s="54">
        <v>1000552001</v>
      </c>
      <c r="D33" s="48">
        <v>20000117</v>
      </c>
      <c r="E33" s="46">
        <v>0</v>
      </c>
      <c r="F33" s="46">
        <v>0</v>
      </c>
      <c r="G33" s="46">
        <v>50000</v>
      </c>
      <c r="H33" s="101">
        <v>57916</v>
      </c>
      <c r="I33" s="46">
        <v>68528</v>
      </c>
      <c r="J33" s="46">
        <v>68528</v>
      </c>
      <c r="K33" s="46">
        <v>68528</v>
      </c>
      <c r="L33" s="59">
        <f>J33-K33</f>
        <v>0</v>
      </c>
      <c r="M33" s="471"/>
      <c r="N33" s="121"/>
      <c r="O33" s="288" t="e">
        <f>MATCH(B33,#REF!,0)</f>
        <v>#REF!</v>
      </c>
      <c r="P33" s="288" t="e">
        <f>-MATCH(B33,#REF!,0)</f>
        <v>#REF!</v>
      </c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</row>
    <row r="34" spans="1:93" s="42" customFormat="1" ht="41.1" customHeight="1" outlineLevel="2" x14ac:dyDescent="0.2">
      <c r="A34" s="51" t="s">
        <v>2169</v>
      </c>
      <c r="B34" s="50">
        <v>500212956</v>
      </c>
      <c r="C34" s="49">
        <v>1000552002</v>
      </c>
      <c r="D34" s="48">
        <v>20000117</v>
      </c>
      <c r="E34" s="536"/>
      <c r="F34" s="536">
        <v>35000</v>
      </c>
      <c r="G34" s="536">
        <v>35000</v>
      </c>
      <c r="H34" s="101">
        <v>57916</v>
      </c>
      <c r="I34" s="46">
        <v>45000</v>
      </c>
      <c r="J34" s="46">
        <v>45000</v>
      </c>
      <c r="K34" s="46">
        <v>45000</v>
      </c>
      <c r="L34" s="59">
        <f>J34-K34</f>
        <v>0</v>
      </c>
      <c r="M34" s="59"/>
      <c r="O34" s="288" t="e">
        <f>MATCH(B34,#REF!,0)</f>
        <v>#REF!</v>
      </c>
      <c r="P34" s="288" t="e">
        <f>-MATCH(B34,#REF!,0)</f>
        <v>#REF!</v>
      </c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</row>
    <row r="35" spans="1:93" s="42" customFormat="1" ht="36.75" customHeight="1" outlineLevel="2" x14ac:dyDescent="0.2">
      <c r="A35" s="55" t="s">
        <v>2170</v>
      </c>
      <c r="B35" s="50">
        <v>500212956</v>
      </c>
      <c r="C35" s="49">
        <v>1000552090</v>
      </c>
      <c r="D35" s="48">
        <v>20000117</v>
      </c>
      <c r="E35" s="46"/>
      <c r="F35" s="46"/>
      <c r="G35" s="46"/>
      <c r="H35" s="101">
        <v>0</v>
      </c>
      <c r="I35" s="46">
        <v>28317</v>
      </c>
      <c r="J35" s="46">
        <v>30000</v>
      </c>
      <c r="K35" s="46">
        <v>30000</v>
      </c>
      <c r="L35" s="59">
        <f>J35-K35</f>
        <v>0</v>
      </c>
      <c r="M35" s="471"/>
      <c r="O35" s="288" t="e">
        <f>MATCH(B35,#REF!,0)</f>
        <v>#REF!</v>
      </c>
      <c r="P35" s="288" t="e">
        <f>-MATCH(B35,#REF!,0)</f>
        <v>#REF!</v>
      </c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</row>
    <row r="36" spans="1:93" s="42" customFormat="1" ht="36.75" customHeight="1" outlineLevel="1" x14ac:dyDescent="0.2">
      <c r="A36" s="55"/>
      <c r="B36" s="50"/>
      <c r="C36" s="49"/>
      <c r="D36" s="750" t="s">
        <v>2171</v>
      </c>
      <c r="E36" s="46"/>
      <c r="F36" s="46"/>
      <c r="G36" s="46"/>
      <c r="H36" s="101"/>
      <c r="I36" s="46"/>
      <c r="J36" s="46"/>
      <c r="K36" s="46">
        <f>SUBTOTAL(9,K33:K35)</f>
        <v>143528</v>
      </c>
      <c r="L36" s="59"/>
      <c r="M36" s="471"/>
      <c r="O36" s="288" t="e">
        <f>MATCH(B36,#REF!,0)</f>
        <v>#REF!</v>
      </c>
      <c r="P36" s="288" t="e">
        <f>-MATCH(B36,#REF!,0)</f>
        <v>#REF!</v>
      </c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</row>
    <row r="37" spans="1:93" s="42" customFormat="1" ht="39" customHeight="1" outlineLevel="2" x14ac:dyDescent="0.2">
      <c r="A37" s="51" t="s">
        <v>2172</v>
      </c>
      <c r="B37" s="50">
        <v>500212964</v>
      </c>
      <c r="C37" s="49">
        <v>1000539581</v>
      </c>
      <c r="D37" s="48">
        <v>20000118</v>
      </c>
      <c r="E37" s="536">
        <v>0</v>
      </c>
      <c r="F37" s="536">
        <v>0</v>
      </c>
      <c r="G37" s="536">
        <v>0</v>
      </c>
      <c r="H37" s="101">
        <v>20000</v>
      </c>
      <c r="I37" s="46">
        <v>33981</v>
      </c>
      <c r="J37" s="46">
        <v>35255</v>
      </c>
      <c r="K37" s="46">
        <v>35255</v>
      </c>
      <c r="L37" s="59">
        <f>J37-K37</f>
        <v>0</v>
      </c>
      <c r="M37" s="59"/>
      <c r="O37" s="288" t="e">
        <f>MATCH(B37,#REF!,0)</f>
        <v>#REF!</v>
      </c>
      <c r="P37" s="288" t="e">
        <f>-MATCH(B37,#REF!,0)</f>
        <v>#REF!</v>
      </c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</row>
    <row r="38" spans="1:93" s="42" customFormat="1" ht="39" customHeight="1" outlineLevel="1" x14ac:dyDescent="0.2">
      <c r="A38" s="51"/>
      <c r="B38" s="50"/>
      <c r="C38" s="49"/>
      <c r="D38" s="750" t="s">
        <v>2173</v>
      </c>
      <c r="E38" s="536"/>
      <c r="F38" s="536"/>
      <c r="G38" s="536"/>
      <c r="H38" s="101"/>
      <c r="I38" s="46"/>
      <c r="J38" s="46"/>
      <c r="K38" s="46">
        <f>SUBTOTAL(9,K37:K37)</f>
        <v>35255</v>
      </c>
      <c r="L38" s="59"/>
      <c r="M38" s="59"/>
      <c r="O38" s="288" t="e">
        <f>MATCH(B38,#REF!,0)</f>
        <v>#REF!</v>
      </c>
      <c r="P38" s="288" t="e">
        <f>-MATCH(B38,#REF!,0)</f>
        <v>#REF!</v>
      </c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</row>
    <row r="39" spans="1:93" ht="39" customHeight="1" outlineLevel="2" x14ac:dyDescent="0.2">
      <c r="A39" s="51" t="s">
        <v>2174</v>
      </c>
      <c r="B39" s="564">
        <v>500221023</v>
      </c>
      <c r="C39" s="49">
        <v>1000535054</v>
      </c>
      <c r="D39" s="48">
        <v>20000128</v>
      </c>
      <c r="E39" s="46">
        <v>0</v>
      </c>
      <c r="F39" s="46">
        <v>0</v>
      </c>
      <c r="G39" s="46">
        <v>0</v>
      </c>
      <c r="H39" s="101">
        <v>64351</v>
      </c>
      <c r="I39" s="46">
        <v>68528</v>
      </c>
      <c r="J39" s="46">
        <v>61558</v>
      </c>
      <c r="K39" s="46">
        <v>61558</v>
      </c>
      <c r="L39" s="59">
        <f>J39-K39</f>
        <v>0</v>
      </c>
      <c r="M39" s="751"/>
      <c r="O39" s="288" t="e">
        <f>MATCH(B39,#REF!,0)</f>
        <v>#REF!</v>
      </c>
      <c r="P39" s="288" t="e">
        <f>-MATCH(B39,#REF!,0)</f>
        <v>#REF!</v>
      </c>
      <c r="BT39" s="41"/>
      <c r="BU39" s="41"/>
    </row>
    <row r="40" spans="1:93" ht="39" customHeight="1" outlineLevel="1" x14ac:dyDescent="0.2">
      <c r="A40" s="51"/>
      <c r="B40" s="564"/>
      <c r="C40" s="49"/>
      <c r="D40" s="750" t="s">
        <v>2175</v>
      </c>
      <c r="E40" s="46"/>
      <c r="F40" s="46"/>
      <c r="G40" s="46"/>
      <c r="H40" s="101"/>
      <c r="I40" s="46"/>
      <c r="J40" s="46"/>
      <c r="K40" s="46">
        <f>SUBTOTAL(9,K39:K39)</f>
        <v>61558</v>
      </c>
      <c r="L40" s="59"/>
      <c r="M40" s="751"/>
      <c r="O40" s="288" t="e">
        <f>MATCH(B40,#REF!,0)</f>
        <v>#REF!</v>
      </c>
      <c r="P40" s="288" t="e">
        <f>-MATCH(B40,#REF!,0)</f>
        <v>#REF!</v>
      </c>
      <c r="BT40" s="41"/>
      <c r="BU40" s="41"/>
    </row>
    <row r="41" spans="1:93" ht="39" customHeight="1" outlineLevel="2" x14ac:dyDescent="0.2">
      <c r="A41" s="51" t="s">
        <v>2176</v>
      </c>
      <c r="B41" s="564">
        <v>500242037</v>
      </c>
      <c r="C41" s="49">
        <v>1000553287</v>
      </c>
      <c r="D41" s="48">
        <v>20000189</v>
      </c>
      <c r="E41" s="46"/>
      <c r="F41" s="46"/>
      <c r="G41" s="46"/>
      <c r="H41" s="101"/>
      <c r="I41" s="46">
        <v>0</v>
      </c>
      <c r="J41" s="46">
        <v>30000</v>
      </c>
      <c r="K41" s="46">
        <v>30000</v>
      </c>
      <c r="L41" s="59">
        <f>J41-K41</f>
        <v>0</v>
      </c>
      <c r="M41" s="751"/>
      <c r="O41" s="288" t="e">
        <f>MATCH(B41,#REF!,0)</f>
        <v>#REF!</v>
      </c>
      <c r="P41" s="288" t="e">
        <f>-MATCH(B41,#REF!,0)</f>
        <v>#REF!</v>
      </c>
      <c r="BT41" s="41"/>
      <c r="BU41" s="41"/>
    </row>
    <row r="42" spans="1:93" s="42" customFormat="1" ht="33" customHeight="1" outlineLevel="2" x14ac:dyDescent="0.2">
      <c r="A42" s="51" t="s">
        <v>2177</v>
      </c>
      <c r="B42" s="564">
        <v>500242037</v>
      </c>
      <c r="C42" s="49">
        <v>1000553288</v>
      </c>
      <c r="D42" s="48">
        <v>20000189</v>
      </c>
      <c r="E42" s="46"/>
      <c r="F42" s="46"/>
      <c r="G42" s="46"/>
      <c r="H42" s="101"/>
      <c r="I42" s="46">
        <v>0</v>
      </c>
      <c r="J42" s="46">
        <v>30000</v>
      </c>
      <c r="K42" s="46">
        <v>30000</v>
      </c>
      <c r="L42" s="59">
        <f>J42-K42</f>
        <v>0</v>
      </c>
      <c r="M42" s="751"/>
      <c r="O42" s="288" t="e">
        <f>MATCH(B42,#REF!,0)</f>
        <v>#REF!</v>
      </c>
      <c r="P42" s="288" t="e">
        <f>-MATCH(B42,#REF!,0)</f>
        <v>#REF!</v>
      </c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</row>
    <row r="43" spans="1:93" s="42" customFormat="1" ht="33" customHeight="1" outlineLevel="1" x14ac:dyDescent="0.2">
      <c r="A43" s="51"/>
      <c r="B43" s="564"/>
      <c r="C43" s="49"/>
      <c r="D43" s="750" t="s">
        <v>2178</v>
      </c>
      <c r="E43" s="46"/>
      <c r="F43" s="46"/>
      <c r="G43" s="46"/>
      <c r="H43" s="101"/>
      <c r="I43" s="46"/>
      <c r="J43" s="46"/>
      <c r="K43" s="46">
        <f>SUBTOTAL(9,K41:K42)</f>
        <v>60000</v>
      </c>
      <c r="L43" s="59"/>
      <c r="M43" s="751"/>
      <c r="O43" s="288" t="e">
        <f>MATCH(B43,#REF!,0)</f>
        <v>#REF!</v>
      </c>
      <c r="P43" s="288" t="e">
        <f>-MATCH(B43,#REF!,0)</f>
        <v>#REF!</v>
      </c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</row>
    <row r="44" spans="1:93" s="62" customFormat="1" ht="30" customHeight="1" outlineLevel="2" x14ac:dyDescent="0.2">
      <c r="A44" s="51" t="s">
        <v>2179</v>
      </c>
      <c r="B44" s="53">
        <v>580228120</v>
      </c>
      <c r="C44" s="49">
        <v>1000543417</v>
      </c>
      <c r="D44" s="48">
        <v>40000582</v>
      </c>
      <c r="E44" s="46">
        <v>20000</v>
      </c>
      <c r="F44" s="46">
        <v>20000</v>
      </c>
      <c r="G44" s="46">
        <v>57698</v>
      </c>
      <c r="H44" s="46">
        <v>33351</v>
      </c>
      <c r="I44" s="46">
        <v>44175</v>
      </c>
      <c r="J44" s="46">
        <v>49249</v>
      </c>
      <c r="K44" s="46">
        <v>49249</v>
      </c>
      <c r="L44" s="59">
        <f t="shared" ref="L44:L50" si="0">J44-K44</f>
        <v>0</v>
      </c>
      <c r="M44" s="79"/>
      <c r="N44" s="121"/>
      <c r="O44" s="288" t="e">
        <f>MATCH(B44,#REF!,0)</f>
        <v>#REF!</v>
      </c>
      <c r="P44" s="288" t="e">
        <f>-MATCH(B44,#REF!,0)</f>
        <v>#REF!</v>
      </c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</row>
    <row r="45" spans="1:93" s="62" customFormat="1" ht="30" customHeight="1" outlineLevel="2" x14ac:dyDescent="0.2">
      <c r="A45" s="51" t="s">
        <v>2180</v>
      </c>
      <c r="B45" s="53">
        <v>580228120</v>
      </c>
      <c r="C45" s="49">
        <v>1000543435</v>
      </c>
      <c r="D45" s="48">
        <v>40000582</v>
      </c>
      <c r="E45" s="46"/>
      <c r="F45" s="46"/>
      <c r="G45" s="46"/>
      <c r="H45" s="101"/>
      <c r="I45" s="46">
        <v>0</v>
      </c>
      <c r="J45" s="46">
        <v>37323</v>
      </c>
      <c r="K45" s="46">
        <v>37323</v>
      </c>
      <c r="L45" s="59">
        <f t="shared" si="0"/>
        <v>0</v>
      </c>
      <c r="M45" s="79"/>
      <c r="N45" s="121"/>
      <c r="O45" s="288" t="e">
        <f>MATCH(B45,#REF!,0)</f>
        <v>#REF!</v>
      </c>
      <c r="P45" s="288" t="e">
        <f>-MATCH(B45,#REF!,0)</f>
        <v>#REF!</v>
      </c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</row>
    <row r="46" spans="1:93" s="62" customFormat="1" ht="30" customHeight="1" outlineLevel="2" x14ac:dyDescent="0.2">
      <c r="A46" s="51" t="s">
        <v>2181</v>
      </c>
      <c r="B46" s="53">
        <v>580228120</v>
      </c>
      <c r="C46" s="49">
        <v>1000543437</v>
      </c>
      <c r="D46" s="48">
        <v>40000582</v>
      </c>
      <c r="E46" s="46">
        <v>0</v>
      </c>
      <c r="F46" s="46">
        <v>0</v>
      </c>
      <c r="G46" s="46">
        <v>0</v>
      </c>
      <c r="H46" s="46">
        <v>29461</v>
      </c>
      <c r="I46" s="46">
        <v>28884</v>
      </c>
      <c r="J46" s="46">
        <v>40000</v>
      </c>
      <c r="K46" s="46">
        <v>40000</v>
      </c>
      <c r="L46" s="59">
        <f t="shared" si="0"/>
        <v>0</v>
      </c>
      <c r="M46" s="79"/>
      <c r="N46" s="121"/>
      <c r="O46" s="288" t="e">
        <f>MATCH(B46,#REF!,0)</f>
        <v>#REF!</v>
      </c>
      <c r="P46" s="288" t="e">
        <f>-MATCH(B46,#REF!,0)</f>
        <v>#REF!</v>
      </c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  <c r="CJ46" s="121"/>
      <c r="CK46" s="121"/>
      <c r="CL46" s="121"/>
      <c r="CM46" s="121"/>
      <c r="CN46" s="121"/>
    </row>
    <row r="47" spans="1:93" s="42" customFormat="1" ht="39" customHeight="1" outlineLevel="2" x14ac:dyDescent="0.2">
      <c r="A47" s="51" t="s">
        <v>2182</v>
      </c>
      <c r="B47" s="53">
        <v>580228120</v>
      </c>
      <c r="C47" s="49">
        <v>1000543513</v>
      </c>
      <c r="D47" s="48">
        <v>40000582</v>
      </c>
      <c r="E47" s="46">
        <v>20000</v>
      </c>
      <c r="F47" s="46">
        <v>29500</v>
      </c>
      <c r="G47" s="46">
        <v>60000</v>
      </c>
      <c r="H47" s="101">
        <v>44387</v>
      </c>
      <c r="I47" s="46">
        <v>53236</v>
      </c>
      <c r="J47" s="46">
        <v>46546</v>
      </c>
      <c r="K47" s="46">
        <v>46546</v>
      </c>
      <c r="L47" s="59">
        <f t="shared" si="0"/>
        <v>0</v>
      </c>
      <c r="M47" s="79"/>
      <c r="O47" s="288" t="e">
        <f>MATCH(B47,#REF!,0)</f>
        <v>#REF!</v>
      </c>
      <c r="P47" s="288" t="e">
        <f>-MATCH(B47,#REF!,0)</f>
        <v>#REF!</v>
      </c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</row>
    <row r="48" spans="1:93" ht="36" customHeight="1" outlineLevel="2" x14ac:dyDescent="0.2">
      <c r="A48" s="51" t="s">
        <v>2183</v>
      </c>
      <c r="B48" s="53">
        <v>580228120</v>
      </c>
      <c r="C48" s="49">
        <v>1000543433</v>
      </c>
      <c r="D48" s="48">
        <v>40000582</v>
      </c>
      <c r="E48" s="46">
        <v>0</v>
      </c>
      <c r="F48" s="46">
        <v>0</v>
      </c>
      <c r="G48" s="46">
        <v>0</v>
      </c>
      <c r="H48" s="46">
        <v>18656</v>
      </c>
      <c r="I48" s="46">
        <v>31715</v>
      </c>
      <c r="J48" s="46">
        <v>50000</v>
      </c>
      <c r="K48" s="46">
        <v>50000</v>
      </c>
      <c r="L48" s="59">
        <f t="shared" si="0"/>
        <v>0</v>
      </c>
      <c r="M48" s="79"/>
      <c r="O48" s="288" t="e">
        <f>MATCH(B48,#REF!,0)</f>
        <v>#REF!</v>
      </c>
      <c r="P48" s="288" t="e">
        <f>-MATCH(B48,#REF!,0)</f>
        <v>#REF!</v>
      </c>
      <c r="BT48" s="41"/>
      <c r="BU48" s="41"/>
    </row>
    <row r="49" spans="1:93" ht="36" customHeight="1" outlineLevel="2" x14ac:dyDescent="0.2">
      <c r="A49" s="51" t="s">
        <v>2184</v>
      </c>
      <c r="B49" s="53">
        <v>580228120</v>
      </c>
      <c r="C49" s="49">
        <v>1000543453</v>
      </c>
      <c r="D49" s="48">
        <v>40000582</v>
      </c>
      <c r="E49" s="46">
        <v>0</v>
      </c>
      <c r="F49" s="46">
        <v>0</v>
      </c>
      <c r="G49" s="46">
        <v>0</v>
      </c>
      <c r="H49" s="46">
        <v>0</v>
      </c>
      <c r="I49" s="46">
        <v>28317</v>
      </c>
      <c r="J49" s="46">
        <v>43769</v>
      </c>
      <c r="K49" s="46">
        <v>43769</v>
      </c>
      <c r="L49" s="59">
        <f t="shared" si="0"/>
        <v>0</v>
      </c>
      <c r="M49" s="79"/>
      <c r="O49" s="288" t="e">
        <f>MATCH(B49,#REF!,0)</f>
        <v>#REF!</v>
      </c>
      <c r="P49" s="288" t="e">
        <f>-MATCH(B49,#REF!,0)</f>
        <v>#REF!</v>
      </c>
      <c r="BT49" s="41"/>
      <c r="BU49" s="41"/>
    </row>
    <row r="50" spans="1:93" ht="37.5" customHeight="1" outlineLevel="2" x14ac:dyDescent="0.2">
      <c r="A50" s="51" t="s">
        <v>2185</v>
      </c>
      <c r="B50" s="53">
        <v>580228120</v>
      </c>
      <c r="C50" s="49">
        <v>1000543455</v>
      </c>
      <c r="D50" s="48">
        <v>40000582</v>
      </c>
      <c r="E50" s="46"/>
      <c r="F50" s="46"/>
      <c r="G50" s="46"/>
      <c r="H50" s="101"/>
      <c r="I50" s="46">
        <v>0</v>
      </c>
      <c r="J50" s="46">
        <v>43624</v>
      </c>
      <c r="K50" s="46">
        <v>43624</v>
      </c>
      <c r="L50" s="59">
        <f t="shared" si="0"/>
        <v>0</v>
      </c>
      <c r="M50" s="79"/>
      <c r="O50" s="288" t="e">
        <f>MATCH(B50,#REF!,0)</f>
        <v>#REF!</v>
      </c>
      <c r="P50" s="288" t="e">
        <f>-MATCH(B50,#REF!,0)</f>
        <v>#REF!</v>
      </c>
      <c r="BT50" s="41"/>
      <c r="BU50" s="41"/>
    </row>
    <row r="51" spans="1:93" ht="37.5" customHeight="1" outlineLevel="1" x14ac:dyDescent="0.2">
      <c r="A51" s="51"/>
      <c r="B51" s="53"/>
      <c r="C51" s="49"/>
      <c r="D51" s="750" t="s">
        <v>2186</v>
      </c>
      <c r="E51" s="46"/>
      <c r="F51" s="46"/>
      <c r="G51" s="46"/>
      <c r="H51" s="101"/>
      <c r="I51" s="46"/>
      <c r="J51" s="46"/>
      <c r="K51" s="46">
        <f>SUBTOTAL(9,K44:K50)</f>
        <v>310511</v>
      </c>
      <c r="L51" s="59"/>
      <c r="M51" s="79"/>
      <c r="O51" s="288" t="e">
        <f>MATCH(B51,#REF!,0)</f>
        <v>#REF!</v>
      </c>
      <c r="P51" s="288" t="e">
        <f>-MATCH(B51,#REF!,0)</f>
        <v>#REF!</v>
      </c>
      <c r="BT51" s="41"/>
      <c r="BU51" s="41"/>
    </row>
    <row r="52" spans="1:93" ht="39.75" customHeight="1" outlineLevel="2" x14ac:dyDescent="0.2">
      <c r="A52" s="51" t="s">
        <v>2187</v>
      </c>
      <c r="B52" s="53">
        <v>580231454</v>
      </c>
      <c r="C52" s="54">
        <v>1000546077</v>
      </c>
      <c r="D52" s="48">
        <v>40000587</v>
      </c>
      <c r="E52" s="536">
        <v>42756</v>
      </c>
      <c r="F52" s="536">
        <v>28500</v>
      </c>
      <c r="G52" s="536">
        <v>63999</v>
      </c>
      <c r="H52" s="101">
        <v>64351</v>
      </c>
      <c r="I52" s="46">
        <v>70793</v>
      </c>
      <c r="J52" s="46">
        <v>67489</v>
      </c>
      <c r="K52" s="46">
        <v>67489</v>
      </c>
      <c r="L52" s="59">
        <f>J52-K52</f>
        <v>0</v>
      </c>
      <c r="M52" s="79"/>
      <c r="O52" s="288" t="e">
        <f>MATCH(B52,#REF!,0)</f>
        <v>#REF!</v>
      </c>
      <c r="P52" s="288" t="e">
        <f>-MATCH(B52,#REF!,0)</f>
        <v>#REF!</v>
      </c>
      <c r="BT52" s="41"/>
      <c r="BU52" s="41"/>
    </row>
    <row r="53" spans="1:93" s="62" customFormat="1" ht="30" customHeight="1" outlineLevel="2" x14ac:dyDescent="0.2">
      <c r="A53" s="51" t="s">
        <v>2188</v>
      </c>
      <c r="B53" s="53">
        <v>580231454</v>
      </c>
      <c r="C53" s="49">
        <v>1000546087</v>
      </c>
      <c r="D53" s="48">
        <v>40000587</v>
      </c>
      <c r="E53" s="536">
        <v>21378</v>
      </c>
      <c r="F53" s="536">
        <v>15000</v>
      </c>
      <c r="G53" s="536">
        <v>25000</v>
      </c>
      <c r="H53" s="101">
        <v>32176</v>
      </c>
      <c r="I53" s="46">
        <v>27677</v>
      </c>
      <c r="J53" s="46">
        <v>42737</v>
      </c>
      <c r="K53" s="46">
        <v>42737</v>
      </c>
      <c r="L53" s="59">
        <f>J53-K53</f>
        <v>0</v>
      </c>
      <c r="M53" s="79"/>
      <c r="N53" s="121"/>
      <c r="O53" s="288" t="e">
        <f>MATCH(B53,#REF!,0)</f>
        <v>#REF!</v>
      </c>
      <c r="P53" s="288" t="e">
        <f>-MATCH(B53,#REF!,0)</f>
        <v>#REF!</v>
      </c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</row>
    <row r="54" spans="1:93" ht="41.1" customHeight="1" outlineLevel="2" x14ac:dyDescent="0.2">
      <c r="A54" s="51" t="s">
        <v>2189</v>
      </c>
      <c r="B54" s="53">
        <v>580231454</v>
      </c>
      <c r="C54" s="49">
        <v>1000546180</v>
      </c>
      <c r="D54" s="48">
        <v>40000587</v>
      </c>
      <c r="E54" s="536">
        <v>10689</v>
      </c>
      <c r="F54" s="536">
        <v>15000</v>
      </c>
      <c r="G54" s="536">
        <v>25000</v>
      </c>
      <c r="H54" s="101">
        <v>32176</v>
      </c>
      <c r="I54" s="46">
        <v>25200</v>
      </c>
      <c r="J54" s="46">
        <v>30000</v>
      </c>
      <c r="K54" s="46">
        <v>30000</v>
      </c>
      <c r="L54" s="59">
        <f>J54-K54</f>
        <v>0</v>
      </c>
      <c r="M54" s="79"/>
      <c r="O54" s="288" t="e">
        <f>MATCH(B54,#REF!,0)</f>
        <v>#REF!</v>
      </c>
      <c r="P54" s="288" t="e">
        <f>-MATCH(B54,#REF!,0)</f>
        <v>#REF!</v>
      </c>
      <c r="BT54" s="41"/>
      <c r="BU54" s="41"/>
    </row>
    <row r="55" spans="1:93" ht="41.1" customHeight="1" outlineLevel="1" x14ac:dyDescent="0.2">
      <c r="A55" s="51"/>
      <c r="B55" s="53"/>
      <c r="C55" s="49"/>
      <c r="D55" s="750" t="s">
        <v>2190</v>
      </c>
      <c r="E55" s="536"/>
      <c r="F55" s="536"/>
      <c r="G55" s="536"/>
      <c r="H55" s="101"/>
      <c r="I55" s="46"/>
      <c r="J55" s="46"/>
      <c r="K55" s="46">
        <f>SUBTOTAL(9,K52:K54)</f>
        <v>140226</v>
      </c>
      <c r="L55" s="59"/>
      <c r="M55" s="79"/>
      <c r="O55" s="288" t="e">
        <f>MATCH(B55,#REF!,0)</f>
        <v>#REF!</v>
      </c>
      <c r="P55" s="288" t="e">
        <f>-MATCH(B55,#REF!,0)</f>
        <v>#REF!</v>
      </c>
      <c r="BT55" s="41"/>
      <c r="BU55" s="41"/>
    </row>
    <row r="56" spans="1:93" s="42" customFormat="1" ht="41.1" customHeight="1" outlineLevel="2" x14ac:dyDescent="0.2">
      <c r="A56" s="72" t="s">
        <v>2191</v>
      </c>
      <c r="B56" s="53">
        <v>580316503</v>
      </c>
      <c r="C56" s="49">
        <v>1000545433</v>
      </c>
      <c r="D56" s="48">
        <v>40000676</v>
      </c>
      <c r="E56" s="536">
        <v>182382</v>
      </c>
      <c r="F56" s="536">
        <v>164248</v>
      </c>
      <c r="G56" s="46">
        <v>166000</v>
      </c>
      <c r="H56" s="46">
        <v>0</v>
      </c>
      <c r="I56" s="46">
        <v>75489</v>
      </c>
      <c r="J56" s="46">
        <v>145000</v>
      </c>
      <c r="K56" s="46">
        <v>145000</v>
      </c>
      <c r="L56" s="59">
        <f>J56-K56</f>
        <v>0</v>
      </c>
      <c r="M56" s="92"/>
      <c r="O56" s="288" t="e">
        <f>MATCH(B56,#REF!,0)</f>
        <v>#REF!</v>
      </c>
      <c r="P56" s="288" t="e">
        <f>-MATCH(B56,#REF!,0)</f>
        <v>#REF!</v>
      </c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</row>
    <row r="57" spans="1:93" s="42" customFormat="1" ht="41.1" customHeight="1" outlineLevel="1" x14ac:dyDescent="0.2">
      <c r="A57" s="72"/>
      <c r="B57" s="53"/>
      <c r="C57" s="49"/>
      <c r="D57" s="750" t="s">
        <v>2192</v>
      </c>
      <c r="E57" s="536"/>
      <c r="F57" s="536"/>
      <c r="G57" s="46"/>
      <c r="H57" s="46"/>
      <c r="I57" s="46"/>
      <c r="J57" s="46"/>
      <c r="K57" s="46">
        <f>SUBTOTAL(9,K56:K56)</f>
        <v>145000</v>
      </c>
      <c r="L57" s="59"/>
      <c r="M57" s="92"/>
      <c r="O57" s="288" t="e">
        <f>MATCH(B57,#REF!,0)</f>
        <v>#REF!</v>
      </c>
      <c r="P57" s="288" t="e">
        <f>-MATCH(B57,#REF!,0)</f>
        <v>#REF!</v>
      </c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</row>
    <row r="58" spans="1:93" ht="41.1" customHeight="1" outlineLevel="2" x14ac:dyDescent="0.2">
      <c r="A58" s="51" t="s">
        <v>2193</v>
      </c>
      <c r="B58" s="50">
        <v>580342228</v>
      </c>
      <c r="C58" s="49">
        <v>1000546887</v>
      </c>
      <c r="D58" s="48">
        <v>40000694</v>
      </c>
      <c r="E58" s="536">
        <v>85513</v>
      </c>
      <c r="F58" s="536">
        <v>50000</v>
      </c>
      <c r="G58" s="536">
        <v>79000</v>
      </c>
      <c r="H58" s="101">
        <v>109397</v>
      </c>
      <c r="I58" s="46">
        <v>0</v>
      </c>
      <c r="J58" s="46">
        <v>73030</v>
      </c>
      <c r="K58" s="46">
        <v>73030</v>
      </c>
      <c r="L58" s="59">
        <f>J58-K58</f>
        <v>0</v>
      </c>
      <c r="M58" s="79"/>
      <c r="O58" s="288" t="e">
        <f>MATCH(B58,#REF!,0)</f>
        <v>#REF!</v>
      </c>
      <c r="P58" s="288" t="e">
        <f>-MATCH(B58,#REF!,0)</f>
        <v>#REF!</v>
      </c>
      <c r="BT58" s="41"/>
      <c r="BU58" s="41"/>
    </row>
    <row r="59" spans="1:93" ht="41.1" customHeight="1" outlineLevel="1" x14ac:dyDescent="0.2">
      <c r="A59" s="51"/>
      <c r="B59" s="50"/>
      <c r="C59" s="49"/>
      <c r="D59" s="750" t="s">
        <v>2194</v>
      </c>
      <c r="E59" s="536"/>
      <c r="F59" s="536"/>
      <c r="G59" s="536"/>
      <c r="H59" s="101"/>
      <c r="I59" s="46"/>
      <c r="J59" s="46"/>
      <c r="K59" s="46">
        <f>SUBTOTAL(9,K58:K58)</f>
        <v>73030</v>
      </c>
      <c r="L59" s="59"/>
      <c r="M59" s="79"/>
      <c r="O59" s="288" t="e">
        <f>MATCH(B59,#REF!,0)</f>
        <v>#REF!</v>
      </c>
      <c r="P59" s="288" t="e">
        <f>-MATCH(B59,#REF!,0)</f>
        <v>#REF!</v>
      </c>
      <c r="BT59" s="41"/>
      <c r="BU59" s="41"/>
    </row>
    <row r="60" spans="1:93" s="42" customFormat="1" ht="41.1" customHeight="1" outlineLevel="2" x14ac:dyDescent="0.2">
      <c r="A60" s="51" t="s">
        <v>2195</v>
      </c>
      <c r="B60" s="50">
        <v>580351070</v>
      </c>
      <c r="C60" s="54">
        <v>1000543942</v>
      </c>
      <c r="D60" s="48">
        <v>40216070</v>
      </c>
      <c r="E60" s="46">
        <v>125000</v>
      </c>
      <c r="F60" s="46">
        <v>70000</v>
      </c>
      <c r="G60" s="46">
        <v>46000</v>
      </c>
      <c r="H60" s="46">
        <v>25740</v>
      </c>
      <c r="I60" s="46">
        <v>60032</v>
      </c>
      <c r="J60" s="46">
        <v>77265</v>
      </c>
      <c r="K60" s="46">
        <v>77265</v>
      </c>
      <c r="L60" s="59">
        <f>J60-K60</f>
        <v>0</v>
      </c>
      <c r="M60" s="92"/>
      <c r="O60" s="288" t="e">
        <f>MATCH(B60,#REF!,0)</f>
        <v>#REF!</v>
      </c>
      <c r="P60" s="288" t="e">
        <f>-MATCH(B60,#REF!,0)</f>
        <v>#REF!</v>
      </c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</row>
    <row r="61" spans="1:93" s="42" customFormat="1" ht="36.75" customHeight="1" outlineLevel="2" x14ac:dyDescent="0.2">
      <c r="A61" s="51" t="s">
        <v>2196</v>
      </c>
      <c r="B61" s="50">
        <v>580351070</v>
      </c>
      <c r="C61" s="54">
        <v>1000544008</v>
      </c>
      <c r="D61" s="48">
        <v>40216070</v>
      </c>
      <c r="E61" s="46">
        <v>57382</v>
      </c>
      <c r="F61" s="46">
        <v>40000</v>
      </c>
      <c r="G61" s="46">
        <v>22000</v>
      </c>
      <c r="H61" s="101">
        <v>19305</v>
      </c>
      <c r="I61" s="46">
        <v>39644</v>
      </c>
      <c r="J61" s="46">
        <v>38261</v>
      </c>
      <c r="K61" s="46">
        <v>38261</v>
      </c>
      <c r="L61" s="59">
        <f>J61-K61</f>
        <v>0</v>
      </c>
      <c r="M61" s="92"/>
      <c r="O61" s="288" t="e">
        <f>MATCH(B61,#REF!,0)</f>
        <v>#REF!</v>
      </c>
      <c r="P61" s="288" t="e">
        <f>-MATCH(B61,#REF!,0)</f>
        <v>#REF!</v>
      </c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</row>
    <row r="62" spans="1:93" s="42" customFormat="1" ht="39" customHeight="1" outlineLevel="2" x14ac:dyDescent="0.2">
      <c r="A62" s="51" t="s">
        <v>2197</v>
      </c>
      <c r="B62" s="50">
        <v>580351070</v>
      </c>
      <c r="C62" s="54">
        <v>1000543888</v>
      </c>
      <c r="D62" s="48">
        <v>40216070</v>
      </c>
      <c r="E62" s="46">
        <v>0</v>
      </c>
      <c r="F62" s="46">
        <v>0</v>
      </c>
      <c r="G62" s="46">
        <v>14000</v>
      </c>
      <c r="H62" s="101">
        <v>12870</v>
      </c>
      <c r="I62" s="46">
        <v>13592</v>
      </c>
      <c r="J62" s="46">
        <v>38430</v>
      </c>
      <c r="K62" s="46">
        <v>38430</v>
      </c>
      <c r="L62" s="59">
        <f>J62-K62</f>
        <v>0</v>
      </c>
      <c r="M62" s="92"/>
      <c r="O62" s="288" t="e">
        <f>MATCH(B62,#REF!,0)</f>
        <v>#REF!</v>
      </c>
      <c r="P62" s="288" t="e">
        <f>-MATCH(B62,#REF!,0)</f>
        <v>#REF!</v>
      </c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</row>
    <row r="63" spans="1:93" s="42" customFormat="1" ht="41.1" customHeight="1" outlineLevel="2" x14ac:dyDescent="0.2">
      <c r="A63" s="51" t="s">
        <v>2198</v>
      </c>
      <c r="B63" s="50">
        <v>580351070</v>
      </c>
      <c r="C63" s="54">
        <v>1000543886</v>
      </c>
      <c r="D63" s="48">
        <v>40216070</v>
      </c>
      <c r="E63" s="46">
        <v>57382</v>
      </c>
      <c r="F63" s="46">
        <v>100000</v>
      </c>
      <c r="G63" s="46">
        <v>42000</v>
      </c>
      <c r="H63" s="101">
        <v>25740</v>
      </c>
      <c r="I63" s="46">
        <v>35680</v>
      </c>
      <c r="J63" s="46">
        <v>87274</v>
      </c>
      <c r="K63" s="46">
        <v>87274</v>
      </c>
      <c r="L63" s="59">
        <f>J63-K63</f>
        <v>0</v>
      </c>
      <c r="M63" s="92"/>
      <c r="O63" s="288" t="e">
        <f>MATCH(B63,#REF!,0)</f>
        <v>#REF!</v>
      </c>
      <c r="P63" s="288" t="e">
        <f>-MATCH(B63,#REF!,0)</f>
        <v>#REF!</v>
      </c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</row>
    <row r="64" spans="1:93" s="42" customFormat="1" ht="41.1" customHeight="1" outlineLevel="1" x14ac:dyDescent="0.2">
      <c r="A64" s="51"/>
      <c r="B64" s="50"/>
      <c r="C64" s="54"/>
      <c r="D64" s="750" t="s">
        <v>2199</v>
      </c>
      <c r="E64" s="46"/>
      <c r="F64" s="46"/>
      <c r="G64" s="46"/>
      <c r="H64" s="101"/>
      <c r="I64" s="46"/>
      <c r="J64" s="46"/>
      <c r="K64" s="46">
        <f>SUBTOTAL(9,K60:K63)</f>
        <v>241230</v>
      </c>
      <c r="L64" s="59"/>
      <c r="M64" s="92"/>
      <c r="O64" s="288" t="e">
        <f>MATCH(B64,#REF!,0)</f>
        <v>#REF!</v>
      </c>
      <c r="P64" s="288" t="e">
        <f>-MATCH(B64,#REF!,0)</f>
        <v>#REF!</v>
      </c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</row>
    <row r="65" spans="1:93" s="42" customFormat="1" ht="41.1" customHeight="1" outlineLevel="2" x14ac:dyDescent="0.2">
      <c r="A65" s="72" t="s">
        <v>2200</v>
      </c>
      <c r="B65" s="53">
        <v>580397552</v>
      </c>
      <c r="C65" s="49">
        <v>1000539215</v>
      </c>
      <c r="D65" s="48">
        <v>40216102</v>
      </c>
      <c r="E65" s="536">
        <v>211194</v>
      </c>
      <c r="F65" s="46">
        <v>223503</v>
      </c>
      <c r="G65" s="46">
        <v>240000</v>
      </c>
      <c r="H65" s="46">
        <v>296141</v>
      </c>
      <c r="I65" s="46">
        <v>266527</v>
      </c>
      <c r="J65" s="46">
        <v>232540</v>
      </c>
      <c r="K65" s="46">
        <v>232540</v>
      </c>
      <c r="L65" s="59">
        <f>J65-K65</f>
        <v>0</v>
      </c>
      <c r="M65" s="79"/>
      <c r="O65" s="288" t="e">
        <f>MATCH(B65,#REF!,0)</f>
        <v>#REF!</v>
      </c>
      <c r="P65" s="288" t="e">
        <f>-MATCH(B65,#REF!,0)</f>
        <v>#REF!</v>
      </c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</row>
    <row r="66" spans="1:93" s="42" customFormat="1" ht="41.1" customHeight="1" outlineLevel="1" x14ac:dyDescent="0.2">
      <c r="A66" s="72"/>
      <c r="B66" s="53"/>
      <c r="C66" s="49"/>
      <c r="D66" s="750" t="s">
        <v>2201</v>
      </c>
      <c r="E66" s="536"/>
      <c r="F66" s="46"/>
      <c r="G66" s="46"/>
      <c r="H66" s="46"/>
      <c r="I66" s="46"/>
      <c r="J66" s="46"/>
      <c r="K66" s="46">
        <f>SUBTOTAL(9,K65:K65)</f>
        <v>232540</v>
      </c>
      <c r="L66" s="59"/>
      <c r="M66" s="79"/>
      <c r="O66" s="288" t="e">
        <f>MATCH(B66,#REF!,0)</f>
        <v>#REF!</v>
      </c>
      <c r="P66" s="288" t="e">
        <f>-MATCH(B66,#REF!,0)</f>
        <v>#REF!</v>
      </c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</row>
    <row r="67" spans="1:93" s="42" customFormat="1" ht="48" customHeight="1" outlineLevel="2" x14ac:dyDescent="0.2">
      <c r="A67" s="51" t="s">
        <v>2202</v>
      </c>
      <c r="B67" s="50">
        <v>580399293</v>
      </c>
      <c r="C67" s="49">
        <v>1000537246</v>
      </c>
      <c r="D67" s="48">
        <v>40216103</v>
      </c>
      <c r="E67" s="536">
        <v>10027</v>
      </c>
      <c r="F67" s="536">
        <v>0</v>
      </c>
      <c r="G67" s="46">
        <v>10500</v>
      </c>
      <c r="H67" s="101">
        <v>9500</v>
      </c>
      <c r="I67" s="46">
        <v>10000</v>
      </c>
      <c r="J67" s="46">
        <v>12000</v>
      </c>
      <c r="K67" s="46">
        <v>12000</v>
      </c>
      <c r="L67" s="59">
        <f>J67-K67</f>
        <v>0</v>
      </c>
      <c r="M67" s="75"/>
      <c r="O67" s="288" t="e">
        <f>MATCH(B67,#REF!,0)</f>
        <v>#REF!</v>
      </c>
      <c r="P67" s="288" t="e">
        <f>-MATCH(B67,#REF!,0)</f>
        <v>#REF!</v>
      </c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</row>
    <row r="68" spans="1:93" s="42" customFormat="1" ht="41.1" customHeight="1" outlineLevel="2" x14ac:dyDescent="0.2">
      <c r="A68" s="51" t="s">
        <v>2203</v>
      </c>
      <c r="B68" s="50">
        <v>580399293</v>
      </c>
      <c r="C68" s="49">
        <v>1000537283</v>
      </c>
      <c r="D68" s="48">
        <v>40216103</v>
      </c>
      <c r="E68" s="536">
        <v>9358</v>
      </c>
      <c r="F68" s="536">
        <v>9000</v>
      </c>
      <c r="G68" s="536">
        <v>9500</v>
      </c>
      <c r="H68" s="101">
        <v>10500</v>
      </c>
      <c r="I68" s="46">
        <v>10500</v>
      </c>
      <c r="J68" s="46">
        <v>12375</v>
      </c>
      <c r="K68" s="46">
        <v>12375</v>
      </c>
      <c r="L68" s="59">
        <f>J68-K68</f>
        <v>0</v>
      </c>
      <c r="M68" s="439"/>
      <c r="O68" s="288" t="e">
        <f>MATCH(B68,#REF!,0)</f>
        <v>#REF!</v>
      </c>
      <c r="P68" s="288" t="e">
        <f>-MATCH(B68,#REF!,0)</f>
        <v>#REF!</v>
      </c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</row>
    <row r="69" spans="1:93" s="42" customFormat="1" ht="41.1" customHeight="1" outlineLevel="2" x14ac:dyDescent="0.2">
      <c r="A69" s="51" t="s">
        <v>2204</v>
      </c>
      <c r="B69" s="50">
        <v>580399293</v>
      </c>
      <c r="C69" s="49">
        <v>1000537245</v>
      </c>
      <c r="D69" s="48">
        <v>40216103</v>
      </c>
      <c r="E69" s="536">
        <v>10027</v>
      </c>
      <c r="F69" s="536">
        <v>7250</v>
      </c>
      <c r="G69" s="536">
        <v>11000</v>
      </c>
      <c r="H69" s="101">
        <v>10000</v>
      </c>
      <c r="I69" s="46">
        <v>11000</v>
      </c>
      <c r="J69" s="46">
        <v>13000</v>
      </c>
      <c r="K69" s="46">
        <v>13000</v>
      </c>
      <c r="L69" s="59">
        <f>J69-K69</f>
        <v>0</v>
      </c>
      <c r="M69" s="79"/>
      <c r="O69" s="288" t="e">
        <f>MATCH(B69,#REF!,0)</f>
        <v>#REF!</v>
      </c>
      <c r="P69" s="288" t="e">
        <f>-MATCH(B69,#REF!,0)</f>
        <v>#REF!</v>
      </c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</row>
    <row r="70" spans="1:93" ht="41.1" customHeight="1" outlineLevel="2" x14ac:dyDescent="0.2">
      <c r="A70" s="51" t="s">
        <v>2205</v>
      </c>
      <c r="B70" s="50">
        <v>580399293</v>
      </c>
      <c r="C70" s="49">
        <v>1000541070</v>
      </c>
      <c r="D70" s="48">
        <v>40216103</v>
      </c>
      <c r="E70" s="536"/>
      <c r="F70" s="536"/>
      <c r="G70" s="536"/>
      <c r="H70" s="101"/>
      <c r="I70" s="46">
        <v>0</v>
      </c>
      <c r="J70" s="46">
        <v>10125</v>
      </c>
      <c r="K70" s="46">
        <v>10125</v>
      </c>
      <c r="L70" s="59">
        <f>J70-K70</f>
        <v>0</v>
      </c>
      <c r="M70" s="439"/>
      <c r="O70" s="288" t="e">
        <f>MATCH(B70,#REF!,0)</f>
        <v>#REF!</v>
      </c>
      <c r="P70" s="288" t="e">
        <f>-MATCH(B70,#REF!,0)</f>
        <v>#REF!</v>
      </c>
      <c r="BT70" s="41"/>
      <c r="BU70" s="41"/>
    </row>
    <row r="71" spans="1:93" ht="41.1" customHeight="1" outlineLevel="1" x14ac:dyDescent="0.2">
      <c r="A71" s="51"/>
      <c r="B71" s="50"/>
      <c r="C71" s="49"/>
      <c r="D71" s="750" t="s">
        <v>2206</v>
      </c>
      <c r="E71" s="536"/>
      <c r="F71" s="536"/>
      <c r="G71" s="536"/>
      <c r="H71" s="101"/>
      <c r="I71" s="46"/>
      <c r="J71" s="46"/>
      <c r="K71" s="46">
        <f>SUBTOTAL(9,K67:K70)</f>
        <v>47500</v>
      </c>
      <c r="L71" s="59"/>
      <c r="M71" s="439"/>
      <c r="O71" s="288" t="e">
        <f>MATCH(B71,#REF!,0)</f>
        <v>#REF!</v>
      </c>
      <c r="P71" s="288" t="e">
        <f>-MATCH(B71,#REF!,0)</f>
        <v>#REF!</v>
      </c>
      <c r="BT71" s="41"/>
      <c r="BU71" s="41"/>
    </row>
    <row r="72" spans="1:93" ht="41.1" customHeight="1" outlineLevel="2" x14ac:dyDescent="0.2">
      <c r="A72" s="72" t="s">
        <v>2207</v>
      </c>
      <c r="B72" s="50">
        <v>513037523</v>
      </c>
      <c r="C72" s="49">
        <v>1000532036</v>
      </c>
      <c r="D72" s="48">
        <v>40221328</v>
      </c>
      <c r="E72" s="536">
        <v>251194</v>
      </c>
      <c r="F72" s="46">
        <v>215000</v>
      </c>
      <c r="G72" s="46">
        <v>187000</v>
      </c>
      <c r="H72" s="46">
        <v>238099</v>
      </c>
      <c r="I72" s="46">
        <v>215211</v>
      </c>
      <c r="J72" s="46">
        <v>187767</v>
      </c>
      <c r="K72" s="46">
        <v>187767</v>
      </c>
      <c r="L72" s="59">
        <f>J72-K72</f>
        <v>0</v>
      </c>
      <c r="M72" s="79"/>
      <c r="O72" s="288" t="e">
        <f>MATCH(B72,#REF!,0)</f>
        <v>#REF!</v>
      </c>
      <c r="P72" s="288" t="e">
        <f>-MATCH(B72,#REF!,0)</f>
        <v>#REF!</v>
      </c>
      <c r="BT72" s="41"/>
      <c r="BU72" s="41"/>
    </row>
    <row r="73" spans="1:93" ht="41.1" customHeight="1" outlineLevel="1" x14ac:dyDescent="0.2">
      <c r="A73" s="72"/>
      <c r="B73" s="50"/>
      <c r="C73" s="49"/>
      <c r="D73" s="750" t="s">
        <v>2208</v>
      </c>
      <c r="E73" s="536"/>
      <c r="F73" s="46"/>
      <c r="G73" s="46"/>
      <c r="H73" s="46"/>
      <c r="I73" s="46"/>
      <c r="J73" s="46"/>
      <c r="K73" s="46">
        <f>SUBTOTAL(9,K72:K72)</f>
        <v>187767</v>
      </c>
      <c r="L73" s="59"/>
      <c r="M73" s="79"/>
      <c r="O73" s="288" t="e">
        <f>MATCH(B73,#REF!,0)</f>
        <v>#REF!</v>
      </c>
      <c r="P73" s="288" t="e">
        <f>-MATCH(B73,#REF!,0)</f>
        <v>#REF!</v>
      </c>
      <c r="BT73" s="41"/>
      <c r="BU73" s="41"/>
    </row>
    <row r="74" spans="1:93" s="42" customFormat="1" ht="41.1" customHeight="1" outlineLevel="2" x14ac:dyDescent="0.2">
      <c r="A74" s="51" t="s">
        <v>2111</v>
      </c>
      <c r="B74" s="53">
        <v>580429983</v>
      </c>
      <c r="C74" s="54">
        <v>1000543121</v>
      </c>
      <c r="D74" s="48">
        <v>40221838</v>
      </c>
      <c r="E74" s="536">
        <v>74824</v>
      </c>
      <c r="F74" s="101">
        <v>63000</v>
      </c>
      <c r="G74" s="101">
        <v>100000</v>
      </c>
      <c r="H74" s="101">
        <v>141573</v>
      </c>
      <c r="I74" s="46">
        <v>127416</v>
      </c>
      <c r="J74" s="46">
        <v>130479</v>
      </c>
      <c r="K74" s="46">
        <v>130479</v>
      </c>
      <c r="L74" s="59">
        <f>J74-K74</f>
        <v>0</v>
      </c>
      <c r="M74" s="59"/>
      <c r="O74" s="288" t="e">
        <f>MATCH(B74,#REF!,0)</f>
        <v>#REF!</v>
      </c>
      <c r="P74" s="288" t="e">
        <f>-MATCH(B74,#REF!,0)</f>
        <v>#REF!</v>
      </c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</row>
    <row r="75" spans="1:93" s="42" customFormat="1" ht="41.1" customHeight="1" outlineLevel="1" x14ac:dyDescent="0.2">
      <c r="A75" s="51"/>
      <c r="B75" s="53"/>
      <c r="C75" s="54"/>
      <c r="D75" s="750" t="s">
        <v>2209</v>
      </c>
      <c r="E75" s="536"/>
      <c r="F75" s="101"/>
      <c r="G75" s="101"/>
      <c r="H75" s="101"/>
      <c r="I75" s="46"/>
      <c r="J75" s="46"/>
      <c r="K75" s="46">
        <f>SUBTOTAL(9,K74:K74)</f>
        <v>130479</v>
      </c>
      <c r="L75" s="59"/>
      <c r="M75" s="59"/>
      <c r="O75" s="288" t="e">
        <f>MATCH(B75,#REF!,0)</f>
        <v>#REF!</v>
      </c>
      <c r="P75" s="288" t="e">
        <f>-MATCH(B75,#REF!,0)</f>
        <v>#REF!</v>
      </c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</row>
    <row r="76" spans="1:93" s="42" customFormat="1" ht="41.1" customHeight="1" outlineLevel="2" x14ac:dyDescent="0.2">
      <c r="A76" s="51" t="s">
        <v>2210</v>
      </c>
      <c r="B76" s="50">
        <v>580439065</v>
      </c>
      <c r="C76" s="54">
        <v>1000546286</v>
      </c>
      <c r="D76" s="48">
        <v>40273997</v>
      </c>
      <c r="E76" s="536">
        <v>94094</v>
      </c>
      <c r="F76" s="101">
        <v>60000</v>
      </c>
      <c r="G76" s="101">
        <v>92000</v>
      </c>
      <c r="H76" s="101">
        <v>117978</v>
      </c>
      <c r="I76" s="46">
        <v>108172</v>
      </c>
      <c r="J76" s="46">
        <v>67181</v>
      </c>
      <c r="K76" s="46">
        <v>67181</v>
      </c>
      <c r="L76" s="59">
        <f>J76-K76</f>
        <v>0</v>
      </c>
      <c r="M76" s="92"/>
      <c r="O76" s="288" t="e">
        <f>MATCH(B76,#REF!,0)</f>
        <v>#REF!</v>
      </c>
      <c r="P76" s="288" t="e">
        <f>-MATCH(B76,#REF!,0)</f>
        <v>#REF!</v>
      </c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</row>
    <row r="77" spans="1:93" s="42" customFormat="1" ht="41.1" customHeight="1" outlineLevel="1" x14ac:dyDescent="0.2">
      <c r="A77" s="51"/>
      <c r="B77" s="50"/>
      <c r="C77" s="54"/>
      <c r="D77" s="750" t="s">
        <v>2211</v>
      </c>
      <c r="E77" s="536"/>
      <c r="F77" s="101"/>
      <c r="G77" s="101"/>
      <c r="H77" s="101"/>
      <c r="I77" s="46"/>
      <c r="J77" s="46"/>
      <c r="K77" s="46">
        <f>SUBTOTAL(9,K76:K76)</f>
        <v>67181</v>
      </c>
      <c r="L77" s="59"/>
      <c r="M77" s="92"/>
      <c r="O77" s="288" t="e">
        <f>MATCH(B77,#REF!,0)</f>
        <v>#REF!</v>
      </c>
      <c r="P77" s="288" t="e">
        <f>-MATCH(B77,#REF!,0)</f>
        <v>#REF!</v>
      </c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</row>
    <row r="78" spans="1:93" s="42" customFormat="1" ht="46.5" customHeight="1" outlineLevel="2" x14ac:dyDescent="0.2">
      <c r="A78" s="51" t="s">
        <v>2212</v>
      </c>
      <c r="B78" s="53">
        <v>580463420</v>
      </c>
      <c r="C78" s="49">
        <v>1000547444</v>
      </c>
      <c r="D78" s="48">
        <v>40383495</v>
      </c>
      <c r="E78" s="536">
        <v>0</v>
      </c>
      <c r="F78" s="101">
        <v>0</v>
      </c>
      <c r="G78" s="46">
        <v>0</v>
      </c>
      <c r="H78" s="101">
        <v>45046</v>
      </c>
      <c r="I78" s="46">
        <v>45308</v>
      </c>
      <c r="J78" s="46">
        <v>65071</v>
      </c>
      <c r="K78" s="46">
        <v>65071</v>
      </c>
      <c r="L78" s="59">
        <f>J78-K78</f>
        <v>0</v>
      </c>
      <c r="M78" s="71"/>
      <c r="O78" s="288" t="e">
        <f>MATCH(B78,#REF!,0)</f>
        <v>#REF!</v>
      </c>
      <c r="P78" s="288" t="e">
        <f>-MATCH(B78,#REF!,0)</f>
        <v>#REF!</v>
      </c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</row>
    <row r="79" spans="1:93" s="42" customFormat="1" ht="46.5" customHeight="1" outlineLevel="1" x14ac:dyDescent="0.2">
      <c r="A79" s="51"/>
      <c r="B79" s="53"/>
      <c r="C79" s="49"/>
      <c r="D79" s="750" t="s">
        <v>2213</v>
      </c>
      <c r="E79" s="536"/>
      <c r="F79" s="101"/>
      <c r="G79" s="46"/>
      <c r="H79" s="101"/>
      <c r="I79" s="46"/>
      <c r="J79" s="46"/>
      <c r="K79" s="46">
        <f>SUBTOTAL(9,K78:K78)</f>
        <v>65071</v>
      </c>
      <c r="L79" s="59"/>
      <c r="M79" s="71"/>
      <c r="O79" s="288" t="e">
        <f>MATCH(B79,#REF!,0)</f>
        <v>#REF!</v>
      </c>
      <c r="P79" s="288" t="e">
        <f>-MATCH(B79,#REF!,0)</f>
        <v>#REF!</v>
      </c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</row>
    <row r="80" spans="1:93" s="42" customFormat="1" ht="41.1" customHeight="1" outlineLevel="2" x14ac:dyDescent="0.2">
      <c r="A80" s="51" t="s">
        <v>2214</v>
      </c>
      <c r="B80" s="53">
        <v>580494946</v>
      </c>
      <c r="C80" s="49">
        <v>1000541857</v>
      </c>
      <c r="D80" s="48">
        <v>40461639</v>
      </c>
      <c r="E80" s="536">
        <v>0</v>
      </c>
      <c r="F80" s="101">
        <v>0</v>
      </c>
      <c r="G80" s="46">
        <v>26667</v>
      </c>
      <c r="H80" s="101">
        <v>45046</v>
      </c>
      <c r="I80" s="46">
        <v>52104</v>
      </c>
      <c r="J80" s="46">
        <v>57053</v>
      </c>
      <c r="K80" s="46">
        <v>57053</v>
      </c>
      <c r="L80" s="59">
        <f>J80-K80</f>
        <v>0</v>
      </c>
      <c r="M80" s="92"/>
      <c r="O80" s="288" t="e">
        <f>MATCH(B80,#REF!,0)</f>
        <v>#REF!</v>
      </c>
      <c r="P80" s="288" t="e">
        <f>-MATCH(B80,#REF!,0)</f>
        <v>#REF!</v>
      </c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</row>
    <row r="81" spans="1:93" s="42" customFormat="1" ht="41.1" customHeight="1" outlineLevel="1" x14ac:dyDescent="0.2">
      <c r="A81" s="51"/>
      <c r="B81" s="53"/>
      <c r="C81" s="49"/>
      <c r="D81" s="750" t="s">
        <v>2215</v>
      </c>
      <c r="E81" s="536"/>
      <c r="F81" s="101"/>
      <c r="G81" s="46"/>
      <c r="H81" s="101"/>
      <c r="I81" s="46"/>
      <c r="J81" s="46"/>
      <c r="K81" s="46">
        <f>SUBTOTAL(9,K80:K80)</f>
        <v>57053</v>
      </c>
      <c r="L81" s="59"/>
      <c r="M81" s="92"/>
      <c r="O81" s="288" t="e">
        <f>MATCH(B81,#REF!,0)</f>
        <v>#REF!</v>
      </c>
      <c r="P81" s="288" t="e">
        <f>-MATCH(B81,#REF!,0)</f>
        <v>#REF!</v>
      </c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</row>
    <row r="82" spans="1:93" s="42" customFormat="1" ht="32.25" customHeight="1" outlineLevel="2" x14ac:dyDescent="0.2">
      <c r="A82" s="51" t="s">
        <v>2216</v>
      </c>
      <c r="B82" s="53">
        <v>580512358</v>
      </c>
      <c r="C82" s="49">
        <v>1000547585</v>
      </c>
      <c r="D82" s="48">
        <v>40526633</v>
      </c>
      <c r="E82" s="536">
        <v>0</v>
      </c>
      <c r="F82" s="101">
        <v>0</v>
      </c>
      <c r="G82" s="46">
        <v>0</v>
      </c>
      <c r="H82" s="101">
        <v>0</v>
      </c>
      <c r="I82" s="46">
        <v>33981</v>
      </c>
      <c r="J82" s="46">
        <v>42881</v>
      </c>
      <c r="K82" s="46">
        <v>42881</v>
      </c>
      <c r="L82" s="59">
        <f>J82-K82</f>
        <v>0</v>
      </c>
      <c r="M82" s="92"/>
      <c r="O82" s="288" t="e">
        <f>MATCH(B82,#REF!,0)</f>
        <v>#REF!</v>
      </c>
      <c r="P82" s="288" t="e">
        <f>-MATCH(B82,#REF!,0)</f>
        <v>#REF!</v>
      </c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</row>
    <row r="83" spans="1:93" ht="41.1" customHeight="1" outlineLevel="2" x14ac:dyDescent="0.2">
      <c r="A83" s="51" t="s">
        <v>2217</v>
      </c>
      <c r="B83" s="53">
        <v>580512358</v>
      </c>
      <c r="C83" s="49">
        <v>1000547605</v>
      </c>
      <c r="D83" s="48">
        <v>40526633</v>
      </c>
      <c r="E83" s="536">
        <v>0</v>
      </c>
      <c r="F83" s="101">
        <v>0</v>
      </c>
      <c r="G83" s="46">
        <v>0</v>
      </c>
      <c r="H83" s="101">
        <v>0</v>
      </c>
      <c r="I83" s="46">
        <v>29450</v>
      </c>
      <c r="J83" s="46">
        <v>41262</v>
      </c>
      <c r="K83" s="46">
        <v>41262</v>
      </c>
      <c r="L83" s="59">
        <f>J83-K83</f>
        <v>0</v>
      </c>
      <c r="M83" s="92"/>
      <c r="O83" s="288" t="e">
        <f>MATCH(B83,#REF!,0)</f>
        <v>#REF!</v>
      </c>
      <c r="P83" s="288" t="e">
        <f>-MATCH(B83,#REF!,0)</f>
        <v>#REF!</v>
      </c>
      <c r="BT83" s="41"/>
      <c r="BU83" s="41"/>
    </row>
    <row r="84" spans="1:93" s="42" customFormat="1" ht="41.1" customHeight="1" outlineLevel="2" x14ac:dyDescent="0.2">
      <c r="A84" s="51" t="s">
        <v>2218</v>
      </c>
      <c r="B84" s="53">
        <v>580512358</v>
      </c>
      <c r="C84" s="49">
        <v>1000547633</v>
      </c>
      <c r="D84" s="48">
        <v>40526633</v>
      </c>
      <c r="E84" s="536"/>
      <c r="F84" s="536"/>
      <c r="G84" s="46"/>
      <c r="H84" s="46">
        <v>0</v>
      </c>
      <c r="I84" s="46">
        <v>34547</v>
      </c>
      <c r="J84" s="46">
        <v>34685</v>
      </c>
      <c r="K84" s="46">
        <v>34685</v>
      </c>
      <c r="L84" s="59">
        <f>J84-K84</f>
        <v>0</v>
      </c>
      <c r="M84" s="92"/>
      <c r="O84" s="288" t="e">
        <f>MATCH(B84,#REF!,0)</f>
        <v>#REF!</v>
      </c>
      <c r="P84" s="288" t="e">
        <f>-MATCH(B84,#REF!,0)</f>
        <v>#REF!</v>
      </c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</row>
    <row r="85" spans="1:93" ht="41.1" customHeight="1" outlineLevel="2" x14ac:dyDescent="0.2">
      <c r="A85" s="51" t="s">
        <v>2219</v>
      </c>
      <c r="B85" s="53">
        <v>580512358</v>
      </c>
      <c r="C85" s="49">
        <v>1000547634</v>
      </c>
      <c r="D85" s="48">
        <v>40526633</v>
      </c>
      <c r="E85" s="536">
        <v>0</v>
      </c>
      <c r="F85" s="101">
        <v>0</v>
      </c>
      <c r="G85" s="46">
        <v>0</v>
      </c>
      <c r="H85" s="101">
        <v>0</v>
      </c>
      <c r="I85" s="46">
        <v>32848</v>
      </c>
      <c r="J85" s="46">
        <v>36932</v>
      </c>
      <c r="K85" s="46">
        <v>36932</v>
      </c>
      <c r="L85" s="59">
        <f>J85-K85</f>
        <v>0</v>
      </c>
      <c r="M85" s="92"/>
      <c r="O85" s="288" t="e">
        <f>MATCH(B85,#REF!,0)</f>
        <v>#REF!</v>
      </c>
      <c r="P85" s="288" t="e">
        <f>-MATCH(B85,#REF!,0)</f>
        <v>#REF!</v>
      </c>
      <c r="BT85" s="41"/>
      <c r="BU85" s="41"/>
    </row>
    <row r="86" spans="1:93" ht="41.1" customHeight="1" outlineLevel="1" x14ac:dyDescent="0.2">
      <c r="A86" s="51"/>
      <c r="B86" s="53"/>
      <c r="C86" s="49"/>
      <c r="D86" s="750" t="s">
        <v>2220</v>
      </c>
      <c r="E86" s="536"/>
      <c r="F86" s="101"/>
      <c r="G86" s="46"/>
      <c r="H86" s="101"/>
      <c r="I86" s="46"/>
      <c r="J86" s="46"/>
      <c r="K86" s="46">
        <f>SUBTOTAL(9,K82:K85)</f>
        <v>155760</v>
      </c>
      <c r="L86" s="59"/>
      <c r="M86" s="92"/>
      <c r="O86" s="288" t="e">
        <f>MATCH(B86,#REF!,0)</f>
        <v>#REF!</v>
      </c>
      <c r="P86" s="288" t="e">
        <f>-MATCH(B86,#REF!,0)</f>
        <v>#REF!</v>
      </c>
      <c r="BT86" s="41"/>
      <c r="BU86" s="41"/>
    </row>
    <row r="87" spans="1:93" ht="41.1" customHeight="1" x14ac:dyDescent="0.2">
      <c r="A87" s="51"/>
      <c r="B87" s="53"/>
      <c r="C87" s="49"/>
      <c r="D87" s="750" t="s">
        <v>2221</v>
      </c>
      <c r="E87" s="536"/>
      <c r="F87" s="101"/>
      <c r="G87" s="46"/>
      <c r="H87" s="101"/>
      <c r="I87" s="46"/>
      <c r="J87" s="46"/>
      <c r="K87" s="46">
        <f>SUBTOTAL(9,K2:K85)</f>
        <v>3200000</v>
      </c>
      <c r="L87" s="59"/>
      <c r="M87" s="92"/>
      <c r="O87" s="288" t="e">
        <f>MATCH(B87,#REF!,0)</f>
        <v>#REF!</v>
      </c>
      <c r="P87" s="288" t="e">
        <f>-MATCH(B87,#REF!,0)</f>
        <v>#REF!</v>
      </c>
      <c r="BT87" s="41"/>
      <c r="BU87" s="41"/>
    </row>
    <row r="88" spans="1:93" s="42" customFormat="1" ht="41.1" customHeight="1" x14ac:dyDescent="0.2">
      <c r="A88" s="65" t="s">
        <v>2222</v>
      </c>
      <c r="B88" s="752"/>
      <c r="C88" s="752"/>
      <c r="D88" s="752"/>
      <c r="E88" s="752"/>
      <c r="F88" s="752"/>
      <c r="G88" s="752"/>
      <c r="H88" s="752"/>
      <c r="I88" s="752"/>
      <c r="J88" s="64"/>
      <c r="K88" s="64"/>
      <c r="L88" s="64"/>
      <c r="M88" s="753"/>
      <c r="O88" s="288" t="e">
        <f>MATCH(B88,#REF!,0)</f>
        <v>#REF!</v>
      </c>
      <c r="P88" s="288" t="e">
        <f>-MATCH(B88,#REF!,0)</f>
        <v>#REF!</v>
      </c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</row>
    <row r="89" spans="1:93" x14ac:dyDescent="0.2">
      <c r="J89" s="282">
        <f>SUM(J2:J88)</f>
        <v>3200000</v>
      </c>
    </row>
  </sheetData>
  <dataConsolidate/>
  <conditionalFormatting sqref="O2:P88">
    <cfRule type="containsErrors" dxfId="0" priority="1">
      <formula>ISERROR(O2)</formula>
    </cfRule>
  </conditionalFormatting>
  <pageMargins left="0.11811023622047245" right="0.15748031496062992" top="0.47244094488188981" bottom="0.47244094488188981" header="0.15748031496062992" footer="0.19685039370078741"/>
  <pageSetup paperSize="9" scale="80" orientation="landscape" r:id="rId1"/>
  <headerFooter alignWithMargins="0">
    <oddHeader>&amp;C&amp;"Guttman Yad-Brush,רגיל"&amp;14תקנת תרבות דרוזית 42-02-49</oddHeader>
    <oddFooter>&amp;L&amp;D&amp;C&amp;P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A1:Q115"/>
  <sheetViews>
    <sheetView rightToLeft="1" topLeftCell="B1" zoomScaleNormal="100" workbookViewId="0">
      <pane xSplit="2" ySplit="2" topLeftCell="D3" activePane="bottomRight" state="frozen"/>
      <selection activeCell="S19" sqref="S19"/>
      <selection pane="topRight" activeCell="S19" sqref="S19"/>
      <selection pane="bottomLeft" activeCell="S19" sqref="S19"/>
      <selection pane="bottomRight" activeCell="H1" sqref="H1:H1048576"/>
    </sheetView>
  </sheetViews>
  <sheetFormatPr defaultColWidth="2.140625" defaultRowHeight="12.75" x14ac:dyDescent="0.2"/>
  <cols>
    <col min="1" max="1" width="1.140625" style="154" customWidth="1"/>
    <col min="2" max="2" width="14.140625" style="155" customWidth="1"/>
    <col min="3" max="3" width="34.85546875" style="156" customWidth="1"/>
    <col min="4" max="7" width="13.85546875" style="158" customWidth="1"/>
    <col min="8" max="8" width="11.85546875" style="158" hidden="1" customWidth="1"/>
    <col min="9" max="9" width="2.140625" style="158"/>
    <col min="10" max="10" width="23.5703125" style="158" customWidth="1"/>
    <col min="11" max="253" width="2.140625" style="158"/>
    <col min="254" max="254" width="1.140625" style="158" customWidth="1"/>
    <col min="255" max="255" width="14.140625" style="158" customWidth="1"/>
    <col min="256" max="256" width="34.85546875" style="158" customWidth="1"/>
    <col min="257" max="257" width="13.85546875" style="158" customWidth="1"/>
    <col min="258" max="258" width="0.5703125" style="158" customWidth="1"/>
    <col min="259" max="259" width="13.85546875" style="158" customWidth="1"/>
    <col min="260" max="260" width="25.140625" style="158" customWidth="1"/>
    <col min="261" max="261" width="0.5703125" style="158" customWidth="1"/>
    <col min="262" max="262" width="13.85546875" style="158" customWidth="1"/>
    <col min="263" max="263" width="25.140625" style="158" customWidth="1"/>
    <col min="264" max="264" width="11.85546875" style="158" customWidth="1"/>
    <col min="265" max="509" width="2.140625" style="158"/>
    <col min="510" max="510" width="1.140625" style="158" customWidth="1"/>
    <col min="511" max="511" width="14.140625" style="158" customWidth="1"/>
    <col min="512" max="512" width="34.85546875" style="158" customWidth="1"/>
    <col min="513" max="513" width="13.85546875" style="158" customWidth="1"/>
    <col min="514" max="514" width="0.5703125" style="158" customWidth="1"/>
    <col min="515" max="515" width="13.85546875" style="158" customWidth="1"/>
    <col min="516" max="516" width="25.140625" style="158" customWidth="1"/>
    <col min="517" max="517" width="0.5703125" style="158" customWidth="1"/>
    <col min="518" max="518" width="13.85546875" style="158" customWidth="1"/>
    <col min="519" max="519" width="25.140625" style="158" customWidth="1"/>
    <col min="520" max="520" width="11.85546875" style="158" customWidth="1"/>
    <col min="521" max="765" width="2.140625" style="158"/>
    <col min="766" max="766" width="1.140625" style="158" customWidth="1"/>
    <col min="767" max="767" width="14.140625" style="158" customWidth="1"/>
    <col min="768" max="768" width="34.85546875" style="158" customWidth="1"/>
    <col min="769" max="769" width="13.85546875" style="158" customWidth="1"/>
    <col min="770" max="770" width="0.5703125" style="158" customWidth="1"/>
    <col min="771" max="771" width="13.85546875" style="158" customWidth="1"/>
    <col min="772" max="772" width="25.140625" style="158" customWidth="1"/>
    <col min="773" max="773" width="0.5703125" style="158" customWidth="1"/>
    <col min="774" max="774" width="13.85546875" style="158" customWidth="1"/>
    <col min="775" max="775" width="25.140625" style="158" customWidth="1"/>
    <col min="776" max="776" width="11.85546875" style="158" customWidth="1"/>
    <col min="777" max="1021" width="2.140625" style="158"/>
    <col min="1022" max="1022" width="1.140625" style="158" customWidth="1"/>
    <col min="1023" max="1023" width="14.140625" style="158" customWidth="1"/>
    <col min="1024" max="1024" width="34.85546875" style="158" customWidth="1"/>
    <col min="1025" max="1025" width="13.85546875" style="158" customWidth="1"/>
    <col min="1026" max="1026" width="0.5703125" style="158" customWidth="1"/>
    <col min="1027" max="1027" width="13.85546875" style="158" customWidth="1"/>
    <col min="1028" max="1028" width="25.140625" style="158" customWidth="1"/>
    <col min="1029" max="1029" width="0.5703125" style="158" customWidth="1"/>
    <col min="1030" max="1030" width="13.85546875" style="158" customWidth="1"/>
    <col min="1031" max="1031" width="25.140625" style="158" customWidth="1"/>
    <col min="1032" max="1032" width="11.85546875" style="158" customWidth="1"/>
    <col min="1033" max="1277" width="2.140625" style="158"/>
    <col min="1278" max="1278" width="1.140625" style="158" customWidth="1"/>
    <col min="1279" max="1279" width="14.140625" style="158" customWidth="1"/>
    <col min="1280" max="1280" width="34.85546875" style="158" customWidth="1"/>
    <col min="1281" max="1281" width="13.85546875" style="158" customWidth="1"/>
    <col min="1282" max="1282" width="0.5703125" style="158" customWidth="1"/>
    <col min="1283" max="1283" width="13.85546875" style="158" customWidth="1"/>
    <col min="1284" max="1284" width="25.140625" style="158" customWidth="1"/>
    <col min="1285" max="1285" width="0.5703125" style="158" customWidth="1"/>
    <col min="1286" max="1286" width="13.85546875" style="158" customWidth="1"/>
    <col min="1287" max="1287" width="25.140625" style="158" customWidth="1"/>
    <col min="1288" max="1288" width="11.85546875" style="158" customWidth="1"/>
    <col min="1289" max="1533" width="2.140625" style="158"/>
    <col min="1534" max="1534" width="1.140625" style="158" customWidth="1"/>
    <col min="1535" max="1535" width="14.140625" style="158" customWidth="1"/>
    <col min="1536" max="1536" width="34.85546875" style="158" customWidth="1"/>
    <col min="1537" max="1537" width="13.85546875" style="158" customWidth="1"/>
    <col min="1538" max="1538" width="0.5703125" style="158" customWidth="1"/>
    <col min="1539" max="1539" width="13.85546875" style="158" customWidth="1"/>
    <col min="1540" max="1540" width="25.140625" style="158" customWidth="1"/>
    <col min="1541" max="1541" width="0.5703125" style="158" customWidth="1"/>
    <col min="1542" max="1542" width="13.85546875" style="158" customWidth="1"/>
    <col min="1543" max="1543" width="25.140625" style="158" customWidth="1"/>
    <col min="1544" max="1544" width="11.85546875" style="158" customWidth="1"/>
    <col min="1545" max="1789" width="2.140625" style="158"/>
    <col min="1790" max="1790" width="1.140625" style="158" customWidth="1"/>
    <col min="1791" max="1791" width="14.140625" style="158" customWidth="1"/>
    <col min="1792" max="1792" width="34.85546875" style="158" customWidth="1"/>
    <col min="1793" max="1793" width="13.85546875" style="158" customWidth="1"/>
    <col min="1794" max="1794" width="0.5703125" style="158" customWidth="1"/>
    <col min="1795" max="1795" width="13.85546875" style="158" customWidth="1"/>
    <col min="1796" max="1796" width="25.140625" style="158" customWidth="1"/>
    <col min="1797" max="1797" width="0.5703125" style="158" customWidth="1"/>
    <col min="1798" max="1798" width="13.85546875" style="158" customWidth="1"/>
    <col min="1799" max="1799" width="25.140625" style="158" customWidth="1"/>
    <col min="1800" max="1800" width="11.85546875" style="158" customWidth="1"/>
    <col min="1801" max="2045" width="2.140625" style="158"/>
    <col min="2046" max="2046" width="1.140625" style="158" customWidth="1"/>
    <col min="2047" max="2047" width="14.140625" style="158" customWidth="1"/>
    <col min="2048" max="2048" width="34.85546875" style="158" customWidth="1"/>
    <col min="2049" max="2049" width="13.85546875" style="158" customWidth="1"/>
    <col min="2050" max="2050" width="0.5703125" style="158" customWidth="1"/>
    <col min="2051" max="2051" width="13.85546875" style="158" customWidth="1"/>
    <col min="2052" max="2052" width="25.140625" style="158" customWidth="1"/>
    <col min="2053" max="2053" width="0.5703125" style="158" customWidth="1"/>
    <col min="2054" max="2054" width="13.85546875" style="158" customWidth="1"/>
    <col min="2055" max="2055" width="25.140625" style="158" customWidth="1"/>
    <col min="2056" max="2056" width="11.85546875" style="158" customWidth="1"/>
    <col min="2057" max="2301" width="2.140625" style="158"/>
    <col min="2302" max="2302" width="1.140625" style="158" customWidth="1"/>
    <col min="2303" max="2303" width="14.140625" style="158" customWidth="1"/>
    <col min="2304" max="2304" width="34.85546875" style="158" customWidth="1"/>
    <col min="2305" max="2305" width="13.85546875" style="158" customWidth="1"/>
    <col min="2306" max="2306" width="0.5703125" style="158" customWidth="1"/>
    <col min="2307" max="2307" width="13.85546875" style="158" customWidth="1"/>
    <col min="2308" max="2308" width="25.140625" style="158" customWidth="1"/>
    <col min="2309" max="2309" width="0.5703125" style="158" customWidth="1"/>
    <col min="2310" max="2310" width="13.85546875" style="158" customWidth="1"/>
    <col min="2311" max="2311" width="25.140625" style="158" customWidth="1"/>
    <col min="2312" max="2312" width="11.85546875" style="158" customWidth="1"/>
    <col min="2313" max="2557" width="2.140625" style="158"/>
    <col min="2558" max="2558" width="1.140625" style="158" customWidth="1"/>
    <col min="2559" max="2559" width="14.140625" style="158" customWidth="1"/>
    <col min="2560" max="2560" width="34.85546875" style="158" customWidth="1"/>
    <col min="2561" max="2561" width="13.85546875" style="158" customWidth="1"/>
    <col min="2562" max="2562" width="0.5703125" style="158" customWidth="1"/>
    <col min="2563" max="2563" width="13.85546875" style="158" customWidth="1"/>
    <col min="2564" max="2564" width="25.140625" style="158" customWidth="1"/>
    <col min="2565" max="2565" width="0.5703125" style="158" customWidth="1"/>
    <col min="2566" max="2566" width="13.85546875" style="158" customWidth="1"/>
    <col min="2567" max="2567" width="25.140625" style="158" customWidth="1"/>
    <col min="2568" max="2568" width="11.85546875" style="158" customWidth="1"/>
    <col min="2569" max="2813" width="2.140625" style="158"/>
    <col min="2814" max="2814" width="1.140625" style="158" customWidth="1"/>
    <col min="2815" max="2815" width="14.140625" style="158" customWidth="1"/>
    <col min="2816" max="2816" width="34.85546875" style="158" customWidth="1"/>
    <col min="2817" max="2817" width="13.85546875" style="158" customWidth="1"/>
    <col min="2818" max="2818" width="0.5703125" style="158" customWidth="1"/>
    <col min="2819" max="2819" width="13.85546875" style="158" customWidth="1"/>
    <col min="2820" max="2820" width="25.140625" style="158" customWidth="1"/>
    <col min="2821" max="2821" width="0.5703125" style="158" customWidth="1"/>
    <col min="2822" max="2822" width="13.85546875" style="158" customWidth="1"/>
    <col min="2823" max="2823" width="25.140625" style="158" customWidth="1"/>
    <col min="2824" max="2824" width="11.85546875" style="158" customWidth="1"/>
    <col min="2825" max="3069" width="2.140625" style="158"/>
    <col min="3070" max="3070" width="1.140625" style="158" customWidth="1"/>
    <col min="3071" max="3071" width="14.140625" style="158" customWidth="1"/>
    <col min="3072" max="3072" width="34.85546875" style="158" customWidth="1"/>
    <col min="3073" max="3073" width="13.85546875" style="158" customWidth="1"/>
    <col min="3074" max="3074" width="0.5703125" style="158" customWidth="1"/>
    <col min="3075" max="3075" width="13.85546875" style="158" customWidth="1"/>
    <col min="3076" max="3076" width="25.140625" style="158" customWidth="1"/>
    <col min="3077" max="3077" width="0.5703125" style="158" customWidth="1"/>
    <col min="3078" max="3078" width="13.85546875" style="158" customWidth="1"/>
    <col min="3079" max="3079" width="25.140625" style="158" customWidth="1"/>
    <col min="3080" max="3080" width="11.85546875" style="158" customWidth="1"/>
    <col min="3081" max="3325" width="2.140625" style="158"/>
    <col min="3326" max="3326" width="1.140625" style="158" customWidth="1"/>
    <col min="3327" max="3327" width="14.140625" style="158" customWidth="1"/>
    <col min="3328" max="3328" width="34.85546875" style="158" customWidth="1"/>
    <col min="3329" max="3329" width="13.85546875" style="158" customWidth="1"/>
    <col min="3330" max="3330" width="0.5703125" style="158" customWidth="1"/>
    <col min="3331" max="3331" width="13.85546875" style="158" customWidth="1"/>
    <col min="3332" max="3332" width="25.140625" style="158" customWidth="1"/>
    <col min="3333" max="3333" width="0.5703125" style="158" customWidth="1"/>
    <col min="3334" max="3334" width="13.85546875" style="158" customWidth="1"/>
    <col min="3335" max="3335" width="25.140625" style="158" customWidth="1"/>
    <col min="3336" max="3336" width="11.85546875" style="158" customWidth="1"/>
    <col min="3337" max="3581" width="2.140625" style="158"/>
    <col min="3582" max="3582" width="1.140625" style="158" customWidth="1"/>
    <col min="3583" max="3583" width="14.140625" style="158" customWidth="1"/>
    <col min="3584" max="3584" width="34.85546875" style="158" customWidth="1"/>
    <col min="3585" max="3585" width="13.85546875" style="158" customWidth="1"/>
    <col min="3586" max="3586" width="0.5703125" style="158" customWidth="1"/>
    <col min="3587" max="3587" width="13.85546875" style="158" customWidth="1"/>
    <col min="3588" max="3588" width="25.140625" style="158" customWidth="1"/>
    <col min="3589" max="3589" width="0.5703125" style="158" customWidth="1"/>
    <col min="3590" max="3590" width="13.85546875" style="158" customWidth="1"/>
    <col min="3591" max="3591" width="25.140625" style="158" customWidth="1"/>
    <col min="3592" max="3592" width="11.85546875" style="158" customWidth="1"/>
    <col min="3593" max="3837" width="2.140625" style="158"/>
    <col min="3838" max="3838" width="1.140625" style="158" customWidth="1"/>
    <col min="3839" max="3839" width="14.140625" style="158" customWidth="1"/>
    <col min="3840" max="3840" width="34.85546875" style="158" customWidth="1"/>
    <col min="3841" max="3841" width="13.85546875" style="158" customWidth="1"/>
    <col min="3842" max="3842" width="0.5703125" style="158" customWidth="1"/>
    <col min="3843" max="3843" width="13.85546875" style="158" customWidth="1"/>
    <col min="3844" max="3844" width="25.140625" style="158" customWidth="1"/>
    <col min="3845" max="3845" width="0.5703125" style="158" customWidth="1"/>
    <col min="3846" max="3846" width="13.85546875" style="158" customWidth="1"/>
    <col min="3847" max="3847" width="25.140625" style="158" customWidth="1"/>
    <col min="3848" max="3848" width="11.85546875" style="158" customWidth="1"/>
    <col min="3849" max="4093" width="2.140625" style="158"/>
    <col min="4094" max="4094" width="1.140625" style="158" customWidth="1"/>
    <col min="4095" max="4095" width="14.140625" style="158" customWidth="1"/>
    <col min="4096" max="4096" width="34.85546875" style="158" customWidth="1"/>
    <col min="4097" max="4097" width="13.85546875" style="158" customWidth="1"/>
    <col min="4098" max="4098" width="0.5703125" style="158" customWidth="1"/>
    <col min="4099" max="4099" width="13.85546875" style="158" customWidth="1"/>
    <col min="4100" max="4100" width="25.140625" style="158" customWidth="1"/>
    <col min="4101" max="4101" width="0.5703125" style="158" customWidth="1"/>
    <col min="4102" max="4102" width="13.85546875" style="158" customWidth="1"/>
    <col min="4103" max="4103" width="25.140625" style="158" customWidth="1"/>
    <col min="4104" max="4104" width="11.85546875" style="158" customWidth="1"/>
    <col min="4105" max="4349" width="2.140625" style="158"/>
    <col min="4350" max="4350" width="1.140625" style="158" customWidth="1"/>
    <col min="4351" max="4351" width="14.140625" style="158" customWidth="1"/>
    <col min="4352" max="4352" width="34.85546875" style="158" customWidth="1"/>
    <col min="4353" max="4353" width="13.85546875" style="158" customWidth="1"/>
    <col min="4354" max="4354" width="0.5703125" style="158" customWidth="1"/>
    <col min="4355" max="4355" width="13.85546875" style="158" customWidth="1"/>
    <col min="4356" max="4356" width="25.140625" style="158" customWidth="1"/>
    <col min="4357" max="4357" width="0.5703125" style="158" customWidth="1"/>
    <col min="4358" max="4358" width="13.85546875" style="158" customWidth="1"/>
    <col min="4359" max="4359" width="25.140625" style="158" customWidth="1"/>
    <col min="4360" max="4360" width="11.85546875" style="158" customWidth="1"/>
    <col min="4361" max="4605" width="2.140625" style="158"/>
    <col min="4606" max="4606" width="1.140625" style="158" customWidth="1"/>
    <col min="4607" max="4607" width="14.140625" style="158" customWidth="1"/>
    <col min="4608" max="4608" width="34.85546875" style="158" customWidth="1"/>
    <col min="4609" max="4609" width="13.85546875" style="158" customWidth="1"/>
    <col min="4610" max="4610" width="0.5703125" style="158" customWidth="1"/>
    <col min="4611" max="4611" width="13.85546875" style="158" customWidth="1"/>
    <col min="4612" max="4612" width="25.140625" style="158" customWidth="1"/>
    <col min="4613" max="4613" width="0.5703125" style="158" customWidth="1"/>
    <col min="4614" max="4614" width="13.85546875" style="158" customWidth="1"/>
    <col min="4615" max="4615" width="25.140625" style="158" customWidth="1"/>
    <col min="4616" max="4616" width="11.85546875" style="158" customWidth="1"/>
    <col min="4617" max="4861" width="2.140625" style="158"/>
    <col min="4862" max="4862" width="1.140625" style="158" customWidth="1"/>
    <col min="4863" max="4863" width="14.140625" style="158" customWidth="1"/>
    <col min="4864" max="4864" width="34.85546875" style="158" customWidth="1"/>
    <col min="4865" max="4865" width="13.85546875" style="158" customWidth="1"/>
    <col min="4866" max="4866" width="0.5703125" style="158" customWidth="1"/>
    <col min="4867" max="4867" width="13.85546875" style="158" customWidth="1"/>
    <col min="4868" max="4868" width="25.140625" style="158" customWidth="1"/>
    <col min="4869" max="4869" width="0.5703125" style="158" customWidth="1"/>
    <col min="4870" max="4870" width="13.85546875" style="158" customWidth="1"/>
    <col min="4871" max="4871" width="25.140625" style="158" customWidth="1"/>
    <col min="4872" max="4872" width="11.85546875" style="158" customWidth="1"/>
    <col min="4873" max="5117" width="2.140625" style="158"/>
    <col min="5118" max="5118" width="1.140625" style="158" customWidth="1"/>
    <col min="5119" max="5119" width="14.140625" style="158" customWidth="1"/>
    <col min="5120" max="5120" width="34.85546875" style="158" customWidth="1"/>
    <col min="5121" max="5121" width="13.85546875" style="158" customWidth="1"/>
    <col min="5122" max="5122" width="0.5703125" style="158" customWidth="1"/>
    <col min="5123" max="5123" width="13.85546875" style="158" customWidth="1"/>
    <col min="5124" max="5124" width="25.140625" style="158" customWidth="1"/>
    <col min="5125" max="5125" width="0.5703125" style="158" customWidth="1"/>
    <col min="5126" max="5126" width="13.85546875" style="158" customWidth="1"/>
    <col min="5127" max="5127" width="25.140625" style="158" customWidth="1"/>
    <col min="5128" max="5128" width="11.85546875" style="158" customWidth="1"/>
    <col min="5129" max="5373" width="2.140625" style="158"/>
    <col min="5374" max="5374" width="1.140625" style="158" customWidth="1"/>
    <col min="5375" max="5375" width="14.140625" style="158" customWidth="1"/>
    <col min="5376" max="5376" width="34.85546875" style="158" customWidth="1"/>
    <col min="5377" max="5377" width="13.85546875" style="158" customWidth="1"/>
    <col min="5378" max="5378" width="0.5703125" style="158" customWidth="1"/>
    <col min="5379" max="5379" width="13.85546875" style="158" customWidth="1"/>
    <col min="5380" max="5380" width="25.140625" style="158" customWidth="1"/>
    <col min="5381" max="5381" width="0.5703125" style="158" customWidth="1"/>
    <col min="5382" max="5382" width="13.85546875" style="158" customWidth="1"/>
    <col min="5383" max="5383" width="25.140625" style="158" customWidth="1"/>
    <col min="5384" max="5384" width="11.85546875" style="158" customWidth="1"/>
    <col min="5385" max="5629" width="2.140625" style="158"/>
    <col min="5630" max="5630" width="1.140625" style="158" customWidth="1"/>
    <col min="5631" max="5631" width="14.140625" style="158" customWidth="1"/>
    <col min="5632" max="5632" width="34.85546875" style="158" customWidth="1"/>
    <col min="5633" max="5633" width="13.85546875" style="158" customWidth="1"/>
    <col min="5634" max="5634" width="0.5703125" style="158" customWidth="1"/>
    <col min="5635" max="5635" width="13.85546875" style="158" customWidth="1"/>
    <col min="5636" max="5636" width="25.140625" style="158" customWidth="1"/>
    <col min="5637" max="5637" width="0.5703125" style="158" customWidth="1"/>
    <col min="5638" max="5638" width="13.85546875" style="158" customWidth="1"/>
    <col min="5639" max="5639" width="25.140625" style="158" customWidth="1"/>
    <col min="5640" max="5640" width="11.85546875" style="158" customWidth="1"/>
    <col min="5641" max="5885" width="2.140625" style="158"/>
    <col min="5886" max="5886" width="1.140625" style="158" customWidth="1"/>
    <col min="5887" max="5887" width="14.140625" style="158" customWidth="1"/>
    <col min="5888" max="5888" width="34.85546875" style="158" customWidth="1"/>
    <col min="5889" max="5889" width="13.85546875" style="158" customWidth="1"/>
    <col min="5890" max="5890" width="0.5703125" style="158" customWidth="1"/>
    <col min="5891" max="5891" width="13.85546875" style="158" customWidth="1"/>
    <col min="5892" max="5892" width="25.140625" style="158" customWidth="1"/>
    <col min="5893" max="5893" width="0.5703125" style="158" customWidth="1"/>
    <col min="5894" max="5894" width="13.85546875" style="158" customWidth="1"/>
    <col min="5895" max="5895" width="25.140625" style="158" customWidth="1"/>
    <col min="5896" max="5896" width="11.85546875" style="158" customWidth="1"/>
    <col min="5897" max="6141" width="2.140625" style="158"/>
    <col min="6142" max="6142" width="1.140625" style="158" customWidth="1"/>
    <col min="6143" max="6143" width="14.140625" style="158" customWidth="1"/>
    <col min="6144" max="6144" width="34.85546875" style="158" customWidth="1"/>
    <col min="6145" max="6145" width="13.85546875" style="158" customWidth="1"/>
    <col min="6146" max="6146" width="0.5703125" style="158" customWidth="1"/>
    <col min="6147" max="6147" width="13.85546875" style="158" customWidth="1"/>
    <col min="6148" max="6148" width="25.140625" style="158" customWidth="1"/>
    <col min="6149" max="6149" width="0.5703125" style="158" customWidth="1"/>
    <col min="6150" max="6150" width="13.85546875" style="158" customWidth="1"/>
    <col min="6151" max="6151" width="25.140625" style="158" customWidth="1"/>
    <col min="6152" max="6152" width="11.85546875" style="158" customWidth="1"/>
    <col min="6153" max="6397" width="2.140625" style="158"/>
    <col min="6398" max="6398" width="1.140625" style="158" customWidth="1"/>
    <col min="6399" max="6399" width="14.140625" style="158" customWidth="1"/>
    <col min="6400" max="6400" width="34.85546875" style="158" customWidth="1"/>
    <col min="6401" max="6401" width="13.85546875" style="158" customWidth="1"/>
    <col min="6402" max="6402" width="0.5703125" style="158" customWidth="1"/>
    <col min="6403" max="6403" width="13.85546875" style="158" customWidth="1"/>
    <col min="6404" max="6404" width="25.140625" style="158" customWidth="1"/>
    <col min="6405" max="6405" width="0.5703125" style="158" customWidth="1"/>
    <col min="6406" max="6406" width="13.85546875" style="158" customWidth="1"/>
    <col min="6407" max="6407" width="25.140625" style="158" customWidth="1"/>
    <col min="6408" max="6408" width="11.85546875" style="158" customWidth="1"/>
    <col min="6409" max="6653" width="2.140625" style="158"/>
    <col min="6654" max="6654" width="1.140625" style="158" customWidth="1"/>
    <col min="6655" max="6655" width="14.140625" style="158" customWidth="1"/>
    <col min="6656" max="6656" width="34.85546875" style="158" customWidth="1"/>
    <col min="6657" max="6657" width="13.85546875" style="158" customWidth="1"/>
    <col min="6658" max="6658" width="0.5703125" style="158" customWidth="1"/>
    <col min="6659" max="6659" width="13.85546875" style="158" customWidth="1"/>
    <col min="6660" max="6660" width="25.140625" style="158" customWidth="1"/>
    <col min="6661" max="6661" width="0.5703125" style="158" customWidth="1"/>
    <col min="6662" max="6662" width="13.85546875" style="158" customWidth="1"/>
    <col min="6663" max="6663" width="25.140625" style="158" customWidth="1"/>
    <col min="6664" max="6664" width="11.85546875" style="158" customWidth="1"/>
    <col min="6665" max="6909" width="2.140625" style="158"/>
    <col min="6910" max="6910" width="1.140625" style="158" customWidth="1"/>
    <col min="6911" max="6911" width="14.140625" style="158" customWidth="1"/>
    <col min="6912" max="6912" width="34.85546875" style="158" customWidth="1"/>
    <col min="6913" max="6913" width="13.85546875" style="158" customWidth="1"/>
    <col min="6914" max="6914" width="0.5703125" style="158" customWidth="1"/>
    <col min="6915" max="6915" width="13.85546875" style="158" customWidth="1"/>
    <col min="6916" max="6916" width="25.140625" style="158" customWidth="1"/>
    <col min="6917" max="6917" width="0.5703125" style="158" customWidth="1"/>
    <col min="6918" max="6918" width="13.85546875" style="158" customWidth="1"/>
    <col min="6919" max="6919" width="25.140625" style="158" customWidth="1"/>
    <col min="6920" max="6920" width="11.85546875" style="158" customWidth="1"/>
    <col min="6921" max="7165" width="2.140625" style="158"/>
    <col min="7166" max="7166" width="1.140625" style="158" customWidth="1"/>
    <col min="7167" max="7167" width="14.140625" style="158" customWidth="1"/>
    <col min="7168" max="7168" width="34.85546875" style="158" customWidth="1"/>
    <col min="7169" max="7169" width="13.85546875" style="158" customWidth="1"/>
    <col min="7170" max="7170" width="0.5703125" style="158" customWidth="1"/>
    <col min="7171" max="7171" width="13.85546875" style="158" customWidth="1"/>
    <col min="7172" max="7172" width="25.140625" style="158" customWidth="1"/>
    <col min="7173" max="7173" width="0.5703125" style="158" customWidth="1"/>
    <col min="7174" max="7174" width="13.85546875" style="158" customWidth="1"/>
    <col min="7175" max="7175" width="25.140625" style="158" customWidth="1"/>
    <col min="7176" max="7176" width="11.85546875" style="158" customWidth="1"/>
    <col min="7177" max="7421" width="2.140625" style="158"/>
    <col min="7422" max="7422" width="1.140625" style="158" customWidth="1"/>
    <col min="7423" max="7423" width="14.140625" style="158" customWidth="1"/>
    <col min="7424" max="7424" width="34.85546875" style="158" customWidth="1"/>
    <col min="7425" max="7425" width="13.85546875" style="158" customWidth="1"/>
    <col min="7426" max="7426" width="0.5703125" style="158" customWidth="1"/>
    <col min="7427" max="7427" width="13.85546875" style="158" customWidth="1"/>
    <col min="7428" max="7428" width="25.140625" style="158" customWidth="1"/>
    <col min="7429" max="7429" width="0.5703125" style="158" customWidth="1"/>
    <col min="7430" max="7430" width="13.85546875" style="158" customWidth="1"/>
    <col min="7431" max="7431" width="25.140625" style="158" customWidth="1"/>
    <col min="7432" max="7432" width="11.85546875" style="158" customWidth="1"/>
    <col min="7433" max="7677" width="2.140625" style="158"/>
    <col min="7678" max="7678" width="1.140625" style="158" customWidth="1"/>
    <col min="7679" max="7679" width="14.140625" style="158" customWidth="1"/>
    <col min="7680" max="7680" width="34.85546875" style="158" customWidth="1"/>
    <col min="7681" max="7681" width="13.85546875" style="158" customWidth="1"/>
    <col min="7682" max="7682" width="0.5703125" style="158" customWidth="1"/>
    <col min="7683" max="7683" width="13.85546875" style="158" customWidth="1"/>
    <col min="7684" max="7684" width="25.140625" style="158" customWidth="1"/>
    <col min="7685" max="7685" width="0.5703125" style="158" customWidth="1"/>
    <col min="7686" max="7686" width="13.85546875" style="158" customWidth="1"/>
    <col min="7687" max="7687" width="25.140625" style="158" customWidth="1"/>
    <col min="7688" max="7688" width="11.85546875" style="158" customWidth="1"/>
    <col min="7689" max="7933" width="2.140625" style="158"/>
    <col min="7934" max="7934" width="1.140625" style="158" customWidth="1"/>
    <col min="7935" max="7935" width="14.140625" style="158" customWidth="1"/>
    <col min="7936" max="7936" width="34.85546875" style="158" customWidth="1"/>
    <col min="7937" max="7937" width="13.85546875" style="158" customWidth="1"/>
    <col min="7938" max="7938" width="0.5703125" style="158" customWidth="1"/>
    <col min="7939" max="7939" width="13.85546875" style="158" customWidth="1"/>
    <col min="7940" max="7940" width="25.140625" style="158" customWidth="1"/>
    <col min="7941" max="7941" width="0.5703125" style="158" customWidth="1"/>
    <col min="7942" max="7942" width="13.85546875" style="158" customWidth="1"/>
    <col min="7943" max="7943" width="25.140625" style="158" customWidth="1"/>
    <col min="7944" max="7944" width="11.85546875" style="158" customWidth="1"/>
    <col min="7945" max="8189" width="2.140625" style="158"/>
    <col min="8190" max="8190" width="1.140625" style="158" customWidth="1"/>
    <col min="8191" max="8191" width="14.140625" style="158" customWidth="1"/>
    <col min="8192" max="8192" width="34.85546875" style="158" customWidth="1"/>
    <col min="8193" max="8193" width="13.85546875" style="158" customWidth="1"/>
    <col min="8194" max="8194" width="0.5703125" style="158" customWidth="1"/>
    <col min="8195" max="8195" width="13.85546875" style="158" customWidth="1"/>
    <col min="8196" max="8196" width="25.140625" style="158" customWidth="1"/>
    <col min="8197" max="8197" width="0.5703125" style="158" customWidth="1"/>
    <col min="8198" max="8198" width="13.85546875" style="158" customWidth="1"/>
    <col min="8199" max="8199" width="25.140625" style="158" customWidth="1"/>
    <col min="8200" max="8200" width="11.85546875" style="158" customWidth="1"/>
    <col min="8201" max="8445" width="2.140625" style="158"/>
    <col min="8446" max="8446" width="1.140625" style="158" customWidth="1"/>
    <col min="8447" max="8447" width="14.140625" style="158" customWidth="1"/>
    <col min="8448" max="8448" width="34.85546875" style="158" customWidth="1"/>
    <col min="8449" max="8449" width="13.85546875" style="158" customWidth="1"/>
    <col min="8450" max="8450" width="0.5703125" style="158" customWidth="1"/>
    <col min="8451" max="8451" width="13.85546875" style="158" customWidth="1"/>
    <col min="8452" max="8452" width="25.140625" style="158" customWidth="1"/>
    <col min="8453" max="8453" width="0.5703125" style="158" customWidth="1"/>
    <col min="8454" max="8454" width="13.85546875" style="158" customWidth="1"/>
    <col min="8455" max="8455" width="25.140625" style="158" customWidth="1"/>
    <col min="8456" max="8456" width="11.85546875" style="158" customWidth="1"/>
    <col min="8457" max="8701" width="2.140625" style="158"/>
    <col min="8702" max="8702" width="1.140625" style="158" customWidth="1"/>
    <col min="8703" max="8703" width="14.140625" style="158" customWidth="1"/>
    <col min="8704" max="8704" width="34.85546875" style="158" customWidth="1"/>
    <col min="8705" max="8705" width="13.85546875" style="158" customWidth="1"/>
    <col min="8706" max="8706" width="0.5703125" style="158" customWidth="1"/>
    <col min="8707" max="8707" width="13.85546875" style="158" customWidth="1"/>
    <col min="8708" max="8708" width="25.140625" style="158" customWidth="1"/>
    <col min="8709" max="8709" width="0.5703125" style="158" customWidth="1"/>
    <col min="8710" max="8710" width="13.85546875" style="158" customWidth="1"/>
    <col min="8711" max="8711" width="25.140625" style="158" customWidth="1"/>
    <col min="8712" max="8712" width="11.85546875" style="158" customWidth="1"/>
    <col min="8713" max="8957" width="2.140625" style="158"/>
    <col min="8958" max="8958" width="1.140625" style="158" customWidth="1"/>
    <col min="8959" max="8959" width="14.140625" style="158" customWidth="1"/>
    <col min="8960" max="8960" width="34.85546875" style="158" customWidth="1"/>
    <col min="8961" max="8961" width="13.85546875" style="158" customWidth="1"/>
    <col min="8962" max="8962" width="0.5703125" style="158" customWidth="1"/>
    <col min="8963" max="8963" width="13.85546875" style="158" customWidth="1"/>
    <col min="8964" max="8964" width="25.140625" style="158" customWidth="1"/>
    <col min="8965" max="8965" width="0.5703125" style="158" customWidth="1"/>
    <col min="8966" max="8966" width="13.85546875" style="158" customWidth="1"/>
    <col min="8967" max="8967" width="25.140625" style="158" customWidth="1"/>
    <col min="8968" max="8968" width="11.85546875" style="158" customWidth="1"/>
    <col min="8969" max="9213" width="2.140625" style="158"/>
    <col min="9214" max="9214" width="1.140625" style="158" customWidth="1"/>
    <col min="9215" max="9215" width="14.140625" style="158" customWidth="1"/>
    <col min="9216" max="9216" width="34.85546875" style="158" customWidth="1"/>
    <col min="9217" max="9217" width="13.85546875" style="158" customWidth="1"/>
    <col min="9218" max="9218" width="0.5703125" style="158" customWidth="1"/>
    <col min="9219" max="9219" width="13.85546875" style="158" customWidth="1"/>
    <col min="9220" max="9220" width="25.140625" style="158" customWidth="1"/>
    <col min="9221" max="9221" width="0.5703125" style="158" customWidth="1"/>
    <col min="9222" max="9222" width="13.85546875" style="158" customWidth="1"/>
    <col min="9223" max="9223" width="25.140625" style="158" customWidth="1"/>
    <col min="9224" max="9224" width="11.85546875" style="158" customWidth="1"/>
    <col min="9225" max="9469" width="2.140625" style="158"/>
    <col min="9470" max="9470" width="1.140625" style="158" customWidth="1"/>
    <col min="9471" max="9471" width="14.140625" style="158" customWidth="1"/>
    <col min="9472" max="9472" width="34.85546875" style="158" customWidth="1"/>
    <col min="9473" max="9473" width="13.85546875" style="158" customWidth="1"/>
    <col min="9474" max="9474" width="0.5703125" style="158" customWidth="1"/>
    <col min="9475" max="9475" width="13.85546875" style="158" customWidth="1"/>
    <col min="9476" max="9476" width="25.140625" style="158" customWidth="1"/>
    <col min="9477" max="9477" width="0.5703125" style="158" customWidth="1"/>
    <col min="9478" max="9478" width="13.85546875" style="158" customWidth="1"/>
    <col min="9479" max="9479" width="25.140625" style="158" customWidth="1"/>
    <col min="9480" max="9480" width="11.85546875" style="158" customWidth="1"/>
    <col min="9481" max="9725" width="2.140625" style="158"/>
    <col min="9726" max="9726" width="1.140625" style="158" customWidth="1"/>
    <col min="9727" max="9727" width="14.140625" style="158" customWidth="1"/>
    <col min="9728" max="9728" width="34.85546875" style="158" customWidth="1"/>
    <col min="9729" max="9729" width="13.85546875" style="158" customWidth="1"/>
    <col min="9730" max="9730" width="0.5703125" style="158" customWidth="1"/>
    <col min="9731" max="9731" width="13.85546875" style="158" customWidth="1"/>
    <col min="9732" max="9732" width="25.140625" style="158" customWidth="1"/>
    <col min="9733" max="9733" width="0.5703125" style="158" customWidth="1"/>
    <col min="9734" max="9734" width="13.85546875" style="158" customWidth="1"/>
    <col min="9735" max="9735" width="25.140625" style="158" customWidth="1"/>
    <col min="9736" max="9736" width="11.85546875" style="158" customWidth="1"/>
    <col min="9737" max="9981" width="2.140625" style="158"/>
    <col min="9982" max="9982" width="1.140625" style="158" customWidth="1"/>
    <col min="9983" max="9983" width="14.140625" style="158" customWidth="1"/>
    <col min="9984" max="9984" width="34.85546875" style="158" customWidth="1"/>
    <col min="9985" max="9985" width="13.85546875" style="158" customWidth="1"/>
    <col min="9986" max="9986" width="0.5703125" style="158" customWidth="1"/>
    <col min="9987" max="9987" width="13.85546875" style="158" customWidth="1"/>
    <col min="9988" max="9988" width="25.140625" style="158" customWidth="1"/>
    <col min="9989" max="9989" width="0.5703125" style="158" customWidth="1"/>
    <col min="9990" max="9990" width="13.85546875" style="158" customWidth="1"/>
    <col min="9991" max="9991" width="25.140625" style="158" customWidth="1"/>
    <col min="9992" max="9992" width="11.85546875" style="158" customWidth="1"/>
    <col min="9993" max="10237" width="2.140625" style="158"/>
    <col min="10238" max="10238" width="1.140625" style="158" customWidth="1"/>
    <col min="10239" max="10239" width="14.140625" style="158" customWidth="1"/>
    <col min="10240" max="10240" width="34.85546875" style="158" customWidth="1"/>
    <col min="10241" max="10241" width="13.85546875" style="158" customWidth="1"/>
    <col min="10242" max="10242" width="0.5703125" style="158" customWidth="1"/>
    <col min="10243" max="10243" width="13.85546875" style="158" customWidth="1"/>
    <col min="10244" max="10244" width="25.140625" style="158" customWidth="1"/>
    <col min="10245" max="10245" width="0.5703125" style="158" customWidth="1"/>
    <col min="10246" max="10246" width="13.85546875" style="158" customWidth="1"/>
    <col min="10247" max="10247" width="25.140625" style="158" customWidth="1"/>
    <col min="10248" max="10248" width="11.85546875" style="158" customWidth="1"/>
    <col min="10249" max="10493" width="2.140625" style="158"/>
    <col min="10494" max="10494" width="1.140625" style="158" customWidth="1"/>
    <col min="10495" max="10495" width="14.140625" style="158" customWidth="1"/>
    <col min="10496" max="10496" width="34.85546875" style="158" customWidth="1"/>
    <col min="10497" max="10497" width="13.85546875" style="158" customWidth="1"/>
    <col min="10498" max="10498" width="0.5703125" style="158" customWidth="1"/>
    <col min="10499" max="10499" width="13.85546875" style="158" customWidth="1"/>
    <col min="10500" max="10500" width="25.140625" style="158" customWidth="1"/>
    <col min="10501" max="10501" width="0.5703125" style="158" customWidth="1"/>
    <col min="10502" max="10502" width="13.85546875" style="158" customWidth="1"/>
    <col min="10503" max="10503" width="25.140625" style="158" customWidth="1"/>
    <col min="10504" max="10504" width="11.85546875" style="158" customWidth="1"/>
    <col min="10505" max="10749" width="2.140625" style="158"/>
    <col min="10750" max="10750" width="1.140625" style="158" customWidth="1"/>
    <col min="10751" max="10751" width="14.140625" style="158" customWidth="1"/>
    <col min="10752" max="10752" width="34.85546875" style="158" customWidth="1"/>
    <col min="10753" max="10753" width="13.85546875" style="158" customWidth="1"/>
    <col min="10754" max="10754" width="0.5703125" style="158" customWidth="1"/>
    <col min="10755" max="10755" width="13.85546875" style="158" customWidth="1"/>
    <col min="10756" max="10756" width="25.140625" style="158" customWidth="1"/>
    <col min="10757" max="10757" width="0.5703125" style="158" customWidth="1"/>
    <col min="10758" max="10758" width="13.85546875" style="158" customWidth="1"/>
    <col min="10759" max="10759" width="25.140625" style="158" customWidth="1"/>
    <col min="10760" max="10760" width="11.85546875" style="158" customWidth="1"/>
    <col min="10761" max="11005" width="2.140625" style="158"/>
    <col min="11006" max="11006" width="1.140625" style="158" customWidth="1"/>
    <col min="11007" max="11007" width="14.140625" style="158" customWidth="1"/>
    <col min="11008" max="11008" width="34.85546875" style="158" customWidth="1"/>
    <col min="11009" max="11009" width="13.85546875" style="158" customWidth="1"/>
    <col min="11010" max="11010" width="0.5703125" style="158" customWidth="1"/>
    <col min="11011" max="11011" width="13.85546875" style="158" customWidth="1"/>
    <col min="11012" max="11012" width="25.140625" style="158" customWidth="1"/>
    <col min="11013" max="11013" width="0.5703125" style="158" customWidth="1"/>
    <col min="11014" max="11014" width="13.85546875" style="158" customWidth="1"/>
    <col min="11015" max="11015" width="25.140625" style="158" customWidth="1"/>
    <col min="11016" max="11016" width="11.85546875" style="158" customWidth="1"/>
    <col min="11017" max="11261" width="2.140625" style="158"/>
    <col min="11262" max="11262" width="1.140625" style="158" customWidth="1"/>
    <col min="11263" max="11263" width="14.140625" style="158" customWidth="1"/>
    <col min="11264" max="11264" width="34.85546875" style="158" customWidth="1"/>
    <col min="11265" max="11265" width="13.85546875" style="158" customWidth="1"/>
    <col min="11266" max="11266" width="0.5703125" style="158" customWidth="1"/>
    <col min="11267" max="11267" width="13.85546875" style="158" customWidth="1"/>
    <col min="11268" max="11268" width="25.140625" style="158" customWidth="1"/>
    <col min="11269" max="11269" width="0.5703125" style="158" customWidth="1"/>
    <col min="11270" max="11270" width="13.85546875" style="158" customWidth="1"/>
    <col min="11271" max="11271" width="25.140625" style="158" customWidth="1"/>
    <col min="11272" max="11272" width="11.85546875" style="158" customWidth="1"/>
    <col min="11273" max="11517" width="2.140625" style="158"/>
    <col min="11518" max="11518" width="1.140625" style="158" customWidth="1"/>
    <col min="11519" max="11519" width="14.140625" style="158" customWidth="1"/>
    <col min="11520" max="11520" width="34.85546875" style="158" customWidth="1"/>
    <col min="11521" max="11521" width="13.85546875" style="158" customWidth="1"/>
    <col min="11522" max="11522" width="0.5703125" style="158" customWidth="1"/>
    <col min="11523" max="11523" width="13.85546875" style="158" customWidth="1"/>
    <col min="11524" max="11524" width="25.140625" style="158" customWidth="1"/>
    <col min="11525" max="11525" width="0.5703125" style="158" customWidth="1"/>
    <col min="11526" max="11526" width="13.85546875" style="158" customWidth="1"/>
    <col min="11527" max="11527" width="25.140625" style="158" customWidth="1"/>
    <col min="11528" max="11528" width="11.85546875" style="158" customWidth="1"/>
    <col min="11529" max="11773" width="2.140625" style="158"/>
    <col min="11774" max="11774" width="1.140625" style="158" customWidth="1"/>
    <col min="11775" max="11775" width="14.140625" style="158" customWidth="1"/>
    <col min="11776" max="11776" width="34.85546875" style="158" customWidth="1"/>
    <col min="11777" max="11777" width="13.85546875" style="158" customWidth="1"/>
    <col min="11778" max="11778" width="0.5703125" style="158" customWidth="1"/>
    <col min="11779" max="11779" width="13.85546875" style="158" customWidth="1"/>
    <col min="11780" max="11780" width="25.140625" style="158" customWidth="1"/>
    <col min="11781" max="11781" width="0.5703125" style="158" customWidth="1"/>
    <col min="11782" max="11782" width="13.85546875" style="158" customWidth="1"/>
    <col min="11783" max="11783" width="25.140625" style="158" customWidth="1"/>
    <col min="11784" max="11784" width="11.85546875" style="158" customWidth="1"/>
    <col min="11785" max="12029" width="2.140625" style="158"/>
    <col min="12030" max="12030" width="1.140625" style="158" customWidth="1"/>
    <col min="12031" max="12031" width="14.140625" style="158" customWidth="1"/>
    <col min="12032" max="12032" width="34.85546875" style="158" customWidth="1"/>
    <col min="12033" max="12033" width="13.85546875" style="158" customWidth="1"/>
    <col min="12034" max="12034" width="0.5703125" style="158" customWidth="1"/>
    <col min="12035" max="12035" width="13.85546875" style="158" customWidth="1"/>
    <col min="12036" max="12036" width="25.140625" style="158" customWidth="1"/>
    <col min="12037" max="12037" width="0.5703125" style="158" customWidth="1"/>
    <col min="12038" max="12038" width="13.85546875" style="158" customWidth="1"/>
    <col min="12039" max="12039" width="25.140625" style="158" customWidth="1"/>
    <col min="12040" max="12040" width="11.85546875" style="158" customWidth="1"/>
    <col min="12041" max="12285" width="2.140625" style="158"/>
    <col min="12286" max="12286" width="1.140625" style="158" customWidth="1"/>
    <col min="12287" max="12287" width="14.140625" style="158" customWidth="1"/>
    <col min="12288" max="12288" width="34.85546875" style="158" customWidth="1"/>
    <col min="12289" max="12289" width="13.85546875" style="158" customWidth="1"/>
    <col min="12290" max="12290" width="0.5703125" style="158" customWidth="1"/>
    <col min="12291" max="12291" width="13.85546875" style="158" customWidth="1"/>
    <col min="12292" max="12292" width="25.140625" style="158" customWidth="1"/>
    <col min="12293" max="12293" width="0.5703125" style="158" customWidth="1"/>
    <col min="12294" max="12294" width="13.85546875" style="158" customWidth="1"/>
    <col min="12295" max="12295" width="25.140625" style="158" customWidth="1"/>
    <col min="12296" max="12296" width="11.85546875" style="158" customWidth="1"/>
    <col min="12297" max="12541" width="2.140625" style="158"/>
    <col min="12542" max="12542" width="1.140625" style="158" customWidth="1"/>
    <col min="12543" max="12543" width="14.140625" style="158" customWidth="1"/>
    <col min="12544" max="12544" width="34.85546875" style="158" customWidth="1"/>
    <col min="12545" max="12545" width="13.85546875" style="158" customWidth="1"/>
    <col min="12546" max="12546" width="0.5703125" style="158" customWidth="1"/>
    <col min="12547" max="12547" width="13.85546875" style="158" customWidth="1"/>
    <col min="12548" max="12548" width="25.140625" style="158" customWidth="1"/>
    <col min="12549" max="12549" width="0.5703125" style="158" customWidth="1"/>
    <col min="12550" max="12550" width="13.85546875" style="158" customWidth="1"/>
    <col min="12551" max="12551" width="25.140625" style="158" customWidth="1"/>
    <col min="12552" max="12552" width="11.85546875" style="158" customWidth="1"/>
    <col min="12553" max="12797" width="2.140625" style="158"/>
    <col min="12798" max="12798" width="1.140625" style="158" customWidth="1"/>
    <col min="12799" max="12799" width="14.140625" style="158" customWidth="1"/>
    <col min="12800" max="12800" width="34.85546875" style="158" customWidth="1"/>
    <col min="12801" max="12801" width="13.85546875" style="158" customWidth="1"/>
    <col min="12802" max="12802" width="0.5703125" style="158" customWidth="1"/>
    <col min="12803" max="12803" width="13.85546875" style="158" customWidth="1"/>
    <col min="12804" max="12804" width="25.140625" style="158" customWidth="1"/>
    <col min="12805" max="12805" width="0.5703125" style="158" customWidth="1"/>
    <col min="12806" max="12806" width="13.85546875" style="158" customWidth="1"/>
    <col min="12807" max="12807" width="25.140625" style="158" customWidth="1"/>
    <col min="12808" max="12808" width="11.85546875" style="158" customWidth="1"/>
    <col min="12809" max="13053" width="2.140625" style="158"/>
    <col min="13054" max="13054" width="1.140625" style="158" customWidth="1"/>
    <col min="13055" max="13055" width="14.140625" style="158" customWidth="1"/>
    <col min="13056" max="13056" width="34.85546875" style="158" customWidth="1"/>
    <col min="13057" max="13057" width="13.85546875" style="158" customWidth="1"/>
    <col min="13058" max="13058" width="0.5703125" style="158" customWidth="1"/>
    <col min="13059" max="13059" width="13.85546875" style="158" customWidth="1"/>
    <col min="13060" max="13060" width="25.140625" style="158" customWidth="1"/>
    <col min="13061" max="13061" width="0.5703125" style="158" customWidth="1"/>
    <col min="13062" max="13062" width="13.85546875" style="158" customWidth="1"/>
    <col min="13063" max="13063" width="25.140625" style="158" customWidth="1"/>
    <col min="13064" max="13064" width="11.85546875" style="158" customWidth="1"/>
    <col min="13065" max="13309" width="2.140625" style="158"/>
    <col min="13310" max="13310" width="1.140625" style="158" customWidth="1"/>
    <col min="13311" max="13311" width="14.140625" style="158" customWidth="1"/>
    <col min="13312" max="13312" width="34.85546875" style="158" customWidth="1"/>
    <col min="13313" max="13313" width="13.85546875" style="158" customWidth="1"/>
    <col min="13314" max="13314" width="0.5703125" style="158" customWidth="1"/>
    <col min="13315" max="13315" width="13.85546875" style="158" customWidth="1"/>
    <col min="13316" max="13316" width="25.140625" style="158" customWidth="1"/>
    <col min="13317" max="13317" width="0.5703125" style="158" customWidth="1"/>
    <col min="13318" max="13318" width="13.85546875" style="158" customWidth="1"/>
    <col min="13319" max="13319" width="25.140625" style="158" customWidth="1"/>
    <col min="13320" max="13320" width="11.85546875" style="158" customWidth="1"/>
    <col min="13321" max="13565" width="2.140625" style="158"/>
    <col min="13566" max="13566" width="1.140625" style="158" customWidth="1"/>
    <col min="13567" max="13567" width="14.140625" style="158" customWidth="1"/>
    <col min="13568" max="13568" width="34.85546875" style="158" customWidth="1"/>
    <col min="13569" max="13569" width="13.85546875" style="158" customWidth="1"/>
    <col min="13570" max="13570" width="0.5703125" style="158" customWidth="1"/>
    <col min="13571" max="13571" width="13.85546875" style="158" customWidth="1"/>
    <col min="13572" max="13572" width="25.140625" style="158" customWidth="1"/>
    <col min="13573" max="13573" width="0.5703125" style="158" customWidth="1"/>
    <col min="13574" max="13574" width="13.85546875" style="158" customWidth="1"/>
    <col min="13575" max="13575" width="25.140625" style="158" customWidth="1"/>
    <col min="13576" max="13576" width="11.85546875" style="158" customWidth="1"/>
    <col min="13577" max="13821" width="2.140625" style="158"/>
    <col min="13822" max="13822" width="1.140625" style="158" customWidth="1"/>
    <col min="13823" max="13823" width="14.140625" style="158" customWidth="1"/>
    <col min="13824" max="13824" width="34.85546875" style="158" customWidth="1"/>
    <col min="13825" max="13825" width="13.85546875" style="158" customWidth="1"/>
    <col min="13826" max="13826" width="0.5703125" style="158" customWidth="1"/>
    <col min="13827" max="13827" width="13.85546875" style="158" customWidth="1"/>
    <col min="13828" max="13828" width="25.140625" style="158" customWidth="1"/>
    <col min="13829" max="13829" width="0.5703125" style="158" customWidth="1"/>
    <col min="13830" max="13830" width="13.85546875" style="158" customWidth="1"/>
    <col min="13831" max="13831" width="25.140625" style="158" customWidth="1"/>
    <col min="13832" max="13832" width="11.85546875" style="158" customWidth="1"/>
    <col min="13833" max="14077" width="2.140625" style="158"/>
    <col min="14078" max="14078" width="1.140625" style="158" customWidth="1"/>
    <col min="14079" max="14079" width="14.140625" style="158" customWidth="1"/>
    <col min="14080" max="14080" width="34.85546875" style="158" customWidth="1"/>
    <col min="14081" max="14081" width="13.85546875" style="158" customWidth="1"/>
    <col min="14082" max="14082" width="0.5703125" style="158" customWidth="1"/>
    <col min="14083" max="14083" width="13.85546875" style="158" customWidth="1"/>
    <col min="14084" max="14084" width="25.140625" style="158" customWidth="1"/>
    <col min="14085" max="14085" width="0.5703125" style="158" customWidth="1"/>
    <col min="14086" max="14086" width="13.85546875" style="158" customWidth="1"/>
    <col min="14087" max="14087" width="25.140625" style="158" customWidth="1"/>
    <col min="14088" max="14088" width="11.85546875" style="158" customWidth="1"/>
    <col min="14089" max="14333" width="2.140625" style="158"/>
    <col min="14334" max="14334" width="1.140625" style="158" customWidth="1"/>
    <col min="14335" max="14335" width="14.140625" style="158" customWidth="1"/>
    <col min="14336" max="14336" width="34.85546875" style="158" customWidth="1"/>
    <col min="14337" max="14337" width="13.85546875" style="158" customWidth="1"/>
    <col min="14338" max="14338" width="0.5703125" style="158" customWidth="1"/>
    <col min="14339" max="14339" width="13.85546875" style="158" customWidth="1"/>
    <col min="14340" max="14340" width="25.140625" style="158" customWidth="1"/>
    <col min="14341" max="14341" width="0.5703125" style="158" customWidth="1"/>
    <col min="14342" max="14342" width="13.85546875" style="158" customWidth="1"/>
    <col min="14343" max="14343" width="25.140625" style="158" customWidth="1"/>
    <col min="14344" max="14344" width="11.85546875" style="158" customWidth="1"/>
    <col min="14345" max="14589" width="2.140625" style="158"/>
    <col min="14590" max="14590" width="1.140625" style="158" customWidth="1"/>
    <col min="14591" max="14591" width="14.140625" style="158" customWidth="1"/>
    <col min="14592" max="14592" width="34.85546875" style="158" customWidth="1"/>
    <col min="14593" max="14593" width="13.85546875" style="158" customWidth="1"/>
    <col min="14594" max="14594" width="0.5703125" style="158" customWidth="1"/>
    <col min="14595" max="14595" width="13.85546875" style="158" customWidth="1"/>
    <col min="14596" max="14596" width="25.140625" style="158" customWidth="1"/>
    <col min="14597" max="14597" width="0.5703125" style="158" customWidth="1"/>
    <col min="14598" max="14598" width="13.85546875" style="158" customWidth="1"/>
    <col min="14599" max="14599" width="25.140625" style="158" customWidth="1"/>
    <col min="14600" max="14600" width="11.85546875" style="158" customWidth="1"/>
    <col min="14601" max="14845" width="2.140625" style="158"/>
    <col min="14846" max="14846" width="1.140625" style="158" customWidth="1"/>
    <col min="14847" max="14847" width="14.140625" style="158" customWidth="1"/>
    <col min="14848" max="14848" width="34.85546875" style="158" customWidth="1"/>
    <col min="14849" max="14849" width="13.85546875" style="158" customWidth="1"/>
    <col min="14850" max="14850" width="0.5703125" style="158" customWidth="1"/>
    <col min="14851" max="14851" width="13.85546875" style="158" customWidth="1"/>
    <col min="14852" max="14852" width="25.140625" style="158" customWidth="1"/>
    <col min="14853" max="14853" width="0.5703125" style="158" customWidth="1"/>
    <col min="14854" max="14854" width="13.85546875" style="158" customWidth="1"/>
    <col min="14855" max="14855" width="25.140625" style="158" customWidth="1"/>
    <col min="14856" max="14856" width="11.85546875" style="158" customWidth="1"/>
    <col min="14857" max="15101" width="2.140625" style="158"/>
    <col min="15102" max="15102" width="1.140625" style="158" customWidth="1"/>
    <col min="15103" max="15103" width="14.140625" style="158" customWidth="1"/>
    <col min="15104" max="15104" width="34.85546875" style="158" customWidth="1"/>
    <col min="15105" max="15105" width="13.85546875" style="158" customWidth="1"/>
    <col min="15106" max="15106" width="0.5703125" style="158" customWidth="1"/>
    <col min="15107" max="15107" width="13.85546875" style="158" customWidth="1"/>
    <col min="15108" max="15108" width="25.140625" style="158" customWidth="1"/>
    <col min="15109" max="15109" width="0.5703125" style="158" customWidth="1"/>
    <col min="15110" max="15110" width="13.85546875" style="158" customWidth="1"/>
    <col min="15111" max="15111" width="25.140625" style="158" customWidth="1"/>
    <col min="15112" max="15112" width="11.85546875" style="158" customWidth="1"/>
    <col min="15113" max="15357" width="2.140625" style="158"/>
    <col min="15358" max="15358" width="1.140625" style="158" customWidth="1"/>
    <col min="15359" max="15359" width="14.140625" style="158" customWidth="1"/>
    <col min="15360" max="15360" width="34.85546875" style="158" customWidth="1"/>
    <col min="15361" max="15361" width="13.85546875" style="158" customWidth="1"/>
    <col min="15362" max="15362" width="0.5703125" style="158" customWidth="1"/>
    <col min="15363" max="15363" width="13.85546875" style="158" customWidth="1"/>
    <col min="15364" max="15364" width="25.140625" style="158" customWidth="1"/>
    <col min="15365" max="15365" width="0.5703125" style="158" customWidth="1"/>
    <col min="15366" max="15366" width="13.85546875" style="158" customWidth="1"/>
    <col min="15367" max="15367" width="25.140625" style="158" customWidth="1"/>
    <col min="15368" max="15368" width="11.85546875" style="158" customWidth="1"/>
    <col min="15369" max="15613" width="2.140625" style="158"/>
    <col min="15614" max="15614" width="1.140625" style="158" customWidth="1"/>
    <col min="15615" max="15615" width="14.140625" style="158" customWidth="1"/>
    <col min="15616" max="15616" width="34.85546875" style="158" customWidth="1"/>
    <col min="15617" max="15617" width="13.85546875" style="158" customWidth="1"/>
    <col min="15618" max="15618" width="0.5703125" style="158" customWidth="1"/>
    <col min="15619" max="15619" width="13.85546875" style="158" customWidth="1"/>
    <col min="15620" max="15620" width="25.140625" style="158" customWidth="1"/>
    <col min="15621" max="15621" width="0.5703125" style="158" customWidth="1"/>
    <col min="15622" max="15622" width="13.85546875" style="158" customWidth="1"/>
    <col min="15623" max="15623" width="25.140625" style="158" customWidth="1"/>
    <col min="15624" max="15624" width="11.85546875" style="158" customWidth="1"/>
    <col min="15625" max="15869" width="2.140625" style="158"/>
    <col min="15870" max="15870" width="1.140625" style="158" customWidth="1"/>
    <col min="15871" max="15871" width="14.140625" style="158" customWidth="1"/>
    <col min="15872" max="15872" width="34.85546875" style="158" customWidth="1"/>
    <col min="15873" max="15873" width="13.85546875" style="158" customWidth="1"/>
    <col min="15874" max="15874" width="0.5703125" style="158" customWidth="1"/>
    <col min="15875" max="15875" width="13.85546875" style="158" customWidth="1"/>
    <col min="15876" max="15876" width="25.140625" style="158" customWidth="1"/>
    <col min="15877" max="15877" width="0.5703125" style="158" customWidth="1"/>
    <col min="15878" max="15878" width="13.85546875" style="158" customWidth="1"/>
    <col min="15879" max="15879" width="25.140625" style="158" customWidth="1"/>
    <col min="15880" max="15880" width="11.85546875" style="158" customWidth="1"/>
    <col min="15881" max="16125" width="2.140625" style="158"/>
    <col min="16126" max="16126" width="1.140625" style="158" customWidth="1"/>
    <col min="16127" max="16127" width="14.140625" style="158" customWidth="1"/>
    <col min="16128" max="16128" width="34.85546875" style="158" customWidth="1"/>
    <col min="16129" max="16129" width="13.85546875" style="158" customWidth="1"/>
    <col min="16130" max="16130" width="0.5703125" style="158" customWidth="1"/>
    <col min="16131" max="16131" width="13.85546875" style="158" customWidth="1"/>
    <col min="16132" max="16132" width="25.140625" style="158" customWidth="1"/>
    <col min="16133" max="16133" width="0.5703125" style="158" customWidth="1"/>
    <col min="16134" max="16134" width="13.85546875" style="158" customWidth="1"/>
    <col min="16135" max="16135" width="25.140625" style="158" customWidth="1"/>
    <col min="16136" max="16136" width="11.85546875" style="158" customWidth="1"/>
    <col min="16137" max="16384" width="2.140625" style="158"/>
  </cols>
  <sheetData>
    <row r="1" spans="1:10" ht="33" customHeight="1" x14ac:dyDescent="0.35">
      <c r="D1" s="868">
        <v>2016</v>
      </c>
      <c r="E1" s="918">
        <v>2017</v>
      </c>
      <c r="F1" s="931">
        <v>2018</v>
      </c>
      <c r="G1" s="1004">
        <v>2019</v>
      </c>
    </row>
    <row r="2" spans="1:10" s="163" customFormat="1" ht="51" customHeight="1" x14ac:dyDescent="0.2">
      <c r="A2" s="159" t="s">
        <v>383</v>
      </c>
      <c r="B2" s="160" t="s">
        <v>272</v>
      </c>
      <c r="C2" s="160" t="s">
        <v>1</v>
      </c>
      <c r="D2" s="674" t="s">
        <v>2</v>
      </c>
      <c r="E2" s="674" t="s">
        <v>2</v>
      </c>
      <c r="F2" s="674" t="s">
        <v>2</v>
      </c>
      <c r="G2" s="674" t="s">
        <v>2</v>
      </c>
      <c r="H2" s="162" t="s">
        <v>6</v>
      </c>
    </row>
    <row r="3" spans="1:10" s="164" customFormat="1" ht="21" customHeight="1" x14ac:dyDescent="0.25">
      <c r="B3" s="165"/>
      <c r="C3" s="166" t="s">
        <v>7</v>
      </c>
      <c r="D3" s="167">
        <f t="shared" ref="D3:F3" si="0">SUM(D4:D48)</f>
        <v>1300424</v>
      </c>
      <c r="E3" s="167">
        <f t="shared" si="0"/>
        <v>1348192.4586906731</v>
      </c>
      <c r="F3" s="167">
        <f t="shared" si="0"/>
        <v>1378473</v>
      </c>
      <c r="G3" s="167">
        <f>SUM(G4:G48)</f>
        <v>2512202</v>
      </c>
      <c r="I3" s="169"/>
    </row>
    <row r="4" spans="1:10" s="170" customFormat="1" ht="21.75" customHeight="1" x14ac:dyDescent="0.2">
      <c r="A4" s="170">
        <v>5</v>
      </c>
      <c r="B4" s="213">
        <v>580505253</v>
      </c>
      <c r="C4" s="213" t="s">
        <v>2223</v>
      </c>
      <c r="D4" s="1056">
        <v>121440</v>
      </c>
      <c r="E4" s="1056">
        <v>121440</v>
      </c>
      <c r="F4" s="1056">
        <v>121440</v>
      </c>
      <c r="G4" s="1056">
        <v>121440</v>
      </c>
      <c r="H4" s="1050" t="s">
        <v>9</v>
      </c>
      <c r="I4" s="174"/>
    </row>
    <row r="5" spans="1:10" s="179" customFormat="1" ht="23.25" customHeight="1" x14ac:dyDescent="0.2">
      <c r="A5" s="177"/>
      <c r="B5" s="111" t="s">
        <v>2224</v>
      </c>
      <c r="C5" s="743" t="s">
        <v>2225</v>
      </c>
      <c r="D5" s="1056">
        <v>121440</v>
      </c>
      <c r="E5" s="1056">
        <v>121440</v>
      </c>
      <c r="F5" s="1056">
        <v>106242</v>
      </c>
      <c r="G5" s="1056">
        <v>121440</v>
      </c>
      <c r="H5" s="1050" t="s">
        <v>12</v>
      </c>
      <c r="J5" s="911"/>
    </row>
    <row r="6" spans="1:10" s="179" customFormat="1" ht="25.5" x14ac:dyDescent="0.2">
      <c r="A6" s="177"/>
      <c r="B6" s="111" t="s">
        <v>2226</v>
      </c>
      <c r="C6" s="743" t="s">
        <v>2908</v>
      </c>
      <c r="D6" s="1056">
        <v>60720</v>
      </c>
      <c r="E6" s="1056">
        <v>54898</v>
      </c>
      <c r="F6" s="1056">
        <v>44250</v>
      </c>
      <c r="G6" s="1056">
        <v>60720</v>
      </c>
      <c r="H6" s="1050" t="s">
        <v>9</v>
      </c>
      <c r="J6" s="911"/>
    </row>
    <row r="7" spans="1:10" s="179" customFormat="1" ht="25.5" x14ac:dyDescent="0.2">
      <c r="A7" s="177"/>
      <c r="B7" s="111" t="s">
        <v>2226</v>
      </c>
      <c r="C7" s="743" t="s">
        <v>3248</v>
      </c>
      <c r="D7" s="1056">
        <v>121440</v>
      </c>
      <c r="E7" s="1056">
        <v>109795</v>
      </c>
      <c r="F7" s="1056">
        <v>121440</v>
      </c>
      <c r="G7" s="1056">
        <v>121440</v>
      </c>
      <c r="H7" s="1050" t="s">
        <v>53</v>
      </c>
      <c r="J7" s="911"/>
    </row>
    <row r="8" spans="1:10" s="179" customFormat="1" ht="38.25" x14ac:dyDescent="0.2">
      <c r="A8" s="177"/>
      <c r="B8" s="111" t="s">
        <v>2226</v>
      </c>
      <c r="C8" s="743" t="s">
        <v>3249</v>
      </c>
      <c r="D8" s="1056">
        <v>121440</v>
      </c>
      <c r="E8" s="1056">
        <v>109795.06849315068</v>
      </c>
      <c r="F8" s="1056">
        <v>121440</v>
      </c>
      <c r="G8" s="1056">
        <v>80960</v>
      </c>
      <c r="H8" s="1050" t="s">
        <v>32</v>
      </c>
      <c r="J8" s="911"/>
    </row>
    <row r="9" spans="1:10" s="179" customFormat="1" ht="25.5" x14ac:dyDescent="0.2">
      <c r="A9" s="177"/>
      <c r="B9" s="111" t="s">
        <v>2226</v>
      </c>
      <c r="C9" s="743" t="s">
        <v>2227</v>
      </c>
      <c r="D9" s="1056">
        <v>121440</v>
      </c>
      <c r="E9" s="1056">
        <v>82346</v>
      </c>
      <c r="F9" s="1056">
        <v>0</v>
      </c>
      <c r="G9" s="1056">
        <v>121440</v>
      </c>
      <c r="H9" s="1050" t="s">
        <v>32</v>
      </c>
      <c r="J9" s="911"/>
    </row>
    <row r="10" spans="1:10" s="179" customFormat="1" ht="25.5" x14ac:dyDescent="0.2">
      <c r="A10" s="177"/>
      <c r="B10" s="111" t="s">
        <v>2226</v>
      </c>
      <c r="C10" s="743" t="s">
        <v>2905</v>
      </c>
      <c r="D10" s="1056">
        <v>121440</v>
      </c>
      <c r="E10" s="1056">
        <v>109795</v>
      </c>
      <c r="F10" s="1056">
        <v>121440</v>
      </c>
      <c r="G10" s="1056">
        <v>121440</v>
      </c>
      <c r="H10" s="1050" t="s">
        <v>9</v>
      </c>
      <c r="J10" s="911"/>
    </row>
    <row r="11" spans="1:10" s="179" customFormat="1" ht="25.5" x14ac:dyDescent="0.2">
      <c r="A11" s="177"/>
      <c r="B11" s="111" t="s">
        <v>2226</v>
      </c>
      <c r="C11" s="743" t="s">
        <v>2906</v>
      </c>
      <c r="D11" s="1056">
        <v>60720</v>
      </c>
      <c r="E11" s="1056">
        <v>109795.06849315068</v>
      </c>
      <c r="F11" s="1056">
        <v>60720</v>
      </c>
      <c r="G11" s="1056">
        <v>60720</v>
      </c>
      <c r="H11" s="1050" t="s">
        <v>9</v>
      </c>
      <c r="J11" s="911"/>
    </row>
    <row r="12" spans="1:10" s="179" customFormat="1" ht="25.5" x14ac:dyDescent="0.2">
      <c r="A12" s="177"/>
      <c r="B12" s="111" t="s">
        <v>2226</v>
      </c>
      <c r="C12" s="743" t="s">
        <v>2907</v>
      </c>
      <c r="D12" s="1056">
        <v>121440</v>
      </c>
      <c r="E12" s="1056">
        <v>84716.321704371847</v>
      </c>
      <c r="F12" s="1056">
        <v>121440</v>
      </c>
      <c r="G12" s="1056">
        <v>121440</v>
      </c>
      <c r="H12" s="1050" t="s">
        <v>9</v>
      </c>
      <c r="J12" s="911"/>
    </row>
    <row r="13" spans="1:10" s="179" customFormat="1" ht="27" customHeight="1" x14ac:dyDescent="0.2">
      <c r="A13" s="177"/>
      <c r="B13" s="111" t="s">
        <v>2226</v>
      </c>
      <c r="C13" s="743" t="s">
        <v>3013</v>
      </c>
      <c r="D13" s="1056"/>
      <c r="E13" s="1056">
        <v>54898</v>
      </c>
      <c r="F13" s="1056">
        <v>60720</v>
      </c>
      <c r="G13" s="1056">
        <v>60720</v>
      </c>
      <c r="H13" s="1050" t="s">
        <v>12</v>
      </c>
      <c r="J13" s="911"/>
    </row>
    <row r="14" spans="1:10" s="179" customFormat="1" ht="27" customHeight="1" x14ac:dyDescent="0.2">
      <c r="A14" s="177"/>
      <c r="B14" s="111" t="s">
        <v>2226</v>
      </c>
      <c r="C14" s="743" t="s">
        <v>3014</v>
      </c>
      <c r="D14" s="1056"/>
      <c r="E14" s="1056">
        <v>54898</v>
      </c>
      <c r="F14" s="1056">
        <v>60720</v>
      </c>
      <c r="G14" s="1056">
        <v>60720</v>
      </c>
      <c r="H14" s="1050" t="s">
        <v>9</v>
      </c>
      <c r="J14" s="911"/>
    </row>
    <row r="15" spans="1:10" s="179" customFormat="1" ht="24" customHeight="1" x14ac:dyDescent="0.2">
      <c r="A15" s="177"/>
      <c r="B15" s="111">
        <v>580282853</v>
      </c>
      <c r="C15" s="743" t="s">
        <v>2909</v>
      </c>
      <c r="D15" s="1056">
        <v>60720</v>
      </c>
      <c r="E15" s="1056">
        <v>91496</v>
      </c>
      <c r="F15" s="1056">
        <v>53400</v>
      </c>
      <c r="G15" s="1056">
        <v>60720</v>
      </c>
      <c r="H15" s="1050" t="s">
        <v>9</v>
      </c>
      <c r="J15" s="911"/>
    </row>
    <row r="16" spans="1:10" s="179" customFormat="1" ht="24" customHeight="1" x14ac:dyDescent="0.2">
      <c r="A16" s="177"/>
      <c r="B16" s="111" t="s">
        <v>2226</v>
      </c>
      <c r="C16" s="743" t="s">
        <v>3175</v>
      </c>
      <c r="D16" s="1056"/>
      <c r="E16" s="1057"/>
      <c r="F16" s="1056">
        <v>60720</v>
      </c>
      <c r="G16" s="1056">
        <v>60720</v>
      </c>
      <c r="H16" s="1050" t="s">
        <v>9</v>
      </c>
      <c r="J16" s="911"/>
    </row>
    <row r="17" spans="1:10" s="179" customFormat="1" ht="33.75" customHeight="1" x14ac:dyDescent="0.2">
      <c r="A17" s="177"/>
      <c r="B17" s="111" t="s">
        <v>2226</v>
      </c>
      <c r="C17" s="743" t="s">
        <v>3407</v>
      </c>
      <c r="D17" s="1056"/>
      <c r="E17" s="1057"/>
      <c r="F17" s="1056">
        <v>60720</v>
      </c>
      <c r="G17" s="1056">
        <v>60720</v>
      </c>
      <c r="H17" s="1050" t="s">
        <v>32</v>
      </c>
      <c r="J17" s="911"/>
    </row>
    <row r="18" spans="1:10" s="179" customFormat="1" ht="33.75" customHeight="1" x14ac:dyDescent="0.2">
      <c r="A18" s="177"/>
      <c r="B18" s="111" t="s">
        <v>2226</v>
      </c>
      <c r="C18" s="743" t="s">
        <v>3408</v>
      </c>
      <c r="D18" s="1056"/>
      <c r="E18" s="1057"/>
      <c r="F18" s="1056"/>
      <c r="G18" s="1056">
        <v>19839</v>
      </c>
      <c r="H18" s="1050" t="s">
        <v>12</v>
      </c>
      <c r="J18" s="911"/>
    </row>
    <row r="19" spans="1:10" s="179" customFormat="1" ht="33.75" customHeight="1" x14ac:dyDescent="0.2">
      <c r="A19" s="177"/>
      <c r="B19" s="111" t="s">
        <v>2226</v>
      </c>
      <c r="C19" s="743" t="s">
        <v>3409</v>
      </c>
      <c r="D19" s="1056"/>
      <c r="E19" s="1057"/>
      <c r="F19" s="1056"/>
      <c r="G19" s="1056">
        <v>15871</v>
      </c>
      <c r="H19" s="1050" t="s">
        <v>12</v>
      </c>
      <c r="J19" s="911"/>
    </row>
    <row r="20" spans="1:10" s="179" customFormat="1" ht="33.75" customHeight="1" x14ac:dyDescent="0.2">
      <c r="A20" s="177"/>
      <c r="B20" s="111" t="s">
        <v>2226</v>
      </c>
      <c r="C20" s="743" t="s">
        <v>3410</v>
      </c>
      <c r="D20" s="1056"/>
      <c r="E20" s="1057"/>
      <c r="F20" s="1056"/>
      <c r="G20" s="1056">
        <v>27208</v>
      </c>
      <c r="H20" s="1050" t="s">
        <v>9</v>
      </c>
      <c r="J20" s="911"/>
    </row>
    <row r="21" spans="1:10" s="179" customFormat="1" ht="33.75" customHeight="1" x14ac:dyDescent="0.2">
      <c r="A21" s="177"/>
      <c r="B21" s="111" t="s">
        <v>2226</v>
      </c>
      <c r="C21" s="743" t="s">
        <v>3411</v>
      </c>
      <c r="D21" s="1056"/>
      <c r="E21" s="1057"/>
      <c r="F21" s="1056"/>
      <c r="G21" s="1056">
        <v>27208</v>
      </c>
      <c r="H21" s="1050" t="s">
        <v>12</v>
      </c>
      <c r="J21" s="911"/>
    </row>
    <row r="22" spans="1:10" s="179" customFormat="1" ht="33.75" customHeight="1" x14ac:dyDescent="0.2">
      <c r="A22" s="177"/>
      <c r="B22" s="111" t="s">
        <v>2226</v>
      </c>
      <c r="C22" s="743" t="s">
        <v>3432</v>
      </c>
      <c r="D22" s="1056"/>
      <c r="E22" s="1057"/>
      <c r="F22" s="1056"/>
      <c r="G22" s="1056">
        <v>27208</v>
      </c>
      <c r="H22" s="1050" t="s">
        <v>9</v>
      </c>
      <c r="J22" s="911"/>
    </row>
    <row r="23" spans="1:10" s="179" customFormat="1" ht="33.75" customHeight="1" x14ac:dyDescent="0.2">
      <c r="A23" s="177"/>
      <c r="B23" s="111" t="s">
        <v>2226</v>
      </c>
      <c r="C23" s="743" t="s">
        <v>3412</v>
      </c>
      <c r="D23" s="1056"/>
      <c r="E23" s="1057"/>
      <c r="F23" s="1056"/>
      <c r="G23" s="1056">
        <v>27208</v>
      </c>
      <c r="H23" s="1050" t="s">
        <v>12</v>
      </c>
      <c r="J23" s="911"/>
    </row>
    <row r="24" spans="1:10" s="179" customFormat="1" ht="33.75" customHeight="1" x14ac:dyDescent="0.2">
      <c r="A24" s="177"/>
      <c r="B24" s="111" t="s">
        <v>2226</v>
      </c>
      <c r="C24" s="743" t="s">
        <v>3413</v>
      </c>
      <c r="D24" s="1056"/>
      <c r="E24" s="1057"/>
      <c r="F24" s="1056"/>
      <c r="G24" s="1056">
        <v>27208</v>
      </c>
      <c r="H24" s="1050" t="s">
        <v>136</v>
      </c>
      <c r="J24" s="911"/>
    </row>
    <row r="25" spans="1:10" s="179" customFormat="1" ht="33.75" customHeight="1" x14ac:dyDescent="0.2">
      <c r="A25" s="177"/>
      <c r="B25" s="111" t="s">
        <v>2226</v>
      </c>
      <c r="C25" s="743" t="s">
        <v>3414</v>
      </c>
      <c r="D25" s="1056"/>
      <c r="E25" s="1057"/>
      <c r="F25" s="1056"/>
      <c r="G25" s="47">
        <v>83500</v>
      </c>
      <c r="H25" s="1050" t="s">
        <v>386</v>
      </c>
      <c r="J25" s="911"/>
    </row>
    <row r="26" spans="1:10" s="755" customFormat="1" ht="38.25" x14ac:dyDescent="0.2">
      <c r="A26" s="754"/>
      <c r="B26" s="111">
        <v>580132454</v>
      </c>
      <c r="C26" s="743" t="s">
        <v>3250</v>
      </c>
      <c r="D26" s="1056">
        <v>121440</v>
      </c>
      <c r="E26" s="1058">
        <v>121440</v>
      </c>
      <c r="F26" s="1056">
        <v>121440</v>
      </c>
      <c r="G26" s="1056">
        <v>121440</v>
      </c>
      <c r="H26" s="1050" t="s">
        <v>32</v>
      </c>
    </row>
    <row r="27" spans="1:10" s="755" customFormat="1" ht="38.25" x14ac:dyDescent="0.2">
      <c r="A27" s="754"/>
      <c r="B27" s="111">
        <v>580132454</v>
      </c>
      <c r="C27" s="743" t="s">
        <v>3419</v>
      </c>
      <c r="D27" s="1056">
        <v>60720</v>
      </c>
      <c r="E27" s="1058"/>
      <c r="F27" s="1056"/>
      <c r="G27" s="1056"/>
      <c r="H27" s="1050" t="s">
        <v>12</v>
      </c>
    </row>
    <row r="28" spans="1:10" s="755" customFormat="1" ht="25.5" x14ac:dyDescent="0.2">
      <c r="A28" s="754"/>
      <c r="B28" s="111">
        <v>580132454</v>
      </c>
      <c r="C28" s="743" t="s">
        <v>3418</v>
      </c>
      <c r="D28" s="1056"/>
      <c r="E28" s="1058"/>
      <c r="F28" s="1056"/>
      <c r="G28" s="1056">
        <v>34009</v>
      </c>
      <c r="H28" s="1050" t="s">
        <v>53</v>
      </c>
    </row>
    <row r="29" spans="1:10" s="755" customFormat="1" ht="25.5" x14ac:dyDescent="0.2">
      <c r="A29" s="754"/>
      <c r="B29" s="111">
        <v>580132454</v>
      </c>
      <c r="C29" s="743" t="s">
        <v>3424</v>
      </c>
      <c r="D29" s="1056"/>
      <c r="E29" s="1058"/>
      <c r="F29" s="1056"/>
      <c r="G29" s="1056">
        <v>27208</v>
      </c>
      <c r="H29" s="1050" t="s">
        <v>12</v>
      </c>
    </row>
    <row r="30" spans="1:10" s="755" customFormat="1" ht="25.5" x14ac:dyDescent="0.2">
      <c r="A30" s="754"/>
      <c r="B30" s="111">
        <v>580132454</v>
      </c>
      <c r="C30" s="743" t="s">
        <v>3423</v>
      </c>
      <c r="D30" s="1056"/>
      <c r="E30" s="1058"/>
      <c r="F30" s="1056"/>
      <c r="G30" s="1056">
        <v>165950</v>
      </c>
      <c r="H30" s="1050" t="s">
        <v>386</v>
      </c>
    </row>
    <row r="31" spans="1:10" s="755" customFormat="1" ht="38.25" x14ac:dyDescent="0.2">
      <c r="A31" s="754"/>
      <c r="B31" s="111">
        <v>580517241</v>
      </c>
      <c r="C31" s="743" t="s">
        <v>3420</v>
      </c>
      <c r="D31" s="1056">
        <v>86024</v>
      </c>
      <c r="E31" s="1056">
        <v>60720</v>
      </c>
      <c r="F31" s="1056">
        <v>47447</v>
      </c>
      <c r="G31" s="1056">
        <v>60720</v>
      </c>
      <c r="H31" s="1050" t="s">
        <v>12</v>
      </c>
    </row>
    <row r="32" spans="1:10" s="755" customFormat="1" ht="38.25" x14ac:dyDescent="0.2">
      <c r="A32" s="754"/>
      <c r="B32" s="111">
        <v>580517241</v>
      </c>
      <c r="C32" s="743" t="s">
        <v>3421</v>
      </c>
      <c r="D32" s="1056"/>
      <c r="E32" s="1056">
        <v>60720</v>
      </c>
      <c r="F32" s="1056">
        <v>47447</v>
      </c>
      <c r="G32" s="1056">
        <v>60720</v>
      </c>
      <c r="H32" s="1050" t="s">
        <v>12</v>
      </c>
    </row>
    <row r="33" spans="1:17" s="1001" customFormat="1" ht="38.25" x14ac:dyDescent="0.2">
      <c r="A33" s="1000"/>
      <c r="B33" s="111">
        <v>580517241</v>
      </c>
      <c r="C33" s="111" t="s">
        <v>3422</v>
      </c>
      <c r="D33" s="1056">
        <v>0</v>
      </c>
      <c r="E33" s="111">
        <v>0</v>
      </c>
      <c r="F33" s="1056">
        <v>47447</v>
      </c>
      <c r="G33" s="1056">
        <v>60720</v>
      </c>
      <c r="H33" s="111" t="s">
        <v>12</v>
      </c>
      <c r="J33" s="1002"/>
      <c r="K33" s="1002"/>
      <c r="L33" s="1002"/>
      <c r="M33" s="1002"/>
      <c r="N33" s="1002"/>
      <c r="O33" s="1002"/>
      <c r="P33" s="1002"/>
      <c r="Q33" s="1002"/>
    </row>
    <row r="34" spans="1:17" s="1001" customFormat="1" x14ac:dyDescent="0.2">
      <c r="A34" s="1000"/>
      <c r="B34" s="111">
        <v>520016676</v>
      </c>
      <c r="C34" s="1037" t="s">
        <v>3396</v>
      </c>
      <c r="D34" s="1056"/>
      <c r="E34" s="111"/>
      <c r="F34" s="1056"/>
      <c r="G34" s="1056">
        <v>37410</v>
      </c>
      <c r="H34" s="111" t="s">
        <v>9</v>
      </c>
      <c r="J34" s="1002"/>
      <c r="K34" s="1002"/>
      <c r="L34" s="1002"/>
      <c r="M34" s="1002"/>
      <c r="N34" s="1002"/>
      <c r="O34" s="1002"/>
      <c r="P34" s="1002"/>
      <c r="Q34" s="1002"/>
    </row>
    <row r="35" spans="1:17" s="1001" customFormat="1" x14ac:dyDescent="0.2">
      <c r="A35" s="1000"/>
      <c r="B35" s="111">
        <v>580007870</v>
      </c>
      <c r="C35" s="1037" t="s">
        <v>3397</v>
      </c>
      <c r="D35" s="1056"/>
      <c r="E35" s="111"/>
      <c r="F35" s="1056"/>
      <c r="G35" s="1056">
        <v>34009</v>
      </c>
      <c r="H35" s="111" t="s">
        <v>53</v>
      </c>
      <c r="J35" s="1002"/>
      <c r="K35" s="1002"/>
      <c r="L35" s="1002"/>
      <c r="M35" s="1002"/>
      <c r="N35" s="1002"/>
      <c r="O35" s="1002"/>
      <c r="P35" s="1002"/>
      <c r="Q35" s="1002"/>
    </row>
    <row r="36" spans="1:17" s="755" customFormat="1" x14ac:dyDescent="0.2">
      <c r="A36" s="754"/>
      <c r="B36" s="111">
        <v>580010510</v>
      </c>
      <c r="C36" s="1037" t="s">
        <v>3398</v>
      </c>
      <c r="D36" s="1059"/>
      <c r="E36" s="1059"/>
      <c r="F36" s="1059"/>
      <c r="G36" s="1056">
        <v>37410</v>
      </c>
      <c r="H36" s="111" t="s">
        <v>12</v>
      </c>
    </row>
    <row r="37" spans="1:17" s="755" customFormat="1" x14ac:dyDescent="0.2">
      <c r="A37" s="754"/>
      <c r="B37" s="111">
        <v>580015196</v>
      </c>
      <c r="C37" s="1037" t="s">
        <v>3399</v>
      </c>
      <c r="D37" s="1059"/>
      <c r="E37" s="1059"/>
      <c r="F37" s="1059"/>
      <c r="G37" s="1056">
        <v>29928</v>
      </c>
      <c r="H37" s="111" t="s">
        <v>53</v>
      </c>
    </row>
    <row r="38" spans="1:17" s="755" customFormat="1" x14ac:dyDescent="0.2">
      <c r="A38" s="754"/>
      <c r="B38" s="111">
        <v>580027373</v>
      </c>
      <c r="C38" s="1037" t="s">
        <v>3433</v>
      </c>
      <c r="D38" s="1059"/>
      <c r="E38" s="1059"/>
      <c r="F38" s="1059"/>
      <c r="G38" s="1056">
        <v>37410</v>
      </c>
      <c r="H38" s="111" t="s">
        <v>32</v>
      </c>
    </row>
    <row r="39" spans="1:17" s="755" customFormat="1" x14ac:dyDescent="0.2">
      <c r="A39" s="754"/>
      <c r="B39" s="111">
        <v>580052629</v>
      </c>
      <c r="C39" s="1037" t="s">
        <v>3400</v>
      </c>
      <c r="D39" s="1059"/>
      <c r="E39" s="1059"/>
      <c r="F39" s="1059"/>
      <c r="G39" s="1056">
        <v>34009</v>
      </c>
      <c r="H39" s="111" t="s">
        <v>53</v>
      </c>
    </row>
    <row r="40" spans="1:17" s="755" customFormat="1" x14ac:dyDescent="0.2">
      <c r="A40" s="754"/>
      <c r="B40" s="111">
        <v>580069789</v>
      </c>
      <c r="C40" s="1060" t="s">
        <v>3401</v>
      </c>
      <c r="D40" s="1059"/>
      <c r="E40" s="1059"/>
      <c r="F40" s="1059"/>
      <c r="G40" s="1056">
        <v>34009</v>
      </c>
      <c r="H40" s="1061" t="s">
        <v>136</v>
      </c>
    </row>
    <row r="41" spans="1:17" s="755" customFormat="1" x14ac:dyDescent="0.2">
      <c r="A41" s="754"/>
      <c r="B41" s="111">
        <v>580083517</v>
      </c>
      <c r="C41" s="1060" t="s">
        <v>3402</v>
      </c>
      <c r="D41" s="1059"/>
      <c r="E41" s="1059"/>
      <c r="F41" s="1059"/>
      <c r="G41" s="1056">
        <v>37410</v>
      </c>
      <c r="H41" s="1060" t="s">
        <v>53</v>
      </c>
    </row>
    <row r="42" spans="1:17" s="755" customFormat="1" x14ac:dyDescent="0.2">
      <c r="A42" s="754"/>
      <c r="B42" s="111">
        <v>580106730</v>
      </c>
      <c r="C42" s="1060" t="s">
        <v>3403</v>
      </c>
      <c r="D42" s="1059"/>
      <c r="E42" s="1059"/>
      <c r="F42" s="1059"/>
      <c r="G42" s="1056">
        <v>37410</v>
      </c>
      <c r="H42" s="333" t="s">
        <v>32</v>
      </c>
    </row>
    <row r="43" spans="1:17" s="755" customFormat="1" x14ac:dyDescent="0.2">
      <c r="A43" s="754"/>
      <c r="B43" s="111">
        <v>580111698</v>
      </c>
      <c r="C43" s="1060" t="s">
        <v>3404</v>
      </c>
      <c r="D43" s="1059"/>
      <c r="E43" s="1059"/>
      <c r="F43" s="1059"/>
      <c r="G43" s="1056">
        <v>9976</v>
      </c>
      <c r="H43" s="333" t="s">
        <v>53</v>
      </c>
    </row>
    <row r="44" spans="1:17" s="179" customFormat="1" x14ac:dyDescent="0.2">
      <c r="A44" s="177"/>
      <c r="B44" s="111">
        <v>580175099</v>
      </c>
      <c r="C44" s="1060" t="s">
        <v>3405</v>
      </c>
      <c r="D44" s="1059"/>
      <c r="E44" s="1059"/>
      <c r="F44" s="1059"/>
      <c r="G44" s="1056">
        <v>27208</v>
      </c>
      <c r="H44" s="333" t="s">
        <v>9</v>
      </c>
    </row>
    <row r="45" spans="1:17" s="179" customFormat="1" x14ac:dyDescent="0.2">
      <c r="A45" s="177"/>
      <c r="B45" s="111">
        <v>580209534</v>
      </c>
      <c r="C45" s="1060" t="s">
        <v>3406</v>
      </c>
      <c r="D45" s="1059"/>
      <c r="E45" s="1059"/>
      <c r="F45" s="1059"/>
      <c r="G45" s="1056">
        <v>34009</v>
      </c>
      <c r="H45" s="333" t="s">
        <v>12</v>
      </c>
    </row>
    <row r="46" spans="1:17" s="179" customFormat="1" x14ac:dyDescent="0.2">
      <c r="A46" s="177"/>
      <c r="B46" s="111">
        <v>580407161</v>
      </c>
      <c r="C46" s="111" t="s">
        <v>3415</v>
      </c>
      <c r="D46" s="1059"/>
      <c r="E46" s="1059"/>
      <c r="F46" s="1059"/>
      <c r="G46" s="1056">
        <v>29928</v>
      </c>
      <c r="H46" s="333" t="s">
        <v>9</v>
      </c>
    </row>
    <row r="47" spans="1:17" s="179" customFormat="1" x14ac:dyDescent="0.2">
      <c r="A47" s="177"/>
      <c r="B47" s="111">
        <v>580444487</v>
      </c>
      <c r="C47" s="1037" t="s">
        <v>3416</v>
      </c>
      <c r="D47" s="1059"/>
      <c r="E47" s="1059"/>
      <c r="F47" s="1059"/>
      <c r="G47" s="1056">
        <v>34009</v>
      </c>
      <c r="H47" s="333" t="s">
        <v>12</v>
      </c>
    </row>
    <row r="48" spans="1:17" s="179" customFormat="1" x14ac:dyDescent="0.2">
      <c r="A48" s="177"/>
      <c r="B48" s="111">
        <v>580573319</v>
      </c>
      <c r="C48" s="1060" t="s">
        <v>3417</v>
      </c>
      <c r="D48" s="1059"/>
      <c r="E48" s="1059"/>
      <c r="F48" s="1059"/>
      <c r="G48" s="333">
        <v>37410</v>
      </c>
      <c r="H48" s="333" t="s">
        <v>53</v>
      </c>
    </row>
    <row r="49" spans="1:3" s="179" customFormat="1" x14ac:dyDescent="0.2">
      <c r="A49" s="177"/>
      <c r="B49" s="155"/>
      <c r="C49" s="178"/>
    </row>
    <row r="50" spans="1:3" s="179" customFormat="1" x14ac:dyDescent="0.2">
      <c r="A50" s="177"/>
      <c r="B50" s="155"/>
      <c r="C50" s="178"/>
    </row>
    <row r="51" spans="1:3" s="179" customFormat="1" x14ac:dyDescent="0.2">
      <c r="A51" s="177"/>
      <c r="B51" s="155"/>
      <c r="C51" s="178"/>
    </row>
    <row r="52" spans="1:3" s="179" customFormat="1" x14ac:dyDescent="0.2">
      <c r="A52" s="177"/>
      <c r="B52" s="155"/>
      <c r="C52" s="178"/>
    </row>
    <row r="53" spans="1:3" s="179" customFormat="1" x14ac:dyDescent="0.2">
      <c r="A53" s="177"/>
      <c r="B53" s="155"/>
      <c r="C53" s="178"/>
    </row>
    <row r="54" spans="1:3" s="179" customFormat="1" x14ac:dyDescent="0.2">
      <c r="A54" s="177"/>
      <c r="B54" s="155"/>
      <c r="C54" s="178"/>
    </row>
    <row r="55" spans="1:3" s="179" customFormat="1" x14ac:dyDescent="0.2">
      <c r="A55" s="177"/>
      <c r="B55" s="155"/>
      <c r="C55" s="178"/>
    </row>
    <row r="56" spans="1:3" s="179" customFormat="1" x14ac:dyDescent="0.2">
      <c r="A56" s="177"/>
      <c r="B56" s="155"/>
      <c r="C56" s="178"/>
    </row>
    <row r="57" spans="1:3" s="179" customFormat="1" x14ac:dyDescent="0.2">
      <c r="A57" s="177"/>
      <c r="B57" s="155"/>
      <c r="C57" s="178"/>
    </row>
    <row r="58" spans="1:3" s="179" customFormat="1" x14ac:dyDescent="0.2">
      <c r="A58" s="177"/>
      <c r="B58" s="155"/>
      <c r="C58" s="178"/>
    </row>
    <row r="59" spans="1:3" s="179" customFormat="1" x14ac:dyDescent="0.2">
      <c r="A59" s="177"/>
      <c r="B59" s="155"/>
      <c r="C59" s="178"/>
    </row>
    <row r="60" spans="1:3" s="179" customFormat="1" x14ac:dyDescent="0.2">
      <c r="A60" s="177"/>
      <c r="B60" s="155"/>
      <c r="C60" s="178"/>
    </row>
    <row r="61" spans="1:3" s="179" customFormat="1" x14ac:dyDescent="0.2">
      <c r="A61" s="177"/>
      <c r="B61" s="155"/>
      <c r="C61" s="178"/>
    </row>
    <row r="62" spans="1:3" s="179" customFormat="1" x14ac:dyDescent="0.2">
      <c r="A62" s="177"/>
      <c r="B62" s="155"/>
      <c r="C62" s="178"/>
    </row>
    <row r="63" spans="1:3" s="179" customFormat="1" x14ac:dyDescent="0.2">
      <c r="A63" s="177"/>
      <c r="B63" s="155"/>
      <c r="C63" s="178"/>
    </row>
    <row r="64" spans="1:3" s="179" customFormat="1" x14ac:dyDescent="0.2">
      <c r="A64" s="177"/>
      <c r="B64" s="155"/>
      <c r="C64" s="178"/>
    </row>
    <row r="65" spans="1:3" s="179" customFormat="1" x14ac:dyDescent="0.2">
      <c r="A65" s="177"/>
      <c r="B65" s="155"/>
      <c r="C65" s="178"/>
    </row>
    <row r="66" spans="1:3" s="179" customFormat="1" x14ac:dyDescent="0.2">
      <c r="A66" s="177"/>
      <c r="B66" s="155"/>
      <c r="C66" s="178"/>
    </row>
    <row r="67" spans="1:3" s="179" customFormat="1" x14ac:dyDescent="0.2">
      <c r="A67" s="177"/>
      <c r="B67" s="155"/>
      <c r="C67" s="178"/>
    </row>
    <row r="68" spans="1:3" s="179" customFormat="1" x14ac:dyDescent="0.2">
      <c r="A68" s="177"/>
      <c r="B68" s="155"/>
      <c r="C68" s="178"/>
    </row>
    <row r="69" spans="1:3" s="179" customFormat="1" x14ac:dyDescent="0.2">
      <c r="A69" s="177"/>
      <c r="B69" s="155"/>
      <c r="C69" s="178"/>
    </row>
    <row r="70" spans="1:3" s="179" customFormat="1" x14ac:dyDescent="0.2">
      <c r="A70" s="177"/>
      <c r="B70" s="155"/>
      <c r="C70" s="178"/>
    </row>
    <row r="71" spans="1:3" s="179" customFormat="1" x14ac:dyDescent="0.2">
      <c r="A71" s="177"/>
      <c r="B71" s="155"/>
      <c r="C71" s="178"/>
    </row>
    <row r="72" spans="1:3" s="179" customFormat="1" x14ac:dyDescent="0.2">
      <c r="A72" s="177"/>
      <c r="B72" s="155"/>
      <c r="C72" s="178"/>
    </row>
    <row r="73" spans="1:3" s="179" customFormat="1" x14ac:dyDescent="0.2">
      <c r="A73" s="177"/>
      <c r="B73" s="155"/>
      <c r="C73" s="178"/>
    </row>
    <row r="74" spans="1:3" s="179" customFormat="1" x14ac:dyDescent="0.2">
      <c r="A74" s="177"/>
      <c r="B74" s="155"/>
      <c r="C74" s="178"/>
    </row>
    <row r="75" spans="1:3" s="179" customFormat="1" x14ac:dyDescent="0.2">
      <c r="A75" s="177"/>
      <c r="B75" s="155"/>
      <c r="C75" s="178"/>
    </row>
    <row r="76" spans="1:3" s="179" customFormat="1" x14ac:dyDescent="0.2">
      <c r="A76" s="177"/>
      <c r="B76" s="155"/>
      <c r="C76" s="178"/>
    </row>
    <row r="77" spans="1:3" s="179" customFormat="1" x14ac:dyDescent="0.2">
      <c r="A77" s="177"/>
      <c r="B77" s="155"/>
      <c r="C77" s="178"/>
    </row>
    <row r="78" spans="1:3" s="179" customFormat="1" x14ac:dyDescent="0.2">
      <c r="A78" s="177"/>
      <c r="B78" s="155"/>
      <c r="C78" s="178"/>
    </row>
    <row r="79" spans="1:3" s="179" customFormat="1" x14ac:dyDescent="0.2">
      <c r="A79" s="177"/>
      <c r="B79" s="155"/>
      <c r="C79" s="178"/>
    </row>
    <row r="80" spans="1:3" s="179" customFormat="1" x14ac:dyDescent="0.2">
      <c r="A80" s="177"/>
      <c r="B80" s="155"/>
      <c r="C80" s="178"/>
    </row>
    <row r="81" spans="1:3" s="179" customFormat="1" x14ac:dyDescent="0.2">
      <c r="A81" s="177"/>
      <c r="B81" s="155"/>
      <c r="C81" s="178"/>
    </row>
    <row r="82" spans="1:3" s="179" customFormat="1" x14ac:dyDescent="0.2">
      <c r="A82" s="177"/>
      <c r="B82" s="155"/>
      <c r="C82" s="178"/>
    </row>
    <row r="83" spans="1:3" s="179" customFormat="1" x14ac:dyDescent="0.2">
      <c r="A83" s="177"/>
      <c r="B83" s="155"/>
      <c r="C83" s="178"/>
    </row>
    <row r="84" spans="1:3" s="179" customFormat="1" x14ac:dyDescent="0.2">
      <c r="A84" s="177"/>
      <c r="B84" s="155"/>
      <c r="C84" s="178"/>
    </row>
    <row r="85" spans="1:3" s="179" customFormat="1" x14ac:dyDescent="0.2">
      <c r="A85" s="177"/>
      <c r="B85" s="155"/>
      <c r="C85" s="178"/>
    </row>
    <row r="86" spans="1:3" s="179" customFormat="1" x14ac:dyDescent="0.2">
      <c r="A86" s="177"/>
      <c r="B86" s="155"/>
      <c r="C86" s="178"/>
    </row>
    <row r="87" spans="1:3" s="179" customFormat="1" x14ac:dyDescent="0.2">
      <c r="A87" s="177"/>
      <c r="B87" s="155"/>
      <c r="C87" s="178"/>
    </row>
    <row r="88" spans="1:3" s="179" customFormat="1" x14ac:dyDescent="0.2">
      <c r="A88" s="177"/>
      <c r="B88" s="155"/>
      <c r="C88" s="178"/>
    </row>
    <row r="89" spans="1:3" s="179" customFormat="1" x14ac:dyDescent="0.2">
      <c r="A89" s="177"/>
      <c r="B89" s="155"/>
      <c r="C89" s="178"/>
    </row>
    <row r="90" spans="1:3" s="179" customFormat="1" x14ac:dyDescent="0.2">
      <c r="A90" s="177"/>
      <c r="B90" s="155"/>
      <c r="C90" s="178"/>
    </row>
    <row r="91" spans="1:3" s="179" customFormat="1" x14ac:dyDescent="0.2">
      <c r="A91" s="177"/>
      <c r="B91" s="155"/>
      <c r="C91" s="178"/>
    </row>
    <row r="92" spans="1:3" s="179" customFormat="1" x14ac:dyDescent="0.2">
      <c r="A92" s="177"/>
      <c r="B92" s="155"/>
      <c r="C92" s="178"/>
    </row>
    <row r="93" spans="1:3" s="179" customFormat="1" x14ac:dyDescent="0.2">
      <c r="A93" s="177"/>
      <c r="B93" s="155"/>
      <c r="C93" s="178"/>
    </row>
    <row r="94" spans="1:3" s="179" customFormat="1" x14ac:dyDescent="0.2">
      <c r="A94" s="177"/>
      <c r="B94" s="155"/>
      <c r="C94" s="178"/>
    </row>
    <row r="95" spans="1:3" s="179" customFormat="1" x14ac:dyDescent="0.2">
      <c r="A95" s="177"/>
      <c r="B95" s="155"/>
      <c r="C95" s="178"/>
    </row>
    <row r="96" spans="1:3" s="179" customFormat="1" x14ac:dyDescent="0.2">
      <c r="A96" s="177"/>
      <c r="B96" s="155"/>
      <c r="C96" s="178"/>
    </row>
    <row r="97" spans="1:3" s="179" customFormat="1" x14ac:dyDescent="0.2">
      <c r="A97" s="177"/>
      <c r="B97" s="155"/>
      <c r="C97" s="178"/>
    </row>
    <row r="98" spans="1:3" s="179" customFormat="1" x14ac:dyDescent="0.2">
      <c r="A98" s="177"/>
      <c r="B98" s="155"/>
      <c r="C98" s="178"/>
    </row>
    <row r="99" spans="1:3" s="179" customFormat="1" x14ac:dyDescent="0.2">
      <c r="A99" s="177"/>
      <c r="B99" s="155"/>
      <c r="C99" s="178"/>
    </row>
    <row r="100" spans="1:3" s="179" customFormat="1" x14ac:dyDescent="0.2">
      <c r="A100" s="177"/>
      <c r="B100" s="155"/>
      <c r="C100" s="178"/>
    </row>
    <row r="101" spans="1:3" s="179" customFormat="1" x14ac:dyDescent="0.2">
      <c r="A101" s="177"/>
      <c r="B101" s="155"/>
      <c r="C101" s="178"/>
    </row>
    <row r="102" spans="1:3" s="179" customFormat="1" x14ac:dyDescent="0.2">
      <c r="A102" s="177"/>
      <c r="B102" s="155"/>
      <c r="C102" s="178"/>
    </row>
    <row r="103" spans="1:3" s="179" customFormat="1" x14ac:dyDescent="0.2">
      <c r="A103" s="177"/>
      <c r="B103" s="155"/>
      <c r="C103" s="178"/>
    </row>
    <row r="104" spans="1:3" s="179" customFormat="1" x14ac:dyDescent="0.2">
      <c r="A104" s="177"/>
      <c r="B104" s="155"/>
      <c r="C104" s="178"/>
    </row>
    <row r="105" spans="1:3" s="179" customFormat="1" x14ac:dyDescent="0.2">
      <c r="A105" s="177"/>
      <c r="B105" s="155"/>
      <c r="C105" s="178"/>
    </row>
    <row r="106" spans="1:3" s="179" customFormat="1" x14ac:dyDescent="0.2">
      <c r="A106" s="177"/>
      <c r="B106" s="155"/>
      <c r="C106" s="178"/>
    </row>
    <row r="107" spans="1:3" s="179" customFormat="1" x14ac:dyDescent="0.2">
      <c r="A107" s="177"/>
      <c r="B107" s="155"/>
      <c r="C107" s="178"/>
    </row>
    <row r="108" spans="1:3" s="179" customFormat="1" x14ac:dyDescent="0.2">
      <c r="A108" s="177"/>
      <c r="B108" s="155"/>
      <c r="C108" s="178"/>
    </row>
    <row r="109" spans="1:3" s="179" customFormat="1" x14ac:dyDescent="0.2">
      <c r="A109" s="177"/>
      <c r="B109" s="155"/>
      <c r="C109" s="178"/>
    </row>
    <row r="110" spans="1:3" s="179" customFormat="1" x14ac:dyDescent="0.2">
      <c r="A110" s="177"/>
      <c r="B110" s="155"/>
      <c r="C110" s="178"/>
    </row>
    <row r="111" spans="1:3" s="179" customFormat="1" x14ac:dyDescent="0.2">
      <c r="A111" s="177"/>
      <c r="B111" s="155"/>
      <c r="C111" s="178"/>
    </row>
    <row r="112" spans="1:3" s="179" customFormat="1" x14ac:dyDescent="0.2">
      <c r="A112" s="177"/>
      <c r="B112" s="155"/>
      <c r="C112" s="178"/>
    </row>
    <row r="113" spans="1:3" s="179" customFormat="1" x14ac:dyDescent="0.2">
      <c r="A113" s="177"/>
      <c r="B113" s="155"/>
      <c r="C113" s="178"/>
    </row>
    <row r="114" spans="1:3" s="179" customFormat="1" x14ac:dyDescent="0.2">
      <c r="A114" s="177"/>
      <c r="B114" s="155"/>
      <c r="C114" s="178"/>
    </row>
    <row r="115" spans="1:3" s="179" customFormat="1" x14ac:dyDescent="0.2">
      <c r="A115" s="177"/>
      <c r="B115" s="155"/>
      <c r="C115" s="178"/>
    </row>
  </sheetData>
  <pageMargins left="0" right="0.55118110236220474" top="1.4566929133858268" bottom="0.39370078740157483" header="0.98425196850393704" footer="0.19685039370078741"/>
  <pageSetup paperSize="9" fitToHeight="10" orientation="landscape" r:id="rId1"/>
  <headerFooter alignWithMargins="0">
    <oddHeader>&amp;L&amp;D&amp;Cמינהל תרבות
&amp;"Arial,מודגש"&amp;11תקציב על שינויו 2016-2019 בש"ח בהתאם להחלטת ועדת התמיכות&amp;R&amp;"Arial,מודגש"&amp;12תמיכה ברבנים רפורמים
תקנה 42-02-54</oddHeader>
    <oddFooter>&amp;L&amp;F&amp;C&amp;P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5"/>
  <sheetViews>
    <sheetView rightToLeft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1" sqref="R1:R1048576"/>
    </sheetView>
  </sheetViews>
  <sheetFormatPr defaultRowHeight="12.75" x14ac:dyDescent="0.2"/>
  <cols>
    <col min="1" max="1" width="11.85546875" style="1" customWidth="1"/>
    <col min="2" max="2" width="20.42578125" customWidth="1"/>
    <col min="3" max="4" width="11.28515625" bestFit="1" customWidth="1"/>
    <col min="5" max="5" width="14.7109375" style="909" bestFit="1" customWidth="1"/>
    <col min="6" max="6" width="0.42578125" style="925" customWidth="1"/>
    <col min="7" max="8" width="11.28515625" bestFit="1" customWidth="1"/>
    <col min="9" max="9" width="14.7109375" style="909" bestFit="1" customWidth="1"/>
    <col min="10" max="10" width="0.42578125" style="925" customWidth="1"/>
    <col min="11" max="12" width="11.28515625" bestFit="1" customWidth="1"/>
    <col min="13" max="13" width="14.7109375" style="909" bestFit="1" customWidth="1"/>
    <col min="14" max="14" width="0.42578125" style="925" customWidth="1"/>
    <col min="15" max="15" width="11.28515625" bestFit="1" customWidth="1"/>
    <col min="16" max="16" width="11.28515625" style="1036" bestFit="1" customWidth="1"/>
    <col min="17" max="17" width="12.85546875" style="909" customWidth="1"/>
    <col min="18" max="18" width="10.5703125" style="909" hidden="1" customWidth="1"/>
    <col min="19" max="20" width="10.140625" bestFit="1" customWidth="1"/>
  </cols>
  <sheetData>
    <row r="1" spans="1:19" ht="25.5" x14ac:dyDescent="0.2">
      <c r="A1" s="324" t="s">
        <v>2788</v>
      </c>
      <c r="B1" s="324" t="s">
        <v>2789</v>
      </c>
      <c r="C1" s="324" t="s">
        <v>2790</v>
      </c>
      <c r="D1" s="324" t="s">
        <v>2787</v>
      </c>
      <c r="E1" s="906" t="s">
        <v>2791</v>
      </c>
      <c r="F1" s="922"/>
      <c r="G1" s="324" t="s">
        <v>3015</v>
      </c>
      <c r="H1" s="324" t="s">
        <v>3016</v>
      </c>
      <c r="I1" s="906" t="s">
        <v>3017</v>
      </c>
      <c r="J1" s="922"/>
      <c r="K1" s="324" t="s">
        <v>3064</v>
      </c>
      <c r="L1" s="324" t="s">
        <v>3065</v>
      </c>
      <c r="M1" s="906" t="s">
        <v>3066</v>
      </c>
      <c r="N1" s="922"/>
      <c r="O1" s="324" t="s">
        <v>3265</v>
      </c>
      <c r="P1" s="324" t="s">
        <v>3266</v>
      </c>
      <c r="Q1" s="906" t="s">
        <v>3267</v>
      </c>
      <c r="R1" s="906" t="s">
        <v>6</v>
      </c>
    </row>
    <row r="2" spans="1:19" ht="27" customHeight="1" x14ac:dyDescent="0.2">
      <c r="A2" s="204" t="s">
        <v>7</v>
      </c>
      <c r="B2" s="204"/>
      <c r="C2" s="204">
        <f>SUM(C3:C253)</f>
        <v>23124713</v>
      </c>
      <c r="D2" s="204">
        <f>SUM(D3:D253)</f>
        <v>22327289</v>
      </c>
      <c r="E2" s="204">
        <f>SUM(E3:E253)</f>
        <v>45452002</v>
      </c>
      <c r="F2" s="923"/>
      <c r="G2" s="204">
        <f>SUM(G3:G253)</f>
        <v>25377494</v>
      </c>
      <c r="H2" s="204">
        <f t="shared" ref="H2" si="0">SUM(H3:H253)</f>
        <v>22961000</v>
      </c>
      <c r="I2" s="204">
        <f>SUM(I3:I254)</f>
        <v>48438494</v>
      </c>
      <c r="J2" s="923"/>
      <c r="K2" s="204">
        <f>SUM(K3:K254)</f>
        <v>24038827</v>
      </c>
      <c r="L2" s="204">
        <f t="shared" ref="L2:M2" si="1">SUM(L3:L254)</f>
        <v>23390000</v>
      </c>
      <c r="M2" s="204">
        <f t="shared" si="1"/>
        <v>47428827</v>
      </c>
      <c r="N2" s="923"/>
      <c r="O2" s="204">
        <f>SUM(O3:O255)</f>
        <v>19322564</v>
      </c>
      <c r="P2" s="204">
        <f t="shared" ref="P2" si="2">SUM(P3:P255)</f>
        <v>19476958</v>
      </c>
      <c r="Q2" s="204">
        <f t="shared" ref="Q2" si="3">SUM(Q3:Q255)</f>
        <v>38799522</v>
      </c>
      <c r="R2" s="204"/>
      <c r="S2" s="835"/>
    </row>
    <row r="3" spans="1:19" x14ac:dyDescent="0.2">
      <c r="A3" s="904" t="s">
        <v>2552</v>
      </c>
      <c r="B3" s="903" t="s">
        <v>2553</v>
      </c>
      <c r="C3" s="910">
        <v>84750</v>
      </c>
      <c r="D3" s="910">
        <v>70000</v>
      </c>
      <c r="E3" s="908">
        <f>C3+D3</f>
        <v>154750</v>
      </c>
      <c r="F3" s="924"/>
      <c r="G3" s="926">
        <v>87874</v>
      </c>
      <c r="H3" s="926">
        <v>70000</v>
      </c>
      <c r="I3" s="908">
        <f t="shared" ref="I3:I69" si="4">G3+H3</f>
        <v>157874</v>
      </c>
      <c r="J3" s="924"/>
      <c r="K3" s="926">
        <v>63000</v>
      </c>
      <c r="L3" s="926">
        <v>70000</v>
      </c>
      <c r="M3" s="908">
        <f t="shared" ref="M3:M70" si="5">K3+L3</f>
        <v>133000</v>
      </c>
      <c r="N3" s="924"/>
      <c r="O3" s="926">
        <v>63000</v>
      </c>
      <c r="P3" s="1064">
        <v>64034</v>
      </c>
      <c r="Q3" s="908">
        <f t="shared" ref="Q3:Q70" si="6">O3+P3</f>
        <v>127034</v>
      </c>
      <c r="R3" s="908" t="s">
        <v>9</v>
      </c>
    </row>
    <row r="4" spans="1:19" x14ac:dyDescent="0.2">
      <c r="A4" s="904">
        <v>500200282</v>
      </c>
      <c r="B4" s="903" t="s">
        <v>3023</v>
      </c>
      <c r="C4" s="910"/>
      <c r="D4" s="910"/>
      <c r="E4" s="908"/>
      <c r="F4" s="924"/>
      <c r="G4" s="926">
        <v>40000</v>
      </c>
      <c r="H4" s="926"/>
      <c r="I4" s="908">
        <f t="shared" si="4"/>
        <v>40000</v>
      </c>
      <c r="J4" s="924"/>
      <c r="K4" s="926">
        <v>40000</v>
      </c>
      <c r="L4" s="926"/>
      <c r="M4" s="908">
        <f t="shared" si="5"/>
        <v>40000</v>
      </c>
      <c r="N4" s="924"/>
      <c r="O4" s="926"/>
      <c r="P4" s="1064"/>
      <c r="Q4" s="908">
        <f t="shared" si="6"/>
        <v>0</v>
      </c>
      <c r="R4" s="908" t="s">
        <v>12</v>
      </c>
    </row>
    <row r="5" spans="1:19" x14ac:dyDescent="0.2">
      <c r="A5" s="905" t="s">
        <v>2792</v>
      </c>
      <c r="B5" s="5" t="s">
        <v>2793</v>
      </c>
      <c r="C5" s="910">
        <v>84991</v>
      </c>
      <c r="D5" s="910"/>
      <c r="E5" s="908">
        <f>C5+D5</f>
        <v>84991</v>
      </c>
      <c r="F5" s="924"/>
      <c r="G5" s="926">
        <v>87875</v>
      </c>
      <c r="H5" s="926"/>
      <c r="I5" s="908">
        <f t="shared" si="4"/>
        <v>87875</v>
      </c>
      <c r="J5" s="924"/>
      <c r="K5" s="926">
        <v>63329</v>
      </c>
      <c r="L5" s="926"/>
      <c r="M5" s="908">
        <f t="shared" si="5"/>
        <v>63329</v>
      </c>
      <c r="N5" s="924"/>
      <c r="O5" s="926">
        <v>68796</v>
      </c>
      <c r="P5" s="1064"/>
      <c r="Q5" s="908">
        <f t="shared" si="6"/>
        <v>68796</v>
      </c>
      <c r="R5" s="908" t="s">
        <v>9</v>
      </c>
    </row>
    <row r="6" spans="1:19" x14ac:dyDescent="0.2">
      <c r="A6" s="905" t="s">
        <v>2554</v>
      </c>
      <c r="B6" s="5" t="s">
        <v>2555</v>
      </c>
      <c r="C6" s="910">
        <v>152255</v>
      </c>
      <c r="D6" s="910">
        <v>200000</v>
      </c>
      <c r="E6" s="908">
        <f>C6+D6</f>
        <v>352255</v>
      </c>
      <c r="F6" s="924"/>
      <c r="G6" s="926">
        <v>170043</v>
      </c>
      <c r="H6" s="926">
        <v>200000</v>
      </c>
      <c r="I6" s="908">
        <f t="shared" si="4"/>
        <v>370043</v>
      </c>
      <c r="J6" s="924"/>
      <c r="K6" s="926">
        <v>126659</v>
      </c>
      <c r="L6" s="926">
        <v>200000</v>
      </c>
      <c r="M6" s="908">
        <f t="shared" si="5"/>
        <v>326659</v>
      </c>
      <c r="N6" s="924"/>
      <c r="O6" s="926">
        <v>124000</v>
      </c>
      <c r="P6" s="1064">
        <v>182953</v>
      </c>
      <c r="Q6" s="908">
        <f t="shared" si="6"/>
        <v>306953</v>
      </c>
      <c r="R6" s="908" t="s">
        <v>32</v>
      </c>
    </row>
    <row r="7" spans="1:19" x14ac:dyDescent="0.2">
      <c r="A7" s="905" t="s">
        <v>2314</v>
      </c>
      <c r="B7" s="5" t="s">
        <v>2556</v>
      </c>
      <c r="C7" s="910">
        <v>40000</v>
      </c>
      <c r="D7" s="910">
        <v>70000</v>
      </c>
      <c r="E7" s="908">
        <f>C7+D7</f>
        <v>110000</v>
      </c>
      <c r="F7" s="924"/>
      <c r="G7" s="926">
        <v>71550</v>
      </c>
      <c r="H7" s="926">
        <v>70000</v>
      </c>
      <c r="I7" s="908">
        <f t="shared" si="4"/>
        <v>141550</v>
      </c>
      <c r="J7" s="924"/>
      <c r="K7" s="926">
        <v>63330</v>
      </c>
      <c r="L7" s="926">
        <v>70000</v>
      </c>
      <c r="M7" s="908">
        <f t="shared" si="5"/>
        <v>133330</v>
      </c>
      <c r="N7" s="924"/>
      <c r="O7" s="926">
        <v>63000</v>
      </c>
      <c r="P7" s="1064">
        <v>64034</v>
      </c>
      <c r="Q7" s="908">
        <f t="shared" si="6"/>
        <v>127034</v>
      </c>
      <c r="R7" s="908" t="s">
        <v>9</v>
      </c>
    </row>
    <row r="8" spans="1:19" x14ac:dyDescent="0.2">
      <c r="A8" s="905" t="s">
        <v>2557</v>
      </c>
      <c r="B8" s="5" t="s">
        <v>2558</v>
      </c>
      <c r="C8" s="910">
        <v>84992</v>
      </c>
      <c r="D8" s="910">
        <v>70000</v>
      </c>
      <c r="E8" s="908">
        <f>C8+D8</f>
        <v>154992</v>
      </c>
      <c r="F8" s="924"/>
      <c r="G8" s="926">
        <v>87874</v>
      </c>
      <c r="H8" s="926"/>
      <c r="I8" s="908">
        <f t="shared" si="4"/>
        <v>87874</v>
      </c>
      <c r="J8" s="924"/>
      <c r="K8" s="926">
        <v>63330</v>
      </c>
      <c r="L8" s="926"/>
      <c r="M8" s="908">
        <f t="shared" si="5"/>
        <v>63330</v>
      </c>
      <c r="N8" s="924"/>
      <c r="O8" s="926">
        <v>86000</v>
      </c>
      <c r="P8" s="1064"/>
      <c r="Q8" s="908">
        <f t="shared" si="6"/>
        <v>86000</v>
      </c>
      <c r="R8" s="908" t="s">
        <v>9</v>
      </c>
    </row>
    <row r="9" spans="1:19" x14ac:dyDescent="0.2">
      <c r="A9" s="905" t="s">
        <v>2559</v>
      </c>
      <c r="B9" s="907" t="s">
        <v>3022</v>
      </c>
      <c r="C9" s="910">
        <v>40000</v>
      </c>
      <c r="D9" s="910">
        <v>70000</v>
      </c>
      <c r="E9" s="908">
        <f>C9+D9</f>
        <v>110000</v>
      </c>
      <c r="F9" s="924"/>
      <c r="G9" s="926">
        <v>87876</v>
      </c>
      <c r="H9" s="926">
        <v>70000</v>
      </c>
      <c r="I9" s="908">
        <f t="shared" si="4"/>
        <v>157876</v>
      </c>
      <c r="J9" s="924"/>
      <c r="K9" s="926">
        <v>63330</v>
      </c>
      <c r="L9" s="926">
        <v>70000</v>
      </c>
      <c r="M9" s="908">
        <f t="shared" si="5"/>
        <v>133330</v>
      </c>
      <c r="N9" s="924"/>
      <c r="O9" s="926">
        <f>32000+64000</f>
        <v>96000</v>
      </c>
      <c r="P9" s="1064">
        <v>64034</v>
      </c>
      <c r="Q9" s="908">
        <f t="shared" si="6"/>
        <v>160034</v>
      </c>
      <c r="R9" s="908" t="s">
        <v>9</v>
      </c>
    </row>
    <row r="10" spans="1:19" x14ac:dyDescent="0.2">
      <c r="A10" s="905">
        <v>500200472</v>
      </c>
      <c r="B10" s="907" t="s">
        <v>3024</v>
      </c>
      <c r="C10" s="910"/>
      <c r="D10" s="910"/>
      <c r="E10" s="908"/>
      <c r="F10" s="924"/>
      <c r="G10" s="926">
        <v>80000</v>
      </c>
      <c r="H10" s="926"/>
      <c r="I10" s="908">
        <f t="shared" si="4"/>
        <v>80000</v>
      </c>
      <c r="J10" s="924"/>
      <c r="K10" s="926">
        <v>63330</v>
      </c>
      <c r="L10" s="926"/>
      <c r="M10" s="908">
        <f t="shared" si="5"/>
        <v>63330</v>
      </c>
      <c r="N10" s="924"/>
      <c r="O10" s="926">
        <v>60000</v>
      </c>
      <c r="P10" s="1064"/>
      <c r="Q10" s="908">
        <f t="shared" si="6"/>
        <v>60000</v>
      </c>
      <c r="R10" s="908" t="s">
        <v>9</v>
      </c>
    </row>
    <row r="11" spans="1:19" x14ac:dyDescent="0.2">
      <c r="A11" s="905">
        <v>500200654</v>
      </c>
      <c r="B11" s="907" t="s">
        <v>3025</v>
      </c>
      <c r="C11" s="910"/>
      <c r="D11" s="910"/>
      <c r="E11" s="908"/>
      <c r="F11" s="924"/>
      <c r="G11" s="926">
        <v>73125</v>
      </c>
      <c r="H11" s="926"/>
      <c r="I11" s="908">
        <f t="shared" si="4"/>
        <v>73125</v>
      </c>
      <c r="J11" s="924"/>
      <c r="K11" s="926"/>
      <c r="L11" s="926"/>
      <c r="M11" s="908">
        <f t="shared" si="5"/>
        <v>0</v>
      </c>
      <c r="N11" s="924"/>
      <c r="O11" s="926">
        <v>0</v>
      </c>
      <c r="P11" s="1064">
        <v>64034</v>
      </c>
      <c r="Q11" s="908">
        <f t="shared" si="6"/>
        <v>64034</v>
      </c>
      <c r="R11" s="908" t="s">
        <v>9</v>
      </c>
    </row>
    <row r="12" spans="1:19" x14ac:dyDescent="0.2">
      <c r="A12" s="905" t="s">
        <v>2795</v>
      </c>
      <c r="B12" s="5" t="s">
        <v>2794</v>
      </c>
      <c r="C12" s="910">
        <v>254977</v>
      </c>
      <c r="D12" s="910"/>
      <c r="E12" s="908">
        <f>C12+D12</f>
        <v>254977</v>
      </c>
      <c r="F12" s="924"/>
      <c r="G12" s="926">
        <v>263625</v>
      </c>
      <c r="H12" s="926"/>
      <c r="I12" s="908">
        <f t="shared" si="4"/>
        <v>263625</v>
      </c>
      <c r="J12" s="924"/>
      <c r="K12" s="926">
        <v>189990</v>
      </c>
      <c r="L12" s="926"/>
      <c r="M12" s="908">
        <f t="shared" si="5"/>
        <v>189990</v>
      </c>
      <c r="N12" s="924"/>
      <c r="O12" s="926">
        <v>127400</v>
      </c>
      <c r="P12" s="1064"/>
      <c r="Q12" s="908">
        <f t="shared" si="6"/>
        <v>127400</v>
      </c>
      <c r="R12" s="908" t="s">
        <v>12</v>
      </c>
    </row>
    <row r="13" spans="1:19" x14ac:dyDescent="0.2">
      <c r="A13" s="905" t="s">
        <v>2560</v>
      </c>
      <c r="B13" s="5" t="s">
        <v>2561</v>
      </c>
      <c r="C13" s="910">
        <v>84992</v>
      </c>
      <c r="D13" s="910">
        <v>115000</v>
      </c>
      <c r="E13" s="908">
        <f>C13+D13</f>
        <v>199992</v>
      </c>
      <c r="F13" s="924"/>
      <c r="G13" s="926">
        <v>75000</v>
      </c>
      <c r="H13" s="926">
        <v>70000</v>
      </c>
      <c r="I13" s="908">
        <f t="shared" si="4"/>
        <v>145000</v>
      </c>
      <c r="J13" s="924"/>
      <c r="K13" s="926">
        <v>63330</v>
      </c>
      <c r="L13" s="926">
        <v>70000</v>
      </c>
      <c r="M13" s="908">
        <f t="shared" si="5"/>
        <v>133330</v>
      </c>
      <c r="N13" s="924"/>
      <c r="O13" s="926">
        <v>97882</v>
      </c>
      <c r="P13" s="1064">
        <v>64034</v>
      </c>
      <c r="Q13" s="908">
        <f t="shared" si="6"/>
        <v>161916</v>
      </c>
      <c r="R13" s="908" t="s">
        <v>32</v>
      </c>
    </row>
    <row r="14" spans="1:19" x14ac:dyDescent="0.2">
      <c r="A14" s="905">
        <v>500201223</v>
      </c>
      <c r="B14" s="5" t="s">
        <v>3026</v>
      </c>
      <c r="C14" s="910"/>
      <c r="D14" s="910"/>
      <c r="E14" s="908"/>
      <c r="F14" s="924"/>
      <c r="G14" s="926">
        <v>87875</v>
      </c>
      <c r="H14" s="926"/>
      <c r="I14" s="908">
        <f t="shared" si="4"/>
        <v>87875</v>
      </c>
      <c r="J14" s="924"/>
      <c r="K14" s="926">
        <v>63330</v>
      </c>
      <c r="L14" s="926"/>
      <c r="M14" s="908">
        <f t="shared" si="5"/>
        <v>63330</v>
      </c>
      <c r="N14" s="924"/>
      <c r="O14" s="926">
        <v>60345</v>
      </c>
      <c r="P14" s="1064"/>
      <c r="Q14" s="908">
        <f t="shared" si="6"/>
        <v>60345</v>
      </c>
      <c r="R14" s="908" t="s">
        <v>9</v>
      </c>
    </row>
    <row r="15" spans="1:19" x14ac:dyDescent="0.2">
      <c r="A15" s="905" t="s">
        <v>2797</v>
      </c>
      <c r="B15" s="5" t="s">
        <v>2796</v>
      </c>
      <c r="C15" s="910">
        <v>84992</v>
      </c>
      <c r="D15" s="910"/>
      <c r="E15" s="908">
        <f>C15+D15</f>
        <v>84992</v>
      </c>
      <c r="F15" s="924"/>
      <c r="G15" s="926"/>
      <c r="H15" s="926"/>
      <c r="I15" s="908">
        <f t="shared" si="4"/>
        <v>0</v>
      </c>
      <c r="J15" s="924"/>
      <c r="K15" s="926">
        <v>62138</v>
      </c>
      <c r="L15" s="926"/>
      <c r="M15" s="908">
        <f t="shared" si="5"/>
        <v>62138</v>
      </c>
      <c r="N15" s="924"/>
      <c r="O15" s="926">
        <v>0</v>
      </c>
      <c r="P15" s="1064"/>
      <c r="Q15" s="908">
        <f t="shared" si="6"/>
        <v>0</v>
      </c>
      <c r="R15" s="908" t="s">
        <v>12</v>
      </c>
    </row>
    <row r="16" spans="1:19" x14ac:dyDescent="0.2">
      <c r="A16" s="905" t="s">
        <v>2562</v>
      </c>
      <c r="B16" s="5" t="s">
        <v>2563</v>
      </c>
      <c r="C16" s="910">
        <v>169986</v>
      </c>
      <c r="D16" s="910">
        <v>200000</v>
      </c>
      <c r="E16" s="908">
        <f>C16+D16</f>
        <v>369986</v>
      </c>
      <c r="F16" s="924"/>
      <c r="G16" s="926">
        <v>87875</v>
      </c>
      <c r="H16" s="926"/>
      <c r="I16" s="908">
        <f t="shared" si="4"/>
        <v>87875</v>
      </c>
      <c r="J16" s="924"/>
      <c r="K16" s="910">
        <v>63330</v>
      </c>
      <c r="L16" s="926"/>
      <c r="M16" s="908">
        <f t="shared" si="5"/>
        <v>63330</v>
      </c>
      <c r="N16" s="924"/>
      <c r="O16" s="926">
        <v>59550</v>
      </c>
      <c r="P16" s="1064"/>
      <c r="Q16" s="908">
        <f t="shared" si="6"/>
        <v>59550</v>
      </c>
      <c r="R16" s="908" t="s">
        <v>32</v>
      </c>
    </row>
    <row r="17" spans="1:18" x14ac:dyDescent="0.2">
      <c r="A17" s="905" t="s">
        <v>2306</v>
      </c>
      <c r="B17" s="5" t="s">
        <v>2798</v>
      </c>
      <c r="C17" s="910">
        <v>84992</v>
      </c>
      <c r="D17" s="910"/>
      <c r="E17" s="908">
        <f>C17+D17</f>
        <v>84992</v>
      </c>
      <c r="F17" s="924"/>
      <c r="G17" s="926">
        <v>77084</v>
      </c>
      <c r="H17" s="926"/>
      <c r="I17" s="908">
        <f t="shared" si="4"/>
        <v>77084</v>
      </c>
      <c r="J17" s="924"/>
      <c r="K17" s="910">
        <v>63330</v>
      </c>
      <c r="L17" s="926"/>
      <c r="M17" s="908">
        <f t="shared" si="5"/>
        <v>63330</v>
      </c>
      <c r="N17" s="924"/>
      <c r="O17" s="926">
        <v>39782</v>
      </c>
      <c r="P17" s="1064"/>
      <c r="Q17" s="908">
        <f t="shared" si="6"/>
        <v>39782</v>
      </c>
      <c r="R17" s="908" t="s">
        <v>12</v>
      </c>
    </row>
    <row r="18" spans="1:18" x14ac:dyDescent="0.2">
      <c r="A18" s="905">
        <v>500201710</v>
      </c>
      <c r="B18" s="5" t="s">
        <v>3222</v>
      </c>
      <c r="C18" s="910"/>
      <c r="D18" s="910"/>
      <c r="E18" s="908"/>
      <c r="F18" s="924"/>
      <c r="G18" s="926"/>
      <c r="H18" s="926"/>
      <c r="I18" s="908"/>
      <c r="J18" s="924"/>
      <c r="K18" s="926">
        <v>31665</v>
      </c>
      <c r="L18" s="926"/>
      <c r="M18" s="908">
        <f t="shared" si="5"/>
        <v>31665</v>
      </c>
      <c r="N18" s="924"/>
      <c r="O18" s="926">
        <v>37500</v>
      </c>
      <c r="P18" s="1064"/>
      <c r="Q18" s="908">
        <f t="shared" si="6"/>
        <v>37500</v>
      </c>
      <c r="R18" s="908" t="s">
        <v>12</v>
      </c>
    </row>
    <row r="19" spans="1:18" x14ac:dyDescent="0.2">
      <c r="A19" s="905" t="s">
        <v>2300</v>
      </c>
      <c r="B19" s="5" t="s">
        <v>2301</v>
      </c>
      <c r="C19" s="910">
        <v>50000</v>
      </c>
      <c r="D19" s="910"/>
      <c r="E19" s="908">
        <f>C19+D19</f>
        <v>50000</v>
      </c>
      <c r="F19" s="924"/>
      <c r="G19" s="926">
        <v>68000</v>
      </c>
      <c r="H19" s="926"/>
      <c r="I19" s="908">
        <f t="shared" si="4"/>
        <v>68000</v>
      </c>
      <c r="J19" s="924"/>
      <c r="K19" s="910">
        <v>63330</v>
      </c>
      <c r="L19" s="926"/>
      <c r="M19" s="908">
        <f t="shared" si="5"/>
        <v>63330</v>
      </c>
      <c r="N19" s="924"/>
      <c r="O19" s="926"/>
      <c r="P19" s="1064"/>
      <c r="Q19" s="908">
        <f t="shared" si="6"/>
        <v>0</v>
      </c>
      <c r="R19" s="908" t="s">
        <v>12</v>
      </c>
    </row>
    <row r="20" spans="1:18" x14ac:dyDescent="0.2">
      <c r="A20" s="905">
        <v>500201959</v>
      </c>
      <c r="B20" s="5" t="s">
        <v>3027</v>
      </c>
      <c r="C20" s="910"/>
      <c r="D20" s="910"/>
      <c r="E20" s="908"/>
      <c r="F20" s="924"/>
      <c r="G20" s="926">
        <v>69815</v>
      </c>
      <c r="H20" s="926"/>
      <c r="I20" s="908">
        <f t="shared" si="4"/>
        <v>69815</v>
      </c>
      <c r="J20" s="924"/>
      <c r="K20" s="926">
        <v>63330</v>
      </c>
      <c r="L20" s="926"/>
      <c r="M20" s="908">
        <f t="shared" si="5"/>
        <v>63330</v>
      </c>
      <c r="N20" s="924"/>
      <c r="O20" s="926">
        <f>47519+50362</f>
        <v>97881</v>
      </c>
      <c r="P20" s="1064"/>
      <c r="Q20" s="908">
        <f t="shared" si="6"/>
        <v>97881</v>
      </c>
      <c r="R20" s="908" t="s">
        <v>12</v>
      </c>
    </row>
    <row r="21" spans="1:18" x14ac:dyDescent="0.2">
      <c r="A21" s="905" t="s">
        <v>2286</v>
      </c>
      <c r="B21" s="5" t="s">
        <v>2287</v>
      </c>
      <c r="C21" s="910">
        <v>84992</v>
      </c>
      <c r="D21" s="910"/>
      <c r="E21" s="908">
        <f t="shared" ref="E21:E53" si="7">C21+D21</f>
        <v>84992</v>
      </c>
      <c r="F21" s="924"/>
      <c r="G21" s="926">
        <v>87875</v>
      </c>
      <c r="H21" s="926"/>
      <c r="I21" s="908">
        <f t="shared" si="4"/>
        <v>87875</v>
      </c>
      <c r="J21" s="924"/>
      <c r="K21" s="910">
        <v>63330</v>
      </c>
      <c r="L21" s="926"/>
      <c r="M21" s="908">
        <f t="shared" si="5"/>
        <v>63330</v>
      </c>
      <c r="N21" s="924"/>
      <c r="O21" s="926"/>
      <c r="P21" s="1064"/>
      <c r="Q21" s="908">
        <f t="shared" si="6"/>
        <v>0</v>
      </c>
      <c r="R21" s="888" t="s">
        <v>136</v>
      </c>
    </row>
    <row r="22" spans="1:18" x14ac:dyDescent="0.2">
      <c r="A22" s="905" t="s">
        <v>2564</v>
      </c>
      <c r="B22" s="5" t="s">
        <v>2565</v>
      </c>
      <c r="C22" s="910">
        <v>168300</v>
      </c>
      <c r="D22" s="910">
        <v>200000</v>
      </c>
      <c r="E22" s="908">
        <f t="shared" si="7"/>
        <v>368300</v>
      </c>
      <c r="F22" s="924"/>
      <c r="G22" s="926">
        <v>147000</v>
      </c>
      <c r="H22" s="926">
        <v>200000</v>
      </c>
      <c r="I22" s="908">
        <f t="shared" si="4"/>
        <v>347000</v>
      </c>
      <c r="J22" s="924"/>
      <c r="K22" s="910">
        <v>126660</v>
      </c>
      <c r="L22" s="910">
        <v>200000</v>
      </c>
      <c r="M22" s="908">
        <f t="shared" si="5"/>
        <v>326660</v>
      </c>
      <c r="N22" s="924"/>
      <c r="O22" s="926">
        <v>0</v>
      </c>
      <c r="P22" s="1064">
        <v>182953</v>
      </c>
      <c r="Q22" s="908">
        <f t="shared" si="6"/>
        <v>182953</v>
      </c>
      <c r="R22" s="908" t="s">
        <v>9</v>
      </c>
    </row>
    <row r="23" spans="1:18" x14ac:dyDescent="0.2">
      <c r="A23" s="905" t="s">
        <v>2566</v>
      </c>
      <c r="B23" s="5" t="s">
        <v>2567</v>
      </c>
      <c r="C23" s="910">
        <v>169986</v>
      </c>
      <c r="D23" s="910">
        <v>200000</v>
      </c>
      <c r="E23" s="908">
        <f t="shared" si="7"/>
        <v>369986</v>
      </c>
      <c r="F23" s="924"/>
      <c r="G23" s="926">
        <v>175750</v>
      </c>
      <c r="H23" s="926">
        <v>200000</v>
      </c>
      <c r="I23" s="908">
        <f t="shared" si="4"/>
        <v>375750</v>
      </c>
      <c r="J23" s="924"/>
      <c r="K23" s="910">
        <v>126660</v>
      </c>
      <c r="L23" s="926">
        <v>200000</v>
      </c>
      <c r="M23" s="908">
        <f t="shared" si="5"/>
        <v>326660</v>
      </c>
      <c r="N23" s="924"/>
      <c r="O23" s="926">
        <v>130000</v>
      </c>
      <c r="P23" s="1064">
        <v>182953</v>
      </c>
      <c r="Q23" s="908">
        <f t="shared" si="6"/>
        <v>312953</v>
      </c>
      <c r="R23" s="908" t="s">
        <v>32</v>
      </c>
    </row>
    <row r="24" spans="1:18" x14ac:dyDescent="0.2">
      <c r="A24" s="905">
        <v>500202676</v>
      </c>
      <c r="B24" s="5" t="s">
        <v>3223</v>
      </c>
      <c r="C24" s="910"/>
      <c r="D24" s="910"/>
      <c r="E24" s="908"/>
      <c r="F24" s="924"/>
      <c r="G24" s="926"/>
      <c r="H24" s="926"/>
      <c r="I24" s="908"/>
      <c r="J24" s="924"/>
      <c r="K24" s="926">
        <v>31665</v>
      </c>
      <c r="L24" s="926"/>
      <c r="M24" s="908">
        <f t="shared" si="5"/>
        <v>31665</v>
      </c>
      <c r="N24" s="924"/>
      <c r="O24" s="926"/>
      <c r="P24" s="1064"/>
      <c r="Q24" s="908">
        <f t="shared" si="6"/>
        <v>0</v>
      </c>
      <c r="R24" s="888" t="s">
        <v>136</v>
      </c>
    </row>
    <row r="25" spans="1:18" x14ac:dyDescent="0.2">
      <c r="A25" s="905">
        <v>500204664</v>
      </c>
      <c r="B25" s="5" t="s">
        <v>3228</v>
      </c>
      <c r="C25" s="910"/>
      <c r="D25" s="910"/>
      <c r="E25" s="908"/>
      <c r="F25" s="924"/>
      <c r="G25" s="926"/>
      <c r="H25" s="926"/>
      <c r="I25" s="908"/>
      <c r="J25" s="924"/>
      <c r="K25" s="910">
        <v>31665</v>
      </c>
      <c r="L25" s="926"/>
      <c r="M25" s="908">
        <f t="shared" si="5"/>
        <v>31665</v>
      </c>
      <c r="N25" s="924"/>
      <c r="O25" s="926"/>
      <c r="P25" s="1064"/>
      <c r="Q25" s="908">
        <f t="shared" si="6"/>
        <v>0</v>
      </c>
      <c r="R25" s="888" t="s">
        <v>136</v>
      </c>
    </row>
    <row r="26" spans="1:18" x14ac:dyDescent="0.2">
      <c r="A26" s="905" t="s">
        <v>2568</v>
      </c>
      <c r="B26" s="5" t="s">
        <v>2569</v>
      </c>
      <c r="C26" s="910">
        <v>112000</v>
      </c>
      <c r="D26" s="910">
        <v>115000</v>
      </c>
      <c r="E26" s="908">
        <f t="shared" si="7"/>
        <v>227000</v>
      </c>
      <c r="F26" s="924"/>
      <c r="G26" s="926">
        <v>120000</v>
      </c>
      <c r="H26" s="926">
        <v>115000</v>
      </c>
      <c r="I26" s="908">
        <f t="shared" si="4"/>
        <v>235000</v>
      </c>
      <c r="J26" s="924"/>
      <c r="K26" s="910">
        <v>126659</v>
      </c>
      <c r="L26" s="910">
        <v>115000</v>
      </c>
      <c r="M26" s="908">
        <f t="shared" si="5"/>
        <v>241659</v>
      </c>
      <c r="N26" s="924"/>
      <c r="O26" s="926">
        <v>125000</v>
      </c>
      <c r="P26" s="1064">
        <v>105198</v>
      </c>
      <c r="Q26" s="908">
        <f t="shared" si="6"/>
        <v>230198</v>
      </c>
      <c r="R26" s="908" t="s">
        <v>12</v>
      </c>
    </row>
    <row r="27" spans="1:18" x14ac:dyDescent="0.2">
      <c r="A27" s="905" t="s">
        <v>2570</v>
      </c>
      <c r="B27" s="5" t="s">
        <v>2571</v>
      </c>
      <c r="C27" s="910">
        <v>84992</v>
      </c>
      <c r="D27" s="910">
        <v>115000</v>
      </c>
      <c r="E27" s="908">
        <f t="shared" si="7"/>
        <v>199992</v>
      </c>
      <c r="F27" s="924"/>
      <c r="G27" s="926">
        <v>85000</v>
      </c>
      <c r="H27" s="926">
        <v>115000</v>
      </c>
      <c r="I27" s="908">
        <f t="shared" si="4"/>
        <v>200000</v>
      </c>
      <c r="J27" s="924"/>
      <c r="K27" s="926">
        <v>63330</v>
      </c>
      <c r="L27" s="926">
        <v>115000</v>
      </c>
      <c r="M27" s="908">
        <f t="shared" si="5"/>
        <v>178330</v>
      </c>
      <c r="N27" s="924"/>
      <c r="O27" s="926">
        <v>52500</v>
      </c>
      <c r="P27" s="1064">
        <v>105198</v>
      </c>
      <c r="Q27" s="908">
        <f t="shared" si="6"/>
        <v>157698</v>
      </c>
      <c r="R27" s="908" t="s">
        <v>12</v>
      </c>
    </row>
    <row r="28" spans="1:18" x14ac:dyDescent="0.2">
      <c r="A28" s="905" t="s">
        <v>2572</v>
      </c>
      <c r="B28" s="5" t="s">
        <v>2573</v>
      </c>
      <c r="C28" s="910">
        <v>80000</v>
      </c>
      <c r="D28" s="910">
        <v>115000</v>
      </c>
      <c r="E28" s="908">
        <f t="shared" si="7"/>
        <v>195000</v>
      </c>
      <c r="F28" s="924"/>
      <c r="G28" s="926"/>
      <c r="H28" s="926"/>
      <c r="I28" s="908">
        <f t="shared" si="4"/>
        <v>0</v>
      </c>
      <c r="J28" s="924"/>
      <c r="K28" s="910">
        <v>126660</v>
      </c>
      <c r="L28" s="926">
        <v>115000</v>
      </c>
      <c r="M28" s="908">
        <f t="shared" si="5"/>
        <v>241660</v>
      </c>
      <c r="N28" s="924"/>
      <c r="O28" s="926">
        <v>109677</v>
      </c>
      <c r="P28" s="1064">
        <v>105198</v>
      </c>
      <c r="Q28" s="908">
        <f t="shared" si="6"/>
        <v>214875</v>
      </c>
      <c r="R28" s="908" t="s">
        <v>9</v>
      </c>
    </row>
    <row r="29" spans="1:18" x14ac:dyDescent="0.2">
      <c r="A29" s="905" t="s">
        <v>2574</v>
      </c>
      <c r="B29" s="5" t="s">
        <v>2575</v>
      </c>
      <c r="C29" s="910">
        <v>145000</v>
      </c>
      <c r="D29" s="910">
        <v>115000</v>
      </c>
      <c r="E29" s="908">
        <f t="shared" si="7"/>
        <v>260000</v>
      </c>
      <c r="F29" s="924"/>
      <c r="G29" s="926">
        <v>162000</v>
      </c>
      <c r="H29" s="926">
        <v>115000</v>
      </c>
      <c r="I29" s="908">
        <f t="shared" si="4"/>
        <v>277000</v>
      </c>
      <c r="J29" s="924"/>
      <c r="K29" s="910">
        <v>126660</v>
      </c>
      <c r="L29" s="926">
        <v>115000</v>
      </c>
      <c r="M29" s="908">
        <f t="shared" si="5"/>
        <v>241660</v>
      </c>
      <c r="N29" s="924"/>
      <c r="O29" s="926">
        <v>118710</v>
      </c>
      <c r="P29" s="1064">
        <v>105198</v>
      </c>
      <c r="Q29" s="908">
        <f t="shared" si="6"/>
        <v>223908</v>
      </c>
      <c r="R29" s="908" t="s">
        <v>9</v>
      </c>
    </row>
    <row r="30" spans="1:18" x14ac:dyDescent="0.2">
      <c r="A30" s="905" t="s">
        <v>2576</v>
      </c>
      <c r="B30" s="5" t="s">
        <v>2577</v>
      </c>
      <c r="C30" s="910">
        <v>40000</v>
      </c>
      <c r="D30" s="910">
        <v>115000</v>
      </c>
      <c r="E30" s="908">
        <f t="shared" si="7"/>
        <v>155000</v>
      </c>
      <c r="F30" s="924"/>
      <c r="G30" s="926">
        <f>80000</f>
        <v>80000</v>
      </c>
      <c r="H30" s="926">
        <f>115000+57500</f>
        <v>172500</v>
      </c>
      <c r="I30" s="908">
        <f t="shared" si="4"/>
        <v>252500</v>
      </c>
      <c r="J30" s="924"/>
      <c r="K30" s="910">
        <v>126660</v>
      </c>
      <c r="L30" s="926">
        <v>115000</v>
      </c>
      <c r="M30" s="908">
        <f t="shared" si="5"/>
        <v>241660</v>
      </c>
      <c r="N30" s="924"/>
      <c r="O30" s="926">
        <v>150000</v>
      </c>
      <c r="P30" s="1064">
        <v>105198</v>
      </c>
      <c r="Q30" s="908">
        <f t="shared" si="6"/>
        <v>255198</v>
      </c>
      <c r="R30" s="908" t="s">
        <v>9</v>
      </c>
    </row>
    <row r="31" spans="1:18" x14ac:dyDescent="0.2">
      <c r="A31" s="905" t="s">
        <v>2578</v>
      </c>
      <c r="B31" s="5" t="s">
        <v>2579</v>
      </c>
      <c r="C31" s="910">
        <v>169985</v>
      </c>
      <c r="D31" s="910">
        <v>200000</v>
      </c>
      <c r="E31" s="908">
        <f t="shared" si="7"/>
        <v>369985</v>
      </c>
      <c r="F31" s="924"/>
      <c r="G31" s="926">
        <v>169985</v>
      </c>
      <c r="H31" s="926">
        <v>200000</v>
      </c>
      <c r="I31" s="908">
        <f t="shared" si="4"/>
        <v>369985</v>
      </c>
      <c r="J31" s="924"/>
      <c r="K31" s="910">
        <v>126660</v>
      </c>
      <c r="L31" s="926">
        <v>200000</v>
      </c>
      <c r="M31" s="908">
        <f t="shared" si="5"/>
        <v>326660</v>
      </c>
      <c r="N31" s="924"/>
      <c r="O31" s="926">
        <v>169985</v>
      </c>
      <c r="P31" s="1064">
        <v>182953</v>
      </c>
      <c r="Q31" s="908">
        <f t="shared" si="6"/>
        <v>352938</v>
      </c>
      <c r="R31" s="908" t="s">
        <v>9</v>
      </c>
    </row>
    <row r="32" spans="1:18" x14ac:dyDescent="0.2">
      <c r="A32" s="905" t="s">
        <v>2580</v>
      </c>
      <c r="B32" s="855" t="s">
        <v>2581</v>
      </c>
      <c r="C32" s="910"/>
      <c r="D32" s="910">
        <v>115000</v>
      </c>
      <c r="E32" s="908">
        <f t="shared" si="7"/>
        <v>115000</v>
      </c>
      <c r="F32" s="924"/>
      <c r="G32" s="926"/>
      <c r="H32" s="926">
        <v>57500</v>
      </c>
      <c r="I32" s="908">
        <f t="shared" si="4"/>
        <v>57500</v>
      </c>
      <c r="J32" s="924"/>
      <c r="K32" s="910">
        <v>62600</v>
      </c>
      <c r="L32" s="910">
        <v>115000</v>
      </c>
      <c r="M32" s="908">
        <f t="shared" si="5"/>
        <v>177600</v>
      </c>
      <c r="N32" s="924"/>
      <c r="O32" s="926">
        <v>60300</v>
      </c>
      <c r="P32" s="1064">
        <v>105198</v>
      </c>
      <c r="Q32" s="908">
        <f t="shared" si="6"/>
        <v>165498</v>
      </c>
      <c r="R32" s="908" t="s">
        <v>9</v>
      </c>
    </row>
    <row r="33" spans="1:20" x14ac:dyDescent="0.2">
      <c r="A33" s="905" t="s">
        <v>2582</v>
      </c>
      <c r="B33" s="855" t="s">
        <v>2583</v>
      </c>
      <c r="C33" s="910"/>
      <c r="D33" s="910">
        <v>115000</v>
      </c>
      <c r="E33" s="908">
        <f t="shared" si="7"/>
        <v>115000</v>
      </c>
      <c r="F33" s="924"/>
      <c r="G33" s="926">
        <v>87874</v>
      </c>
      <c r="H33" s="926">
        <v>115000</v>
      </c>
      <c r="I33" s="908">
        <f t="shared" si="4"/>
        <v>202874</v>
      </c>
      <c r="J33" s="924"/>
      <c r="K33" s="926">
        <v>63330</v>
      </c>
      <c r="L33" s="926">
        <v>115000</v>
      </c>
      <c r="M33" s="908">
        <f t="shared" si="5"/>
        <v>178330</v>
      </c>
      <c r="N33" s="924"/>
      <c r="O33" s="926">
        <v>90000</v>
      </c>
      <c r="P33" s="1064">
        <v>105198</v>
      </c>
      <c r="Q33" s="908">
        <f t="shared" si="6"/>
        <v>195198</v>
      </c>
      <c r="R33" s="908" t="s">
        <v>9</v>
      </c>
    </row>
    <row r="34" spans="1:20" x14ac:dyDescent="0.2">
      <c r="A34" s="905" t="s">
        <v>2584</v>
      </c>
      <c r="B34" s="5" t="s">
        <v>2585</v>
      </c>
      <c r="C34" s="910">
        <v>84992</v>
      </c>
      <c r="D34" s="910">
        <v>115000</v>
      </c>
      <c r="E34" s="908">
        <f t="shared" si="7"/>
        <v>199992</v>
      </c>
      <c r="F34" s="924"/>
      <c r="G34" s="926">
        <v>87875</v>
      </c>
      <c r="H34" s="926"/>
      <c r="I34" s="908">
        <f t="shared" si="4"/>
        <v>87875</v>
      </c>
      <c r="J34" s="924"/>
      <c r="K34" s="910">
        <v>63330</v>
      </c>
      <c r="L34" s="910">
        <v>115000</v>
      </c>
      <c r="M34" s="908">
        <f t="shared" si="5"/>
        <v>178330</v>
      </c>
      <c r="N34" s="924"/>
      <c r="O34" s="926">
        <v>38790</v>
      </c>
      <c r="P34" s="1064">
        <v>0</v>
      </c>
      <c r="Q34" s="908">
        <f t="shared" si="6"/>
        <v>38790</v>
      </c>
      <c r="R34" s="908" t="s">
        <v>9</v>
      </c>
    </row>
    <row r="35" spans="1:20" x14ac:dyDescent="0.2">
      <c r="A35" s="905" t="s">
        <v>2881</v>
      </c>
      <c r="B35" s="5" t="s">
        <v>2882</v>
      </c>
      <c r="C35" s="910">
        <v>70000</v>
      </c>
      <c r="D35" s="910"/>
      <c r="E35" s="908">
        <f t="shared" si="7"/>
        <v>70000</v>
      </c>
      <c r="F35" s="924"/>
      <c r="G35" s="926">
        <v>81000</v>
      </c>
      <c r="H35" s="926">
        <v>70000</v>
      </c>
      <c r="I35" s="908">
        <f t="shared" si="4"/>
        <v>151000</v>
      </c>
      <c r="J35" s="924"/>
      <c r="K35" s="926">
        <v>63330</v>
      </c>
      <c r="L35" s="926">
        <v>70000</v>
      </c>
      <c r="M35" s="908">
        <f t="shared" si="5"/>
        <v>133330</v>
      </c>
      <c r="N35" s="924"/>
      <c r="O35" s="926"/>
      <c r="P35" s="1064">
        <v>64034</v>
      </c>
      <c r="Q35" s="908">
        <f t="shared" si="6"/>
        <v>64034</v>
      </c>
      <c r="R35" s="908" t="s">
        <v>9</v>
      </c>
    </row>
    <row r="36" spans="1:20" x14ac:dyDescent="0.2">
      <c r="A36" s="905" t="s">
        <v>2586</v>
      </c>
      <c r="B36" s="5" t="s">
        <v>2587</v>
      </c>
      <c r="C36" s="910">
        <v>34600</v>
      </c>
      <c r="D36" s="910">
        <v>115000</v>
      </c>
      <c r="E36" s="908">
        <f t="shared" si="7"/>
        <v>149600</v>
      </c>
      <c r="F36" s="924"/>
      <c r="G36" s="926">
        <v>70000</v>
      </c>
      <c r="H36" s="926">
        <v>115000</v>
      </c>
      <c r="I36" s="908">
        <f t="shared" si="4"/>
        <v>185000</v>
      </c>
      <c r="J36" s="924"/>
      <c r="K36" s="926">
        <v>63330</v>
      </c>
      <c r="L36" s="910">
        <v>115000</v>
      </c>
      <c r="M36" s="908">
        <f t="shared" si="5"/>
        <v>178330</v>
      </c>
      <c r="N36" s="924"/>
      <c r="O36" s="926">
        <v>97881</v>
      </c>
      <c r="P36" s="1064">
        <v>105198</v>
      </c>
      <c r="Q36" s="908">
        <f t="shared" si="6"/>
        <v>203079</v>
      </c>
      <c r="R36" s="908" t="s">
        <v>9</v>
      </c>
    </row>
    <row r="37" spans="1:20" x14ac:dyDescent="0.2">
      <c r="A37" s="905" t="s">
        <v>2323</v>
      </c>
      <c r="B37" s="5" t="s">
        <v>2588</v>
      </c>
      <c r="C37" s="910">
        <v>75000</v>
      </c>
      <c r="D37" s="910">
        <v>115000</v>
      </c>
      <c r="E37" s="908">
        <f t="shared" si="7"/>
        <v>190000</v>
      </c>
      <c r="F37" s="924"/>
      <c r="G37" s="926">
        <v>67500</v>
      </c>
      <c r="H37" s="926">
        <v>115000</v>
      </c>
      <c r="I37" s="908">
        <f t="shared" si="4"/>
        <v>182500</v>
      </c>
      <c r="J37" s="924"/>
      <c r="K37" s="910">
        <v>67500</v>
      </c>
      <c r="L37" s="910">
        <v>115000</v>
      </c>
      <c r="M37" s="908">
        <f t="shared" si="5"/>
        <v>182500</v>
      </c>
      <c r="N37" s="924"/>
      <c r="O37" s="926">
        <v>62370</v>
      </c>
      <c r="P37" s="1064">
        <v>105198</v>
      </c>
      <c r="Q37" s="908">
        <f t="shared" si="6"/>
        <v>167568</v>
      </c>
      <c r="R37" s="908" t="s">
        <v>9</v>
      </c>
    </row>
    <row r="38" spans="1:20" x14ac:dyDescent="0.2">
      <c r="A38" s="905" t="s">
        <v>2589</v>
      </c>
      <c r="B38" s="5" t="s">
        <v>2590</v>
      </c>
      <c r="C38" s="910">
        <v>84992</v>
      </c>
      <c r="D38" s="910">
        <v>107100</v>
      </c>
      <c r="E38" s="908">
        <f t="shared" si="7"/>
        <v>192092</v>
      </c>
      <c r="F38" s="924"/>
      <c r="G38" s="926">
        <v>43200</v>
      </c>
      <c r="H38" s="926">
        <v>103500</v>
      </c>
      <c r="I38" s="908">
        <f t="shared" si="4"/>
        <v>146700</v>
      </c>
      <c r="J38" s="924"/>
      <c r="K38" s="910">
        <v>63330</v>
      </c>
      <c r="L38" s="910">
        <v>115000</v>
      </c>
      <c r="M38" s="908">
        <f t="shared" si="5"/>
        <v>178330</v>
      </c>
      <c r="N38" s="924"/>
      <c r="O38" s="926">
        <v>53550</v>
      </c>
      <c r="P38" s="1064"/>
      <c r="Q38" s="908">
        <f t="shared" si="6"/>
        <v>53550</v>
      </c>
      <c r="R38" s="908" t="s">
        <v>9</v>
      </c>
    </row>
    <row r="39" spans="1:20" x14ac:dyDescent="0.2">
      <c r="A39" s="905" t="s">
        <v>2591</v>
      </c>
      <c r="B39" s="5" t="s">
        <v>2592</v>
      </c>
      <c r="C39" s="910">
        <v>41500</v>
      </c>
      <c r="D39" s="910">
        <v>115000</v>
      </c>
      <c r="E39" s="908">
        <f t="shared" si="7"/>
        <v>156500</v>
      </c>
      <c r="F39" s="924">
        <v>56700</v>
      </c>
      <c r="G39" s="926">
        <v>56700</v>
      </c>
      <c r="H39" s="926">
        <v>115000</v>
      </c>
      <c r="I39" s="908">
        <f t="shared" si="4"/>
        <v>171700</v>
      </c>
      <c r="J39" s="924">
        <v>56700</v>
      </c>
      <c r="K39" s="910">
        <v>117000</v>
      </c>
      <c r="L39" s="926">
        <v>115000</v>
      </c>
      <c r="M39" s="908">
        <f t="shared" si="5"/>
        <v>232000</v>
      </c>
      <c r="N39" s="924">
        <v>56700</v>
      </c>
      <c r="O39" s="926">
        <v>102610</v>
      </c>
      <c r="P39" s="1064">
        <v>0</v>
      </c>
      <c r="Q39" s="908">
        <f t="shared" si="6"/>
        <v>102610</v>
      </c>
      <c r="R39" s="908" t="s">
        <v>9</v>
      </c>
    </row>
    <row r="40" spans="1:20" x14ac:dyDescent="0.2">
      <c r="A40" s="905" t="s">
        <v>2823</v>
      </c>
      <c r="B40" s="5" t="s">
        <v>2824</v>
      </c>
      <c r="C40" s="910">
        <v>60000</v>
      </c>
      <c r="D40" s="910"/>
      <c r="E40" s="908">
        <f t="shared" si="7"/>
        <v>60000</v>
      </c>
      <c r="F40" s="924"/>
      <c r="G40" s="926">
        <v>80000</v>
      </c>
      <c r="H40" s="926">
        <v>115000</v>
      </c>
      <c r="I40" s="908">
        <f t="shared" si="4"/>
        <v>195000</v>
      </c>
      <c r="J40" s="924"/>
      <c r="K40" s="910">
        <v>63330</v>
      </c>
      <c r="L40" s="926">
        <v>115000</v>
      </c>
      <c r="M40" s="908">
        <f t="shared" si="5"/>
        <v>178330</v>
      </c>
      <c r="N40" s="924"/>
      <c r="O40" s="926">
        <v>0</v>
      </c>
      <c r="P40" s="1064"/>
      <c r="Q40" s="908">
        <f t="shared" si="6"/>
        <v>0</v>
      </c>
      <c r="R40" s="908" t="s">
        <v>9</v>
      </c>
    </row>
    <row r="41" spans="1:20" x14ac:dyDescent="0.2">
      <c r="A41" s="905" t="s">
        <v>2593</v>
      </c>
      <c r="B41" s="5" t="s">
        <v>2594</v>
      </c>
      <c r="C41" s="910">
        <v>167550</v>
      </c>
      <c r="D41" s="910">
        <v>90000</v>
      </c>
      <c r="E41" s="908">
        <f t="shared" si="7"/>
        <v>257550</v>
      </c>
      <c r="F41" s="924"/>
      <c r="G41" s="926">
        <v>175750</v>
      </c>
      <c r="H41" s="926">
        <v>115000</v>
      </c>
      <c r="I41" s="908">
        <f t="shared" si="4"/>
        <v>290750</v>
      </c>
      <c r="J41" s="924"/>
      <c r="K41" s="926">
        <v>126660</v>
      </c>
      <c r="L41" s="926">
        <v>115000</v>
      </c>
      <c r="M41" s="908">
        <f t="shared" si="5"/>
        <v>241660</v>
      </c>
      <c r="N41" s="924"/>
      <c r="O41" s="926">
        <v>180883</v>
      </c>
      <c r="P41" s="1064">
        <v>105198</v>
      </c>
      <c r="Q41" s="908">
        <f t="shared" si="6"/>
        <v>286081</v>
      </c>
      <c r="R41" s="908" t="s">
        <v>9</v>
      </c>
    </row>
    <row r="42" spans="1:20" x14ac:dyDescent="0.2">
      <c r="A42" s="905" t="s">
        <v>2595</v>
      </c>
      <c r="B42" s="5" t="s">
        <v>2596</v>
      </c>
      <c r="C42" s="910">
        <v>103500</v>
      </c>
      <c r="D42" s="910">
        <v>115000</v>
      </c>
      <c r="E42" s="908">
        <f t="shared" si="7"/>
        <v>218500</v>
      </c>
      <c r="F42" s="924"/>
      <c r="G42" s="926">
        <v>175750</v>
      </c>
      <c r="H42" s="926">
        <v>115000</v>
      </c>
      <c r="I42" s="908">
        <f t="shared" si="4"/>
        <v>290750</v>
      </c>
      <c r="J42" s="924"/>
      <c r="K42" s="910">
        <v>126659</v>
      </c>
      <c r="L42" s="926">
        <v>115000</v>
      </c>
      <c r="M42" s="908">
        <f t="shared" si="5"/>
        <v>241659</v>
      </c>
      <c r="N42" s="924"/>
      <c r="O42" s="926">
        <v>120143</v>
      </c>
      <c r="P42" s="1064">
        <v>105198</v>
      </c>
      <c r="Q42" s="908">
        <f t="shared" si="6"/>
        <v>225341</v>
      </c>
      <c r="R42" s="908" t="s">
        <v>9</v>
      </c>
    </row>
    <row r="43" spans="1:20" x14ac:dyDescent="0.2">
      <c r="A43" s="905" t="s">
        <v>2597</v>
      </c>
      <c r="B43" s="5" t="s">
        <v>2598</v>
      </c>
      <c r="C43" s="910">
        <v>97000</v>
      </c>
      <c r="D43" s="910">
        <v>115000</v>
      </c>
      <c r="E43" s="908">
        <f t="shared" si="7"/>
        <v>212000</v>
      </c>
      <c r="F43" s="924"/>
      <c r="G43" s="926">
        <v>125000</v>
      </c>
      <c r="H43" s="926">
        <v>115000</v>
      </c>
      <c r="I43" s="908">
        <f t="shared" si="4"/>
        <v>240000</v>
      </c>
      <c r="J43" s="924"/>
      <c r="K43" s="926">
        <v>126660</v>
      </c>
      <c r="L43" s="926">
        <v>115000</v>
      </c>
      <c r="M43" s="908">
        <f t="shared" si="5"/>
        <v>241660</v>
      </c>
      <c r="N43" s="924"/>
      <c r="O43" s="926">
        <v>101300</v>
      </c>
      <c r="P43" s="1064">
        <v>105198</v>
      </c>
      <c r="Q43" s="908">
        <f t="shared" si="6"/>
        <v>206498</v>
      </c>
      <c r="R43" s="908" t="s">
        <v>9</v>
      </c>
      <c r="T43" s="835"/>
    </row>
    <row r="44" spans="1:20" x14ac:dyDescent="0.2">
      <c r="A44" s="905" t="s">
        <v>2599</v>
      </c>
      <c r="B44" s="5" t="s">
        <v>2600</v>
      </c>
      <c r="C44" s="910">
        <v>169986</v>
      </c>
      <c r="D44" s="910">
        <v>115000</v>
      </c>
      <c r="E44" s="908">
        <f t="shared" si="7"/>
        <v>284986</v>
      </c>
      <c r="F44" s="924"/>
      <c r="G44" s="926">
        <v>175750</v>
      </c>
      <c r="H44" s="926">
        <v>115000</v>
      </c>
      <c r="I44" s="908">
        <f t="shared" si="4"/>
        <v>290750</v>
      </c>
      <c r="J44" s="924"/>
      <c r="K44" s="926">
        <v>126660</v>
      </c>
      <c r="L44" s="910">
        <v>115000</v>
      </c>
      <c r="M44" s="908">
        <f t="shared" si="5"/>
        <v>241660</v>
      </c>
      <c r="N44" s="924"/>
      <c r="O44" s="926">
        <v>109677</v>
      </c>
      <c r="P44" s="1064">
        <v>105198</v>
      </c>
      <c r="Q44" s="908">
        <f t="shared" si="6"/>
        <v>214875</v>
      </c>
      <c r="R44" s="908" t="s">
        <v>9</v>
      </c>
    </row>
    <row r="45" spans="1:20" x14ac:dyDescent="0.2">
      <c r="A45" s="905">
        <v>500205059</v>
      </c>
      <c r="B45" s="907" t="s">
        <v>2891</v>
      </c>
      <c r="C45" s="910"/>
      <c r="D45" s="910">
        <v>70000</v>
      </c>
      <c r="E45" s="908">
        <f t="shared" si="7"/>
        <v>70000</v>
      </c>
      <c r="F45" s="924"/>
      <c r="G45" s="926">
        <v>85000</v>
      </c>
      <c r="H45" s="926">
        <v>70000</v>
      </c>
      <c r="I45" s="908">
        <f t="shared" si="4"/>
        <v>155000</v>
      </c>
      <c r="J45" s="924"/>
      <c r="K45" s="926">
        <v>63330</v>
      </c>
      <c r="L45" s="910">
        <v>70000</v>
      </c>
      <c r="M45" s="908">
        <f t="shared" si="5"/>
        <v>133330</v>
      </c>
      <c r="N45" s="924"/>
      <c r="O45" s="926">
        <v>0</v>
      </c>
      <c r="P45" s="1064">
        <v>64034</v>
      </c>
      <c r="Q45" s="908">
        <f t="shared" si="6"/>
        <v>64034</v>
      </c>
      <c r="R45" s="908" t="s">
        <v>9</v>
      </c>
    </row>
    <row r="46" spans="1:20" x14ac:dyDescent="0.2">
      <c r="A46" s="905">
        <v>500205075</v>
      </c>
      <c r="B46" s="907" t="s">
        <v>2892</v>
      </c>
      <c r="C46" s="910"/>
      <c r="D46" s="910">
        <v>115000</v>
      </c>
      <c r="E46" s="908">
        <f t="shared" si="7"/>
        <v>115000</v>
      </c>
      <c r="F46" s="924"/>
      <c r="G46" s="926">
        <v>49500</v>
      </c>
      <c r="H46" s="926">
        <v>57500</v>
      </c>
      <c r="I46" s="908">
        <f t="shared" si="4"/>
        <v>107000</v>
      </c>
      <c r="J46" s="924"/>
      <c r="K46" s="910">
        <v>63330</v>
      </c>
      <c r="L46" s="910">
        <v>115000</v>
      </c>
      <c r="M46" s="908">
        <f t="shared" si="5"/>
        <v>178330</v>
      </c>
      <c r="N46" s="924"/>
      <c r="O46" s="926">
        <v>70000</v>
      </c>
      <c r="P46" s="1064">
        <v>105198</v>
      </c>
      <c r="Q46" s="908">
        <f t="shared" si="6"/>
        <v>175198</v>
      </c>
      <c r="R46" s="908" t="s">
        <v>9</v>
      </c>
    </row>
    <row r="47" spans="1:20" x14ac:dyDescent="0.2">
      <c r="A47" s="905" t="s">
        <v>2601</v>
      </c>
      <c r="B47" s="5" t="s">
        <v>2602</v>
      </c>
      <c r="C47" s="910">
        <v>84992</v>
      </c>
      <c r="D47" s="910">
        <v>70000</v>
      </c>
      <c r="E47" s="908">
        <f t="shared" si="7"/>
        <v>154992</v>
      </c>
      <c r="F47" s="924"/>
      <c r="G47" s="926">
        <v>87875</v>
      </c>
      <c r="H47" s="926">
        <v>70000</v>
      </c>
      <c r="I47" s="908">
        <f t="shared" si="4"/>
        <v>157875</v>
      </c>
      <c r="J47" s="924"/>
      <c r="K47" s="910">
        <v>63330</v>
      </c>
      <c r="L47" s="910">
        <v>70000</v>
      </c>
      <c r="M47" s="908">
        <f t="shared" si="5"/>
        <v>133330</v>
      </c>
      <c r="N47" s="924"/>
      <c r="O47" s="926">
        <v>58727</v>
      </c>
      <c r="P47" s="1064">
        <v>64034</v>
      </c>
      <c r="Q47" s="908">
        <f t="shared" si="6"/>
        <v>122761</v>
      </c>
      <c r="R47" s="908" t="s">
        <v>9</v>
      </c>
    </row>
    <row r="48" spans="1:20" x14ac:dyDescent="0.2">
      <c r="A48" s="905" t="s">
        <v>2831</v>
      </c>
      <c r="B48" s="5" t="s">
        <v>2832</v>
      </c>
      <c r="C48" s="910">
        <v>120000</v>
      </c>
      <c r="D48" s="910"/>
      <c r="E48" s="908">
        <f t="shared" si="7"/>
        <v>120000</v>
      </c>
      <c r="F48" s="924"/>
      <c r="G48" s="926">
        <v>175750</v>
      </c>
      <c r="H48" s="926">
        <v>200000</v>
      </c>
      <c r="I48" s="908">
        <f t="shared" si="4"/>
        <v>375750</v>
      </c>
      <c r="J48" s="924"/>
      <c r="K48" s="910">
        <v>120000</v>
      </c>
      <c r="L48" s="910">
        <v>200000</v>
      </c>
      <c r="M48" s="908">
        <f t="shared" si="5"/>
        <v>320000</v>
      </c>
      <c r="N48" s="924"/>
      <c r="O48" s="926">
        <v>84997</v>
      </c>
      <c r="P48" s="1064">
        <v>0</v>
      </c>
      <c r="Q48" s="908">
        <f t="shared" si="6"/>
        <v>84997</v>
      </c>
      <c r="R48" s="908" t="s">
        <v>9</v>
      </c>
    </row>
    <row r="49" spans="1:18" x14ac:dyDescent="0.2">
      <c r="A49" s="905" t="s">
        <v>2841</v>
      </c>
      <c r="B49" s="5" t="s">
        <v>2842</v>
      </c>
      <c r="C49" s="910">
        <v>135000</v>
      </c>
      <c r="D49" s="910"/>
      <c r="E49" s="908">
        <f t="shared" si="7"/>
        <v>135000</v>
      </c>
      <c r="F49" s="924"/>
      <c r="G49" s="926">
        <v>137700</v>
      </c>
      <c r="H49" s="926">
        <v>115000</v>
      </c>
      <c r="I49" s="908">
        <f t="shared" si="4"/>
        <v>252700</v>
      </c>
      <c r="J49" s="924"/>
      <c r="K49" s="910">
        <v>126660</v>
      </c>
      <c r="L49" s="910">
        <v>115000</v>
      </c>
      <c r="M49" s="908">
        <f t="shared" si="5"/>
        <v>241660</v>
      </c>
      <c r="N49" s="924"/>
      <c r="O49" s="926">
        <v>194395</v>
      </c>
      <c r="P49" s="1064">
        <v>105198</v>
      </c>
      <c r="Q49" s="908">
        <f t="shared" si="6"/>
        <v>299593</v>
      </c>
      <c r="R49" s="908" t="s">
        <v>9</v>
      </c>
    </row>
    <row r="50" spans="1:18" x14ac:dyDescent="0.2">
      <c r="A50" s="905" t="s">
        <v>2603</v>
      </c>
      <c r="B50" s="5" t="s">
        <v>2604</v>
      </c>
      <c r="C50" s="910">
        <v>84992</v>
      </c>
      <c r="D50" s="910">
        <v>115000</v>
      </c>
      <c r="E50" s="908">
        <f t="shared" si="7"/>
        <v>199992</v>
      </c>
      <c r="F50" s="924"/>
      <c r="G50" s="926">
        <v>87875</v>
      </c>
      <c r="H50" s="926">
        <v>115000</v>
      </c>
      <c r="I50" s="908">
        <f t="shared" si="4"/>
        <v>202875</v>
      </c>
      <c r="J50" s="924"/>
      <c r="K50" s="926">
        <v>50000</v>
      </c>
      <c r="L50" s="910">
        <v>115000</v>
      </c>
      <c r="M50" s="908">
        <f t="shared" si="5"/>
        <v>165000</v>
      </c>
      <c r="N50" s="924"/>
      <c r="O50" s="926">
        <v>54839</v>
      </c>
      <c r="P50" s="1064">
        <v>105198</v>
      </c>
      <c r="Q50" s="908">
        <f t="shared" si="6"/>
        <v>160037</v>
      </c>
      <c r="R50" s="908" t="s">
        <v>9</v>
      </c>
    </row>
    <row r="51" spans="1:18" x14ac:dyDescent="0.2">
      <c r="A51" s="905" t="s">
        <v>2605</v>
      </c>
      <c r="B51" s="5" t="s">
        <v>2606</v>
      </c>
      <c r="C51" s="910">
        <v>169985</v>
      </c>
      <c r="D51" s="910">
        <v>115000</v>
      </c>
      <c r="E51" s="908">
        <f t="shared" si="7"/>
        <v>284985</v>
      </c>
      <c r="F51" s="924"/>
      <c r="G51" s="926">
        <v>175750</v>
      </c>
      <c r="H51" s="926">
        <v>115000</v>
      </c>
      <c r="I51" s="908">
        <f t="shared" si="4"/>
        <v>290750</v>
      </c>
      <c r="J51" s="924"/>
      <c r="K51" s="926">
        <v>126659</v>
      </c>
      <c r="L51" s="910">
        <v>115000</v>
      </c>
      <c r="M51" s="908">
        <f t="shared" si="5"/>
        <v>241659</v>
      </c>
      <c r="N51" s="924"/>
      <c r="O51" s="926">
        <v>141556</v>
      </c>
      <c r="P51" s="1064">
        <v>105198</v>
      </c>
      <c r="Q51" s="908">
        <f t="shared" si="6"/>
        <v>246754</v>
      </c>
      <c r="R51" s="908" t="s">
        <v>9</v>
      </c>
    </row>
    <row r="52" spans="1:18" x14ac:dyDescent="0.2">
      <c r="A52" s="905" t="s">
        <v>2607</v>
      </c>
      <c r="B52" s="5" t="s">
        <v>2608</v>
      </c>
      <c r="C52" s="910">
        <v>84992</v>
      </c>
      <c r="D52" s="910">
        <v>70000</v>
      </c>
      <c r="E52" s="908">
        <f t="shared" si="7"/>
        <v>154992</v>
      </c>
      <c r="F52" s="924"/>
      <c r="G52" s="926">
        <v>87875</v>
      </c>
      <c r="H52" s="926">
        <v>70000</v>
      </c>
      <c r="I52" s="908">
        <f t="shared" si="4"/>
        <v>157875</v>
      </c>
      <c r="J52" s="924"/>
      <c r="K52" s="910">
        <v>63330</v>
      </c>
      <c r="L52" s="910">
        <v>70000</v>
      </c>
      <c r="M52" s="908">
        <f t="shared" si="5"/>
        <v>133330</v>
      </c>
      <c r="N52" s="924"/>
      <c r="O52" s="926">
        <v>60284</v>
      </c>
      <c r="P52" s="1064">
        <v>64034</v>
      </c>
      <c r="Q52" s="908">
        <f t="shared" si="6"/>
        <v>124318</v>
      </c>
      <c r="R52" s="908" t="s">
        <v>9</v>
      </c>
    </row>
    <row r="53" spans="1:18" x14ac:dyDescent="0.2">
      <c r="A53" s="905" t="s">
        <v>2609</v>
      </c>
      <c r="B53" s="5" t="s">
        <v>2610</v>
      </c>
      <c r="C53" s="910">
        <v>84992</v>
      </c>
      <c r="D53" s="910">
        <v>70000</v>
      </c>
      <c r="E53" s="908">
        <f t="shared" si="7"/>
        <v>154992</v>
      </c>
      <c r="F53" s="924"/>
      <c r="G53" s="926">
        <v>87876</v>
      </c>
      <c r="H53" s="926">
        <v>70000</v>
      </c>
      <c r="I53" s="908">
        <f t="shared" si="4"/>
        <v>157876</v>
      </c>
      <c r="J53" s="924"/>
      <c r="K53" s="910">
        <v>63330</v>
      </c>
      <c r="L53" s="926">
        <v>70000</v>
      </c>
      <c r="M53" s="908">
        <f t="shared" si="5"/>
        <v>133330</v>
      </c>
      <c r="N53" s="924"/>
      <c r="O53" s="926">
        <v>60300</v>
      </c>
      <c r="P53" s="1064">
        <v>64034</v>
      </c>
      <c r="Q53" s="908">
        <f t="shared" si="6"/>
        <v>124334</v>
      </c>
      <c r="R53" s="908" t="s">
        <v>9</v>
      </c>
    </row>
    <row r="54" spans="1:18" x14ac:dyDescent="0.2">
      <c r="A54" s="905">
        <v>500205208</v>
      </c>
      <c r="B54" s="907" t="s">
        <v>3018</v>
      </c>
      <c r="C54" s="910"/>
      <c r="D54" s="910"/>
      <c r="E54" s="908"/>
      <c r="F54" s="924"/>
      <c r="G54" s="926"/>
      <c r="H54" s="926">
        <v>115000</v>
      </c>
      <c r="I54" s="908">
        <f t="shared" si="4"/>
        <v>115000</v>
      </c>
      <c r="J54" s="924"/>
      <c r="K54" s="910">
        <v>63330</v>
      </c>
      <c r="L54" s="926">
        <v>115000</v>
      </c>
      <c r="M54" s="908">
        <f t="shared" si="5"/>
        <v>178330</v>
      </c>
      <c r="N54" s="924"/>
      <c r="O54" s="926">
        <v>57600</v>
      </c>
      <c r="P54" s="1064">
        <v>105198</v>
      </c>
      <c r="Q54" s="908">
        <f t="shared" si="6"/>
        <v>162798</v>
      </c>
      <c r="R54" s="908" t="s">
        <v>9</v>
      </c>
    </row>
    <row r="55" spans="1:18" x14ac:dyDescent="0.2">
      <c r="A55" s="905" t="s">
        <v>2611</v>
      </c>
      <c r="B55" s="5" t="s">
        <v>2612</v>
      </c>
      <c r="C55" s="910">
        <v>169985</v>
      </c>
      <c r="D55" s="910">
        <v>115000</v>
      </c>
      <c r="E55" s="908">
        <f t="shared" ref="E55:E63" si="8">C55+D55</f>
        <v>284985</v>
      </c>
      <c r="F55" s="924"/>
      <c r="G55" s="926">
        <v>175750</v>
      </c>
      <c r="H55" s="926">
        <v>114500</v>
      </c>
      <c r="I55" s="908">
        <f t="shared" si="4"/>
        <v>290250</v>
      </c>
      <c r="J55" s="924"/>
      <c r="K55" s="910">
        <v>126660</v>
      </c>
      <c r="L55" s="926">
        <v>115000</v>
      </c>
      <c r="M55" s="908">
        <f t="shared" si="5"/>
        <v>241660</v>
      </c>
      <c r="N55" s="924"/>
      <c r="O55" s="926">
        <v>0</v>
      </c>
      <c r="P55" s="1064">
        <v>105198</v>
      </c>
      <c r="Q55" s="908">
        <f t="shared" si="6"/>
        <v>105198</v>
      </c>
      <c r="R55" s="908" t="s">
        <v>9</v>
      </c>
    </row>
    <row r="56" spans="1:18" x14ac:dyDescent="0.2">
      <c r="A56" s="905" t="s">
        <v>2613</v>
      </c>
      <c r="B56" s="5" t="s">
        <v>2614</v>
      </c>
      <c r="C56" s="910">
        <v>84992</v>
      </c>
      <c r="D56" s="910">
        <v>70000</v>
      </c>
      <c r="E56" s="908">
        <f t="shared" si="8"/>
        <v>154992</v>
      </c>
      <c r="F56" s="924"/>
      <c r="G56" s="926">
        <v>87874</v>
      </c>
      <c r="H56" s="926">
        <v>35000</v>
      </c>
      <c r="I56" s="908">
        <f t="shared" si="4"/>
        <v>122874</v>
      </c>
      <c r="J56" s="924"/>
      <c r="K56" s="910">
        <v>63330</v>
      </c>
      <c r="L56" s="910">
        <v>70000</v>
      </c>
      <c r="M56" s="908">
        <f t="shared" si="5"/>
        <v>133330</v>
      </c>
      <c r="N56" s="924"/>
      <c r="O56" s="926">
        <v>36000</v>
      </c>
      <c r="P56" s="1064">
        <v>64034</v>
      </c>
      <c r="Q56" s="908">
        <f t="shared" si="6"/>
        <v>100034</v>
      </c>
      <c r="R56" s="908" t="s">
        <v>9</v>
      </c>
    </row>
    <row r="57" spans="1:18" x14ac:dyDescent="0.2">
      <c r="A57" s="905" t="s">
        <v>2819</v>
      </c>
      <c r="B57" s="5" t="s">
        <v>2820</v>
      </c>
      <c r="C57" s="910">
        <v>169985</v>
      </c>
      <c r="D57" s="910"/>
      <c r="E57" s="908">
        <f t="shared" si="8"/>
        <v>169985</v>
      </c>
      <c r="F57" s="924"/>
      <c r="G57" s="926"/>
      <c r="H57" s="926"/>
      <c r="I57" s="908">
        <f t="shared" si="4"/>
        <v>0</v>
      </c>
      <c r="J57" s="924"/>
      <c r="K57" s="926"/>
      <c r="L57" s="926"/>
      <c r="M57" s="908">
        <f t="shared" si="5"/>
        <v>0</v>
      </c>
      <c r="N57" s="924"/>
      <c r="O57" s="926">
        <v>120586</v>
      </c>
      <c r="P57" s="1064">
        <v>105198</v>
      </c>
      <c r="Q57" s="908">
        <f t="shared" si="6"/>
        <v>225784</v>
      </c>
      <c r="R57" s="908" t="s">
        <v>9</v>
      </c>
    </row>
    <row r="58" spans="1:18" x14ac:dyDescent="0.2">
      <c r="A58" s="905" t="s">
        <v>2615</v>
      </c>
      <c r="B58" s="5" t="s">
        <v>2616</v>
      </c>
      <c r="C58" s="910">
        <v>84992</v>
      </c>
      <c r="D58" s="910">
        <v>115000</v>
      </c>
      <c r="E58" s="908">
        <f t="shared" si="8"/>
        <v>199992</v>
      </c>
      <c r="F58" s="924"/>
      <c r="G58" s="926">
        <v>86670</v>
      </c>
      <c r="H58" s="926">
        <v>115000</v>
      </c>
      <c r="I58" s="908">
        <f t="shared" si="4"/>
        <v>201670</v>
      </c>
      <c r="J58" s="924"/>
      <c r="K58" s="910">
        <v>63330</v>
      </c>
      <c r="L58" s="910">
        <v>115000</v>
      </c>
      <c r="M58" s="908">
        <f t="shared" si="5"/>
        <v>178330</v>
      </c>
      <c r="N58" s="924"/>
      <c r="O58" s="926">
        <v>0</v>
      </c>
      <c r="P58" s="1064">
        <v>105198</v>
      </c>
      <c r="Q58" s="908">
        <f t="shared" si="6"/>
        <v>105198</v>
      </c>
      <c r="R58" s="908" t="s">
        <v>9</v>
      </c>
    </row>
    <row r="59" spans="1:18" x14ac:dyDescent="0.2">
      <c r="A59" s="905" t="s">
        <v>2799</v>
      </c>
      <c r="B59" s="5" t="s">
        <v>2800</v>
      </c>
      <c r="C59" s="910">
        <v>169985</v>
      </c>
      <c r="D59" s="910"/>
      <c r="E59" s="908">
        <f t="shared" si="8"/>
        <v>169985</v>
      </c>
      <c r="F59" s="924"/>
      <c r="G59" s="926">
        <v>175750</v>
      </c>
      <c r="H59" s="926">
        <v>200000</v>
      </c>
      <c r="I59" s="908">
        <f t="shared" si="4"/>
        <v>375750</v>
      </c>
      <c r="J59" s="924"/>
      <c r="K59" s="910">
        <v>126660</v>
      </c>
      <c r="L59" s="910">
        <v>200000</v>
      </c>
      <c r="M59" s="908">
        <f t="shared" si="5"/>
        <v>326660</v>
      </c>
      <c r="N59" s="924"/>
      <c r="O59" s="926">
        <v>120568</v>
      </c>
      <c r="P59" s="1064">
        <v>182953</v>
      </c>
      <c r="Q59" s="908">
        <f t="shared" si="6"/>
        <v>303521</v>
      </c>
      <c r="R59" s="908" t="s">
        <v>9</v>
      </c>
    </row>
    <row r="60" spans="1:18" x14ac:dyDescent="0.2">
      <c r="A60" s="905">
        <v>500205323</v>
      </c>
      <c r="B60" s="907" t="s">
        <v>2893</v>
      </c>
      <c r="C60" s="910"/>
      <c r="D60" s="910">
        <v>115000</v>
      </c>
      <c r="E60" s="908">
        <f t="shared" si="8"/>
        <v>115000</v>
      </c>
      <c r="F60" s="924"/>
      <c r="G60" s="926">
        <v>108000</v>
      </c>
      <c r="H60" s="926">
        <v>115000</v>
      </c>
      <c r="I60" s="908">
        <f t="shared" si="4"/>
        <v>223000</v>
      </c>
      <c r="J60" s="924"/>
      <c r="K60" s="910">
        <v>126660</v>
      </c>
      <c r="L60" s="910">
        <v>115000</v>
      </c>
      <c r="M60" s="908">
        <f t="shared" si="5"/>
        <v>241660</v>
      </c>
      <c r="N60" s="924"/>
      <c r="O60" s="926">
        <v>98325</v>
      </c>
      <c r="P60" s="1064">
        <v>105198</v>
      </c>
      <c r="Q60" s="908">
        <f t="shared" si="6"/>
        <v>203523</v>
      </c>
      <c r="R60" s="908" t="s">
        <v>9</v>
      </c>
    </row>
    <row r="61" spans="1:18" x14ac:dyDescent="0.2">
      <c r="A61" s="905" t="s">
        <v>2617</v>
      </c>
      <c r="B61" s="5" t="s">
        <v>2618</v>
      </c>
      <c r="C61" s="910">
        <v>67000</v>
      </c>
      <c r="D61" s="910">
        <v>115000</v>
      </c>
      <c r="E61" s="908">
        <f t="shared" si="8"/>
        <v>182000</v>
      </c>
      <c r="F61" s="924"/>
      <c r="G61" s="926">
        <v>79600</v>
      </c>
      <c r="H61" s="926">
        <v>115000</v>
      </c>
      <c r="I61" s="908">
        <f t="shared" si="4"/>
        <v>194600</v>
      </c>
      <c r="J61" s="924"/>
      <c r="K61" s="910">
        <v>41000</v>
      </c>
      <c r="L61" s="910">
        <v>115000</v>
      </c>
      <c r="M61" s="908">
        <f t="shared" si="5"/>
        <v>156000</v>
      </c>
      <c r="N61" s="924"/>
      <c r="O61" s="926">
        <v>0</v>
      </c>
      <c r="P61" s="1064">
        <v>0</v>
      </c>
      <c r="Q61" s="908">
        <f t="shared" si="6"/>
        <v>0</v>
      </c>
      <c r="R61" s="908" t="s">
        <v>9</v>
      </c>
    </row>
    <row r="62" spans="1:18" x14ac:dyDescent="0.2">
      <c r="A62" s="905" t="s">
        <v>2619</v>
      </c>
      <c r="B62" s="5" t="s">
        <v>2620</v>
      </c>
      <c r="C62" s="910">
        <v>84993</v>
      </c>
      <c r="D62" s="910">
        <v>70000</v>
      </c>
      <c r="E62" s="908">
        <f t="shared" si="8"/>
        <v>154993</v>
      </c>
      <c r="F62" s="924"/>
      <c r="G62" s="926">
        <v>87875</v>
      </c>
      <c r="H62" s="926">
        <v>70000</v>
      </c>
      <c r="I62" s="908">
        <f t="shared" si="4"/>
        <v>157875</v>
      </c>
      <c r="J62" s="924"/>
      <c r="K62" s="910">
        <v>63330</v>
      </c>
      <c r="L62" s="910">
        <v>70000</v>
      </c>
      <c r="M62" s="908">
        <f t="shared" si="5"/>
        <v>133330</v>
      </c>
      <c r="N62" s="924"/>
      <c r="O62" s="926">
        <v>0</v>
      </c>
      <c r="P62" s="1064">
        <v>64034</v>
      </c>
      <c r="Q62" s="908">
        <f t="shared" si="6"/>
        <v>64034</v>
      </c>
      <c r="R62" s="908" t="s">
        <v>9</v>
      </c>
    </row>
    <row r="63" spans="1:18" x14ac:dyDescent="0.2">
      <c r="A63" s="905" t="s">
        <v>2621</v>
      </c>
      <c r="B63" s="5" t="s">
        <v>2622</v>
      </c>
      <c r="C63" s="910">
        <v>40000</v>
      </c>
      <c r="D63" s="910">
        <v>115000</v>
      </c>
      <c r="E63" s="908">
        <f t="shared" si="8"/>
        <v>155000</v>
      </c>
      <c r="F63" s="924"/>
      <c r="G63" s="926">
        <v>87876</v>
      </c>
      <c r="H63" s="926">
        <v>115000</v>
      </c>
      <c r="I63" s="908">
        <f t="shared" si="4"/>
        <v>202876</v>
      </c>
      <c r="J63" s="924"/>
      <c r="K63" s="910">
        <v>63330</v>
      </c>
      <c r="L63" s="926">
        <v>115000</v>
      </c>
      <c r="M63" s="908">
        <f t="shared" si="5"/>
        <v>178330</v>
      </c>
      <c r="N63" s="924"/>
      <c r="O63" s="926">
        <v>70000</v>
      </c>
      <c r="P63" s="1064">
        <v>105198</v>
      </c>
      <c r="Q63" s="908">
        <f t="shared" si="6"/>
        <v>175198</v>
      </c>
      <c r="R63" s="908" t="s">
        <v>9</v>
      </c>
    </row>
    <row r="64" spans="1:18" x14ac:dyDescent="0.2">
      <c r="A64" s="905">
        <v>500205372</v>
      </c>
      <c r="B64" s="907" t="s">
        <v>3019</v>
      </c>
      <c r="C64" s="910"/>
      <c r="D64" s="910"/>
      <c r="E64" s="908"/>
      <c r="F64" s="924"/>
      <c r="G64" s="926">
        <v>115000</v>
      </c>
      <c r="H64" s="926">
        <v>115000</v>
      </c>
      <c r="I64" s="908">
        <f t="shared" si="4"/>
        <v>230000</v>
      </c>
      <c r="J64" s="924"/>
      <c r="K64" s="910">
        <v>126660</v>
      </c>
      <c r="L64" s="910">
        <v>115000</v>
      </c>
      <c r="M64" s="908">
        <f t="shared" si="5"/>
        <v>241660</v>
      </c>
      <c r="N64" s="924"/>
      <c r="O64" s="926">
        <v>0</v>
      </c>
      <c r="P64" s="1064">
        <v>0</v>
      </c>
      <c r="Q64" s="908">
        <f t="shared" si="6"/>
        <v>0</v>
      </c>
      <c r="R64" s="908" t="s">
        <v>9</v>
      </c>
    </row>
    <row r="65" spans="1:18" x14ac:dyDescent="0.2">
      <c r="A65" s="905" t="s">
        <v>2885</v>
      </c>
      <c r="B65" s="5" t="s">
        <v>2886</v>
      </c>
      <c r="C65" s="910">
        <v>84992</v>
      </c>
      <c r="D65" s="910"/>
      <c r="E65" s="908">
        <f t="shared" ref="E65:E104" si="9">C65+D65</f>
        <v>84992</v>
      </c>
      <c r="F65" s="924"/>
      <c r="G65" s="926">
        <v>64053</v>
      </c>
      <c r="H65" s="926">
        <v>115000</v>
      </c>
      <c r="I65" s="908">
        <f t="shared" si="4"/>
        <v>179053</v>
      </c>
      <c r="J65" s="924"/>
      <c r="K65" s="910">
        <v>63330</v>
      </c>
      <c r="L65" s="910">
        <v>115000</v>
      </c>
      <c r="M65" s="908">
        <f t="shared" si="5"/>
        <v>178330</v>
      </c>
      <c r="N65" s="924"/>
      <c r="O65" s="926">
        <v>54839</v>
      </c>
      <c r="P65" s="1064">
        <v>105198</v>
      </c>
      <c r="Q65" s="908">
        <f t="shared" si="6"/>
        <v>160037</v>
      </c>
      <c r="R65" s="908" t="s">
        <v>9</v>
      </c>
    </row>
    <row r="66" spans="1:18" x14ac:dyDescent="0.2">
      <c r="A66" s="905">
        <v>500205414</v>
      </c>
      <c r="B66" s="907" t="s">
        <v>2894</v>
      </c>
      <c r="C66" s="910"/>
      <c r="D66" s="910">
        <v>115000</v>
      </c>
      <c r="E66" s="908">
        <f t="shared" si="9"/>
        <v>115000</v>
      </c>
      <c r="F66" s="924"/>
      <c r="G66" s="926">
        <v>90000</v>
      </c>
      <c r="H66" s="926">
        <v>115000</v>
      </c>
      <c r="I66" s="908">
        <f t="shared" si="4"/>
        <v>205000</v>
      </c>
      <c r="J66" s="924"/>
      <c r="K66" s="910">
        <v>126660</v>
      </c>
      <c r="L66" s="910">
        <v>115000</v>
      </c>
      <c r="M66" s="908">
        <f t="shared" si="5"/>
        <v>241660</v>
      </c>
      <c r="N66" s="924"/>
      <c r="O66" s="926">
        <v>0</v>
      </c>
      <c r="P66" s="1064">
        <v>105198</v>
      </c>
      <c r="Q66" s="908">
        <f t="shared" si="6"/>
        <v>105198</v>
      </c>
      <c r="R66" s="908" t="s">
        <v>9</v>
      </c>
    </row>
    <row r="67" spans="1:18" x14ac:dyDescent="0.2">
      <c r="A67" s="905" t="s">
        <v>2623</v>
      </c>
      <c r="B67" s="5" t="s">
        <v>2624</v>
      </c>
      <c r="C67" s="910">
        <v>169986</v>
      </c>
      <c r="D67" s="910">
        <v>115000</v>
      </c>
      <c r="E67" s="908">
        <f t="shared" si="9"/>
        <v>284986</v>
      </c>
      <c r="F67" s="924"/>
      <c r="G67" s="926">
        <v>140000</v>
      </c>
      <c r="H67" s="926">
        <v>115000</v>
      </c>
      <c r="I67" s="908">
        <f t="shared" si="4"/>
        <v>255000</v>
      </c>
      <c r="J67" s="924"/>
      <c r="K67" s="910">
        <v>126660</v>
      </c>
      <c r="L67" s="910">
        <v>115000</v>
      </c>
      <c r="M67" s="908">
        <f t="shared" si="5"/>
        <v>241660</v>
      </c>
      <c r="N67" s="924"/>
      <c r="O67" s="926"/>
      <c r="P67" s="1064">
        <v>105198</v>
      </c>
      <c r="Q67" s="908">
        <f t="shared" si="6"/>
        <v>105198</v>
      </c>
      <c r="R67" s="908" t="s">
        <v>9</v>
      </c>
    </row>
    <row r="68" spans="1:18" x14ac:dyDescent="0.2">
      <c r="A68" s="905" t="s">
        <v>2280</v>
      </c>
      <c r="B68" s="5" t="s">
        <v>2281</v>
      </c>
      <c r="C68" s="910">
        <v>84992</v>
      </c>
      <c r="D68" s="910">
        <v>115000</v>
      </c>
      <c r="E68" s="908">
        <f t="shared" si="9"/>
        <v>199992</v>
      </c>
      <c r="F68" s="924"/>
      <c r="G68" s="926">
        <v>87875</v>
      </c>
      <c r="H68" s="926">
        <v>115000</v>
      </c>
      <c r="I68" s="908">
        <f t="shared" si="4"/>
        <v>202875</v>
      </c>
      <c r="J68" s="924"/>
      <c r="K68" s="926">
        <v>63330</v>
      </c>
      <c r="L68" s="910">
        <v>115000</v>
      </c>
      <c r="M68" s="908">
        <f t="shared" si="5"/>
        <v>178330</v>
      </c>
      <c r="N68" s="924"/>
      <c r="O68" s="926">
        <v>97881</v>
      </c>
      <c r="P68" s="1064">
        <v>105198</v>
      </c>
      <c r="Q68" s="908">
        <f t="shared" si="6"/>
        <v>203079</v>
      </c>
      <c r="R68" s="908" t="s">
        <v>9</v>
      </c>
    </row>
    <row r="69" spans="1:18" x14ac:dyDescent="0.2">
      <c r="A69" s="905">
        <v>500205653</v>
      </c>
      <c r="B69" s="907" t="s">
        <v>2895</v>
      </c>
      <c r="C69" s="910"/>
      <c r="D69" s="910">
        <v>100000</v>
      </c>
      <c r="E69" s="908">
        <f t="shared" si="9"/>
        <v>100000</v>
      </c>
      <c r="F69" s="924"/>
      <c r="G69" s="926">
        <v>40000</v>
      </c>
      <c r="H69" s="926"/>
      <c r="I69" s="908">
        <f t="shared" si="4"/>
        <v>40000</v>
      </c>
      <c r="J69" s="924"/>
      <c r="K69" s="910">
        <v>63330</v>
      </c>
      <c r="L69" s="926"/>
      <c r="M69" s="908">
        <f t="shared" si="5"/>
        <v>63330</v>
      </c>
      <c r="N69" s="924"/>
      <c r="O69" s="926"/>
      <c r="P69" s="1064"/>
      <c r="Q69" s="908">
        <f t="shared" si="6"/>
        <v>0</v>
      </c>
      <c r="R69" s="908" t="s">
        <v>136</v>
      </c>
    </row>
    <row r="70" spans="1:18" x14ac:dyDescent="0.2">
      <c r="A70" s="905">
        <v>500205877</v>
      </c>
      <c r="B70" s="907" t="s">
        <v>3224</v>
      </c>
      <c r="C70" s="910"/>
      <c r="D70" s="910"/>
      <c r="E70" s="908"/>
      <c r="F70" s="924"/>
      <c r="G70" s="926"/>
      <c r="H70" s="926"/>
      <c r="I70" s="908"/>
      <c r="J70" s="924"/>
      <c r="K70" s="910">
        <v>31665</v>
      </c>
      <c r="L70" s="926"/>
      <c r="M70" s="908">
        <f t="shared" si="5"/>
        <v>31665</v>
      </c>
      <c r="N70" s="924"/>
      <c r="O70" s="926"/>
      <c r="P70" s="1064"/>
      <c r="Q70" s="908">
        <f t="shared" si="6"/>
        <v>0</v>
      </c>
      <c r="R70" s="908" t="s">
        <v>136</v>
      </c>
    </row>
    <row r="71" spans="1:18" x14ac:dyDescent="0.2">
      <c r="A71" s="905">
        <v>500206271</v>
      </c>
      <c r="B71" s="907" t="s">
        <v>2896</v>
      </c>
      <c r="C71" s="910"/>
      <c r="D71" s="910">
        <v>115000</v>
      </c>
      <c r="E71" s="908">
        <f t="shared" si="9"/>
        <v>115000</v>
      </c>
      <c r="F71" s="924"/>
      <c r="G71" s="926"/>
      <c r="H71" s="926">
        <v>115000</v>
      </c>
      <c r="I71" s="908">
        <f t="shared" ref="I71:I134" si="10">G71+H71</f>
        <v>115000</v>
      </c>
      <c r="J71" s="924"/>
      <c r="K71" s="926">
        <v>63330</v>
      </c>
      <c r="L71" s="926">
        <v>115000</v>
      </c>
      <c r="M71" s="908">
        <f t="shared" ref="M71:M134" si="11">K71+L71</f>
        <v>178330</v>
      </c>
      <c r="N71" s="924"/>
      <c r="O71" s="926">
        <v>97200</v>
      </c>
      <c r="P71" s="1064">
        <v>0</v>
      </c>
      <c r="Q71" s="908">
        <f t="shared" ref="Q71:Q134" si="12">O71+P71</f>
        <v>97200</v>
      </c>
      <c r="R71" s="908" t="s">
        <v>12</v>
      </c>
    </row>
    <row r="72" spans="1:18" x14ac:dyDescent="0.2">
      <c r="A72" s="905" t="s">
        <v>2307</v>
      </c>
      <c r="B72" s="5" t="s">
        <v>2308</v>
      </c>
      <c r="C72" s="910">
        <v>97500</v>
      </c>
      <c r="D72" s="910">
        <v>115000</v>
      </c>
      <c r="E72" s="908">
        <f t="shared" si="9"/>
        <v>212500</v>
      </c>
      <c r="F72" s="924"/>
      <c r="G72" s="926">
        <v>175750</v>
      </c>
      <c r="H72" s="926">
        <v>115000</v>
      </c>
      <c r="I72" s="908">
        <f t="shared" si="10"/>
        <v>290750</v>
      </c>
      <c r="J72" s="924"/>
      <c r="K72" s="910">
        <v>126660</v>
      </c>
      <c r="L72" s="910">
        <v>115000</v>
      </c>
      <c r="M72" s="908">
        <f t="shared" si="11"/>
        <v>241660</v>
      </c>
      <c r="N72" s="924"/>
      <c r="O72" s="926">
        <v>0</v>
      </c>
      <c r="P72" s="1064">
        <v>0</v>
      </c>
      <c r="Q72" s="908">
        <f t="shared" si="12"/>
        <v>0</v>
      </c>
      <c r="R72" s="908" t="s">
        <v>12</v>
      </c>
    </row>
    <row r="73" spans="1:18" x14ac:dyDescent="0.2">
      <c r="A73" s="905" t="s">
        <v>2625</v>
      </c>
      <c r="B73" s="5" t="s">
        <v>2626</v>
      </c>
      <c r="C73" s="910">
        <v>84992</v>
      </c>
      <c r="D73" s="910">
        <v>70000</v>
      </c>
      <c r="E73" s="908">
        <f t="shared" si="9"/>
        <v>154992</v>
      </c>
      <c r="F73" s="924"/>
      <c r="G73" s="926">
        <v>87876</v>
      </c>
      <c r="H73" s="926">
        <v>70000</v>
      </c>
      <c r="I73" s="908">
        <f t="shared" si="10"/>
        <v>157876</v>
      </c>
      <c r="J73" s="924"/>
      <c r="K73" s="910">
        <v>63330</v>
      </c>
      <c r="L73" s="926">
        <v>70000</v>
      </c>
      <c r="M73" s="908">
        <f t="shared" si="11"/>
        <v>133330</v>
      </c>
      <c r="N73" s="924"/>
      <c r="O73" s="926">
        <v>0</v>
      </c>
      <c r="P73" s="1064">
        <v>0</v>
      </c>
      <c r="Q73" s="908">
        <f t="shared" si="12"/>
        <v>0</v>
      </c>
      <c r="R73" s="908" t="s">
        <v>12</v>
      </c>
    </row>
    <row r="74" spans="1:18" x14ac:dyDescent="0.2">
      <c r="A74" s="905" t="s">
        <v>2627</v>
      </c>
      <c r="B74" s="5" t="s">
        <v>2542</v>
      </c>
      <c r="C74" s="910">
        <v>82800</v>
      </c>
      <c r="D74" s="910">
        <v>158000</v>
      </c>
      <c r="E74" s="908">
        <f t="shared" si="9"/>
        <v>240800</v>
      </c>
      <c r="F74" s="924"/>
      <c r="G74" s="926">
        <v>90000</v>
      </c>
      <c r="H74" s="926">
        <v>200000</v>
      </c>
      <c r="I74" s="908">
        <f t="shared" si="10"/>
        <v>290000</v>
      </c>
      <c r="J74" s="924"/>
      <c r="K74" s="926">
        <v>125000</v>
      </c>
      <c r="L74" s="910">
        <v>200000</v>
      </c>
      <c r="M74" s="908">
        <f t="shared" si="11"/>
        <v>325000</v>
      </c>
      <c r="N74" s="924"/>
      <c r="O74" s="926">
        <v>108677</v>
      </c>
      <c r="P74" s="1064">
        <v>182953</v>
      </c>
      <c r="Q74" s="908">
        <f t="shared" si="12"/>
        <v>291630</v>
      </c>
      <c r="R74" s="908" t="s">
        <v>12</v>
      </c>
    </row>
    <row r="75" spans="1:18" x14ac:dyDescent="0.2">
      <c r="A75" s="905" t="s">
        <v>2628</v>
      </c>
      <c r="B75" s="5" t="s">
        <v>2629</v>
      </c>
      <c r="C75" s="910">
        <v>169985</v>
      </c>
      <c r="D75" s="910">
        <v>200000</v>
      </c>
      <c r="E75" s="908">
        <f t="shared" si="9"/>
        <v>369985</v>
      </c>
      <c r="F75" s="924"/>
      <c r="G75" s="926">
        <v>148725</v>
      </c>
      <c r="H75" s="926">
        <v>200000</v>
      </c>
      <c r="I75" s="908">
        <f t="shared" si="10"/>
        <v>348725</v>
      </c>
      <c r="J75" s="924"/>
      <c r="K75" s="910">
        <v>126660</v>
      </c>
      <c r="L75" s="910">
        <v>200000</v>
      </c>
      <c r="M75" s="908">
        <f t="shared" si="11"/>
        <v>326660</v>
      </c>
      <c r="N75" s="924"/>
      <c r="O75" s="926">
        <v>0</v>
      </c>
      <c r="P75" s="1064">
        <v>0</v>
      </c>
      <c r="Q75" s="908">
        <f t="shared" si="12"/>
        <v>0</v>
      </c>
      <c r="R75" s="908" t="s">
        <v>9</v>
      </c>
    </row>
    <row r="76" spans="1:18" x14ac:dyDescent="0.2">
      <c r="A76" s="905" t="s">
        <v>2812</v>
      </c>
      <c r="B76" s="5" t="s">
        <v>2813</v>
      </c>
      <c r="C76" s="910">
        <v>75000</v>
      </c>
      <c r="D76" s="910"/>
      <c r="E76" s="908">
        <f t="shared" si="9"/>
        <v>75000</v>
      </c>
      <c r="F76" s="924"/>
      <c r="G76" s="926">
        <v>130000</v>
      </c>
      <c r="H76" s="926">
        <v>200000</v>
      </c>
      <c r="I76" s="908">
        <f t="shared" si="10"/>
        <v>330000</v>
      </c>
      <c r="J76" s="924"/>
      <c r="K76" s="910">
        <v>116100</v>
      </c>
      <c r="L76" s="926">
        <v>200000</v>
      </c>
      <c r="M76" s="908">
        <f t="shared" si="11"/>
        <v>316100</v>
      </c>
      <c r="N76" s="924"/>
      <c r="O76" s="926">
        <v>109677</v>
      </c>
      <c r="P76" s="1064">
        <v>182953</v>
      </c>
      <c r="Q76" s="908">
        <f t="shared" si="12"/>
        <v>292630</v>
      </c>
      <c r="R76" s="908" t="s">
        <v>9</v>
      </c>
    </row>
    <row r="77" spans="1:18" x14ac:dyDescent="0.2">
      <c r="A77" s="905" t="s">
        <v>2630</v>
      </c>
      <c r="B77" s="5" t="s">
        <v>2631</v>
      </c>
      <c r="C77" s="910">
        <v>150300</v>
      </c>
      <c r="D77" s="910">
        <v>115000</v>
      </c>
      <c r="E77" s="908">
        <f t="shared" si="9"/>
        <v>265300</v>
      </c>
      <c r="F77" s="924"/>
      <c r="G77" s="926"/>
      <c r="H77" s="926">
        <v>115000</v>
      </c>
      <c r="I77" s="908">
        <f t="shared" si="10"/>
        <v>115000</v>
      </c>
      <c r="J77" s="924"/>
      <c r="K77" s="910">
        <v>126660</v>
      </c>
      <c r="L77" s="910">
        <v>115000</v>
      </c>
      <c r="M77" s="908">
        <f t="shared" si="11"/>
        <v>241660</v>
      </c>
      <c r="N77" s="924"/>
      <c r="O77" s="926"/>
      <c r="P77" s="1064">
        <v>105198</v>
      </c>
      <c r="Q77" s="908">
        <f t="shared" si="12"/>
        <v>105198</v>
      </c>
      <c r="R77" s="908" t="s">
        <v>9</v>
      </c>
    </row>
    <row r="78" spans="1:18" ht="12" customHeight="1" x14ac:dyDescent="0.2">
      <c r="A78" s="905" t="s">
        <v>2808</v>
      </c>
      <c r="B78" s="5" t="s">
        <v>2809</v>
      </c>
      <c r="C78" s="910">
        <v>84992</v>
      </c>
      <c r="D78" s="910"/>
      <c r="E78" s="908">
        <f t="shared" si="9"/>
        <v>84992</v>
      </c>
      <c r="F78" s="924"/>
      <c r="G78" s="926">
        <v>87875</v>
      </c>
      <c r="H78" s="926"/>
      <c r="I78" s="908">
        <f t="shared" si="10"/>
        <v>87875</v>
      </c>
      <c r="J78" s="924"/>
      <c r="K78" s="910">
        <v>63330</v>
      </c>
      <c r="L78" s="926"/>
      <c r="M78" s="908">
        <f t="shared" si="11"/>
        <v>63330</v>
      </c>
      <c r="N78" s="924"/>
      <c r="O78" s="926">
        <v>63000</v>
      </c>
      <c r="P78" s="1064"/>
      <c r="Q78" s="908">
        <f t="shared" si="12"/>
        <v>63000</v>
      </c>
      <c r="R78" s="908" t="s">
        <v>32</v>
      </c>
    </row>
    <row r="79" spans="1:18" x14ac:dyDescent="0.2">
      <c r="A79" s="905" t="s">
        <v>2816</v>
      </c>
      <c r="B79" s="5" t="s">
        <v>2817</v>
      </c>
      <c r="C79" s="910">
        <v>84992</v>
      </c>
      <c r="D79" s="910"/>
      <c r="E79" s="908">
        <f t="shared" si="9"/>
        <v>84992</v>
      </c>
      <c r="F79" s="924"/>
      <c r="G79" s="926">
        <v>87875</v>
      </c>
      <c r="H79" s="926"/>
      <c r="I79" s="908">
        <f t="shared" si="10"/>
        <v>87875</v>
      </c>
      <c r="J79" s="924"/>
      <c r="K79" s="910">
        <v>60000</v>
      </c>
      <c r="L79" s="926"/>
      <c r="M79" s="908">
        <f t="shared" si="11"/>
        <v>60000</v>
      </c>
      <c r="N79" s="924"/>
      <c r="O79" s="926">
        <v>60000</v>
      </c>
      <c r="P79" s="1064"/>
      <c r="Q79" s="908">
        <f t="shared" si="12"/>
        <v>60000</v>
      </c>
      <c r="R79" s="908" t="s">
        <v>136</v>
      </c>
    </row>
    <row r="80" spans="1:18" x14ac:dyDescent="0.2">
      <c r="A80" s="905" t="s">
        <v>2632</v>
      </c>
      <c r="B80" s="5" t="s">
        <v>2633</v>
      </c>
      <c r="C80" s="910">
        <v>84991</v>
      </c>
      <c r="D80" s="910">
        <v>115000</v>
      </c>
      <c r="E80" s="908">
        <f t="shared" si="9"/>
        <v>199991</v>
      </c>
      <c r="F80" s="924"/>
      <c r="G80" s="926">
        <v>87875</v>
      </c>
      <c r="H80" s="926">
        <v>115000</v>
      </c>
      <c r="I80" s="908">
        <f t="shared" si="10"/>
        <v>202875</v>
      </c>
      <c r="J80" s="924"/>
      <c r="K80" s="910">
        <v>63330</v>
      </c>
      <c r="L80" s="926">
        <v>115000</v>
      </c>
      <c r="M80" s="908">
        <f t="shared" si="11"/>
        <v>178330</v>
      </c>
      <c r="N80" s="924"/>
      <c r="O80" s="926">
        <v>72000</v>
      </c>
      <c r="P80" s="1064">
        <v>105198</v>
      </c>
      <c r="Q80" s="908">
        <f t="shared" si="12"/>
        <v>177198</v>
      </c>
      <c r="R80" s="908" t="s">
        <v>9</v>
      </c>
    </row>
    <row r="81" spans="1:18" x14ac:dyDescent="0.2">
      <c r="A81" s="905" t="s">
        <v>2634</v>
      </c>
      <c r="B81" s="5" t="s">
        <v>2635</v>
      </c>
      <c r="C81" s="910">
        <v>84992</v>
      </c>
      <c r="D81" s="910">
        <v>115000</v>
      </c>
      <c r="E81" s="908">
        <f t="shared" si="9"/>
        <v>199992</v>
      </c>
      <c r="F81" s="924"/>
      <c r="G81" s="926">
        <v>87875</v>
      </c>
      <c r="H81" s="926">
        <v>115000</v>
      </c>
      <c r="I81" s="908">
        <f t="shared" si="10"/>
        <v>202875</v>
      </c>
      <c r="J81" s="924"/>
      <c r="K81" s="926">
        <v>63330</v>
      </c>
      <c r="L81" s="910">
        <v>115000</v>
      </c>
      <c r="M81" s="908">
        <f t="shared" si="11"/>
        <v>178330</v>
      </c>
      <c r="N81" s="924"/>
      <c r="O81" s="926">
        <v>75000</v>
      </c>
      <c r="P81" s="1064">
        <v>105128</v>
      </c>
      <c r="Q81" s="908">
        <f t="shared" si="12"/>
        <v>180128</v>
      </c>
      <c r="R81" s="908" t="s">
        <v>32</v>
      </c>
    </row>
    <row r="82" spans="1:18" x14ac:dyDescent="0.2">
      <c r="A82" s="905" t="s">
        <v>2319</v>
      </c>
      <c r="B82" s="5" t="s">
        <v>2320</v>
      </c>
      <c r="C82" s="910">
        <v>166900</v>
      </c>
      <c r="D82" s="910">
        <v>200000</v>
      </c>
      <c r="E82" s="908">
        <f t="shared" si="9"/>
        <v>366900</v>
      </c>
      <c r="F82" s="924"/>
      <c r="G82" s="926">
        <v>175750</v>
      </c>
      <c r="H82" s="926">
        <v>200000</v>
      </c>
      <c r="I82" s="908">
        <f t="shared" si="10"/>
        <v>375750</v>
      </c>
      <c r="J82" s="924"/>
      <c r="K82" s="910">
        <v>126660</v>
      </c>
      <c r="L82" s="926">
        <v>200000</v>
      </c>
      <c r="M82" s="908">
        <f t="shared" si="11"/>
        <v>326660</v>
      </c>
      <c r="N82" s="924"/>
      <c r="O82" s="926">
        <v>154000</v>
      </c>
      <c r="P82" s="1064">
        <v>182953</v>
      </c>
      <c r="Q82" s="908">
        <f t="shared" si="12"/>
        <v>336953</v>
      </c>
      <c r="R82" s="908" t="s">
        <v>9</v>
      </c>
    </row>
    <row r="83" spans="1:18" x14ac:dyDescent="0.2">
      <c r="A83" s="905" t="s">
        <v>2636</v>
      </c>
      <c r="B83" s="5" t="s">
        <v>2637</v>
      </c>
      <c r="C83" s="910">
        <v>84992</v>
      </c>
      <c r="D83" s="910">
        <v>115000</v>
      </c>
      <c r="E83" s="908">
        <f t="shared" si="9"/>
        <v>199992</v>
      </c>
      <c r="F83" s="924"/>
      <c r="G83" s="926">
        <v>87875</v>
      </c>
      <c r="H83" s="926">
        <v>115000</v>
      </c>
      <c r="I83" s="908">
        <f t="shared" si="10"/>
        <v>202875</v>
      </c>
      <c r="J83" s="924"/>
      <c r="K83" s="910">
        <v>63330</v>
      </c>
      <c r="L83" s="910">
        <v>115000</v>
      </c>
      <c r="M83" s="908">
        <f t="shared" si="11"/>
        <v>178330</v>
      </c>
      <c r="N83" s="924"/>
      <c r="O83" s="926"/>
      <c r="P83" s="1064"/>
      <c r="Q83" s="908">
        <f t="shared" si="12"/>
        <v>0</v>
      </c>
      <c r="R83" s="908" t="s">
        <v>9</v>
      </c>
    </row>
    <row r="84" spans="1:18" x14ac:dyDescent="0.2">
      <c r="A84" s="905" t="s">
        <v>2638</v>
      </c>
      <c r="B84" s="5" t="s">
        <v>2639</v>
      </c>
      <c r="C84" s="910">
        <v>169985</v>
      </c>
      <c r="D84" s="910">
        <v>115000</v>
      </c>
      <c r="E84" s="908">
        <f t="shared" si="9"/>
        <v>284985</v>
      </c>
      <c r="F84" s="924"/>
      <c r="G84" s="926">
        <v>145476</v>
      </c>
      <c r="H84" s="926">
        <v>115000</v>
      </c>
      <c r="I84" s="908">
        <f t="shared" si="10"/>
        <v>260476</v>
      </c>
      <c r="J84" s="924"/>
      <c r="K84" s="910">
        <v>126660</v>
      </c>
      <c r="L84" s="926">
        <v>115000</v>
      </c>
      <c r="M84" s="908">
        <f t="shared" si="11"/>
        <v>241660</v>
      </c>
      <c r="N84" s="924"/>
      <c r="O84" s="926">
        <v>82620</v>
      </c>
      <c r="P84" s="1064">
        <v>105198</v>
      </c>
      <c r="Q84" s="908">
        <f t="shared" si="12"/>
        <v>187818</v>
      </c>
      <c r="R84" s="908" t="s">
        <v>9</v>
      </c>
    </row>
    <row r="85" spans="1:18" x14ac:dyDescent="0.2">
      <c r="A85" s="905">
        <v>500209440</v>
      </c>
      <c r="B85" s="907" t="s">
        <v>2897</v>
      </c>
      <c r="C85" s="910"/>
      <c r="D85" s="910">
        <v>115000</v>
      </c>
      <c r="E85" s="908">
        <f t="shared" si="9"/>
        <v>115000</v>
      </c>
      <c r="F85" s="924"/>
      <c r="G85" s="926">
        <v>87875</v>
      </c>
      <c r="H85" s="926">
        <v>115000</v>
      </c>
      <c r="I85" s="908">
        <f t="shared" si="10"/>
        <v>202875</v>
      </c>
      <c r="J85" s="924"/>
      <c r="K85" s="910">
        <v>63330</v>
      </c>
      <c r="L85" s="926">
        <v>115000</v>
      </c>
      <c r="M85" s="908">
        <f t="shared" si="11"/>
        <v>178330</v>
      </c>
      <c r="N85" s="924"/>
      <c r="O85" s="926">
        <v>0</v>
      </c>
      <c r="P85" s="1064">
        <v>0</v>
      </c>
      <c r="Q85" s="908">
        <f t="shared" si="12"/>
        <v>0</v>
      </c>
      <c r="R85" s="908" t="s">
        <v>9</v>
      </c>
    </row>
    <row r="86" spans="1:18" x14ac:dyDescent="0.2">
      <c r="A86" s="905" t="s">
        <v>2640</v>
      </c>
      <c r="B86" s="5" t="s">
        <v>2641</v>
      </c>
      <c r="C86" s="910">
        <v>84992</v>
      </c>
      <c r="D86" s="910">
        <v>115000</v>
      </c>
      <c r="E86" s="908">
        <f t="shared" si="9"/>
        <v>199992</v>
      </c>
      <c r="F86" s="924"/>
      <c r="G86" s="926">
        <v>87875</v>
      </c>
      <c r="H86" s="926">
        <v>115000</v>
      </c>
      <c r="I86" s="908">
        <f t="shared" si="10"/>
        <v>202875</v>
      </c>
      <c r="J86" s="924"/>
      <c r="K86" s="910">
        <v>63330</v>
      </c>
      <c r="L86" s="926">
        <v>115000</v>
      </c>
      <c r="M86" s="908">
        <f t="shared" si="11"/>
        <v>178330</v>
      </c>
      <c r="N86" s="924"/>
      <c r="O86" s="926">
        <v>63000</v>
      </c>
      <c r="P86" s="1064">
        <v>105198</v>
      </c>
      <c r="Q86" s="908">
        <f t="shared" si="12"/>
        <v>168198</v>
      </c>
      <c r="R86" s="908" t="s">
        <v>9</v>
      </c>
    </row>
    <row r="87" spans="1:18" x14ac:dyDescent="0.2">
      <c r="A87" s="905" t="s">
        <v>2777</v>
      </c>
      <c r="B87" s="5" t="s">
        <v>2778</v>
      </c>
      <c r="C87" s="910">
        <v>84993</v>
      </c>
      <c r="D87" s="910">
        <v>115000</v>
      </c>
      <c r="E87" s="908">
        <f t="shared" si="9"/>
        <v>199993</v>
      </c>
      <c r="F87" s="924"/>
      <c r="G87" s="926">
        <v>87875</v>
      </c>
      <c r="H87" s="926">
        <v>115000</v>
      </c>
      <c r="I87" s="908">
        <f t="shared" si="10"/>
        <v>202875</v>
      </c>
      <c r="J87" s="924"/>
      <c r="K87" s="910">
        <v>63330</v>
      </c>
      <c r="L87" s="926">
        <v>115000</v>
      </c>
      <c r="M87" s="908">
        <f t="shared" si="11"/>
        <v>178330</v>
      </c>
      <c r="N87" s="924"/>
      <c r="O87" s="926">
        <v>60284</v>
      </c>
      <c r="P87" s="1064">
        <v>0</v>
      </c>
      <c r="Q87" s="908">
        <f t="shared" si="12"/>
        <v>60284</v>
      </c>
      <c r="R87" s="908" t="s">
        <v>9</v>
      </c>
    </row>
    <row r="88" spans="1:18" x14ac:dyDescent="0.2">
      <c r="A88" s="905" t="s">
        <v>2642</v>
      </c>
      <c r="B88" s="5" t="s">
        <v>2643</v>
      </c>
      <c r="C88" s="910">
        <v>84992</v>
      </c>
      <c r="D88" s="910">
        <v>70000</v>
      </c>
      <c r="E88" s="908">
        <f t="shared" si="9"/>
        <v>154992</v>
      </c>
      <c r="F88" s="924"/>
      <c r="G88" s="926">
        <v>87874</v>
      </c>
      <c r="H88" s="926">
        <v>70000</v>
      </c>
      <c r="I88" s="908">
        <f t="shared" si="10"/>
        <v>157874</v>
      </c>
      <c r="J88" s="924"/>
      <c r="K88" s="910">
        <v>63330</v>
      </c>
      <c r="L88" s="910">
        <v>70000</v>
      </c>
      <c r="M88" s="908">
        <f t="shared" si="11"/>
        <v>133330</v>
      </c>
      <c r="N88" s="924"/>
      <c r="O88" s="926">
        <v>60284</v>
      </c>
      <c r="P88" s="1064">
        <v>64034</v>
      </c>
      <c r="Q88" s="908">
        <f t="shared" si="12"/>
        <v>124318</v>
      </c>
      <c r="R88" s="908" t="s">
        <v>9</v>
      </c>
    </row>
    <row r="89" spans="1:18" x14ac:dyDescent="0.2">
      <c r="A89" s="905" t="s">
        <v>2644</v>
      </c>
      <c r="B89" s="5" t="s">
        <v>2409</v>
      </c>
      <c r="C89" s="910">
        <v>60000</v>
      </c>
      <c r="D89" s="910">
        <v>115000</v>
      </c>
      <c r="E89" s="908">
        <f t="shared" si="9"/>
        <v>175000</v>
      </c>
      <c r="F89" s="924"/>
      <c r="G89" s="926">
        <v>87876</v>
      </c>
      <c r="H89" s="926">
        <v>115000</v>
      </c>
      <c r="I89" s="908">
        <f t="shared" si="10"/>
        <v>202876</v>
      </c>
      <c r="J89" s="924"/>
      <c r="K89" s="910">
        <v>63330</v>
      </c>
      <c r="L89" s="910">
        <v>115000</v>
      </c>
      <c r="M89" s="908">
        <f t="shared" si="11"/>
        <v>178330</v>
      </c>
      <c r="N89" s="924"/>
      <c r="O89" s="926"/>
      <c r="P89" s="1064"/>
      <c r="Q89" s="908">
        <f t="shared" si="12"/>
        <v>0</v>
      </c>
      <c r="R89" s="908" t="s">
        <v>9</v>
      </c>
    </row>
    <row r="90" spans="1:18" x14ac:dyDescent="0.2">
      <c r="A90" s="905" t="s">
        <v>2801</v>
      </c>
      <c r="B90" s="5" t="s">
        <v>2802</v>
      </c>
      <c r="C90" s="910">
        <v>84992</v>
      </c>
      <c r="D90" s="910"/>
      <c r="E90" s="908">
        <f t="shared" si="9"/>
        <v>84992</v>
      </c>
      <c r="F90" s="924"/>
      <c r="G90" s="926">
        <v>85000</v>
      </c>
      <c r="H90" s="926"/>
      <c r="I90" s="908">
        <f t="shared" si="10"/>
        <v>85000</v>
      </c>
      <c r="J90" s="924"/>
      <c r="K90" s="926">
        <v>63330</v>
      </c>
      <c r="L90" s="926"/>
      <c r="M90" s="908">
        <f t="shared" si="11"/>
        <v>63330</v>
      </c>
      <c r="N90" s="924"/>
      <c r="O90" s="926">
        <v>70000</v>
      </c>
      <c r="P90" s="1064"/>
      <c r="Q90" s="908">
        <f t="shared" si="12"/>
        <v>70000</v>
      </c>
      <c r="R90" s="908" t="s">
        <v>12</v>
      </c>
    </row>
    <row r="91" spans="1:18" x14ac:dyDescent="0.2">
      <c r="A91" s="905" t="s">
        <v>2645</v>
      </c>
      <c r="B91" s="5" t="s">
        <v>2646</v>
      </c>
      <c r="C91" s="910">
        <v>169986</v>
      </c>
      <c r="D91" s="910">
        <v>115000</v>
      </c>
      <c r="E91" s="908">
        <f t="shared" si="9"/>
        <v>284986</v>
      </c>
      <c r="F91" s="924"/>
      <c r="G91" s="926">
        <v>131168</v>
      </c>
      <c r="H91" s="926">
        <v>115000</v>
      </c>
      <c r="I91" s="908">
        <f t="shared" si="10"/>
        <v>246168</v>
      </c>
      <c r="J91" s="924"/>
      <c r="K91" s="926">
        <v>123750</v>
      </c>
      <c r="L91" s="926">
        <v>115000</v>
      </c>
      <c r="M91" s="908">
        <f t="shared" si="11"/>
        <v>238750</v>
      </c>
      <c r="N91" s="924"/>
      <c r="O91" s="926">
        <v>112397</v>
      </c>
      <c r="P91" s="1064">
        <v>105198</v>
      </c>
      <c r="Q91" s="908">
        <f t="shared" si="12"/>
        <v>217595</v>
      </c>
      <c r="R91" s="908" t="s">
        <v>9</v>
      </c>
    </row>
    <row r="92" spans="1:18" x14ac:dyDescent="0.2">
      <c r="A92" s="905" t="s">
        <v>2284</v>
      </c>
      <c r="B92" s="5" t="s">
        <v>2285</v>
      </c>
      <c r="C92" s="910">
        <v>90000</v>
      </c>
      <c r="D92" s="910">
        <v>200000</v>
      </c>
      <c r="E92" s="908">
        <f t="shared" si="9"/>
        <v>290000</v>
      </c>
      <c r="F92" s="924"/>
      <c r="G92" s="926"/>
      <c r="H92" s="926"/>
      <c r="I92" s="908">
        <f t="shared" si="10"/>
        <v>0</v>
      </c>
      <c r="J92" s="924"/>
      <c r="K92" s="926">
        <v>63330</v>
      </c>
      <c r="L92" s="926"/>
      <c r="M92" s="908">
        <f t="shared" si="11"/>
        <v>63330</v>
      </c>
      <c r="N92" s="924"/>
      <c r="O92" s="926">
        <v>32250</v>
      </c>
      <c r="P92" s="1064"/>
      <c r="Q92" s="908">
        <f t="shared" si="12"/>
        <v>32250</v>
      </c>
      <c r="R92" s="908" t="s">
        <v>12</v>
      </c>
    </row>
    <row r="93" spans="1:18" x14ac:dyDescent="0.2">
      <c r="A93" s="905" t="s">
        <v>2274</v>
      </c>
      <c r="B93" s="5" t="s">
        <v>2275</v>
      </c>
      <c r="C93" s="910">
        <v>152000</v>
      </c>
      <c r="D93" s="910">
        <v>200000</v>
      </c>
      <c r="E93" s="908">
        <f t="shared" si="9"/>
        <v>352000</v>
      </c>
      <c r="F93" s="924"/>
      <c r="G93" s="926">
        <v>175750</v>
      </c>
      <c r="H93" s="926">
        <v>200000</v>
      </c>
      <c r="I93" s="908">
        <f t="shared" si="10"/>
        <v>375750</v>
      </c>
      <c r="J93" s="924"/>
      <c r="K93" s="910">
        <v>426660</v>
      </c>
      <c r="L93" s="926">
        <v>200000</v>
      </c>
      <c r="M93" s="908">
        <f t="shared" si="11"/>
        <v>626660</v>
      </c>
      <c r="N93" s="924"/>
      <c r="O93" s="926">
        <v>315000</v>
      </c>
      <c r="P93" s="1064">
        <v>182953</v>
      </c>
      <c r="Q93" s="908">
        <f t="shared" si="12"/>
        <v>497953</v>
      </c>
      <c r="R93" s="908" t="s">
        <v>32</v>
      </c>
    </row>
    <row r="94" spans="1:18" x14ac:dyDescent="0.2">
      <c r="A94" s="905" t="s">
        <v>2282</v>
      </c>
      <c r="B94" s="5" t="s">
        <v>2283</v>
      </c>
      <c r="C94" s="910">
        <v>169985</v>
      </c>
      <c r="D94" s="910">
        <v>200000</v>
      </c>
      <c r="E94" s="908">
        <f t="shared" si="9"/>
        <v>369985</v>
      </c>
      <c r="F94" s="924"/>
      <c r="G94" s="926">
        <v>175750</v>
      </c>
      <c r="H94" s="926">
        <v>200000</v>
      </c>
      <c r="I94" s="908">
        <f t="shared" si="10"/>
        <v>375750</v>
      </c>
      <c r="J94" s="924"/>
      <c r="K94" s="910">
        <v>126660</v>
      </c>
      <c r="L94" s="926">
        <v>200000</v>
      </c>
      <c r="M94" s="908">
        <f t="shared" si="11"/>
        <v>326660</v>
      </c>
      <c r="N94" s="924"/>
      <c r="O94" s="926"/>
      <c r="P94" s="1064">
        <v>182953</v>
      </c>
      <c r="Q94" s="908">
        <f t="shared" si="12"/>
        <v>182953</v>
      </c>
      <c r="R94" s="908" t="s">
        <v>32</v>
      </c>
    </row>
    <row r="95" spans="1:18" x14ac:dyDescent="0.2">
      <c r="A95" s="905" t="s">
        <v>2647</v>
      </c>
      <c r="B95" s="5" t="s">
        <v>2648</v>
      </c>
      <c r="C95" s="910">
        <v>130000</v>
      </c>
      <c r="D95" s="910">
        <v>100000</v>
      </c>
      <c r="E95" s="908">
        <f t="shared" si="9"/>
        <v>230000</v>
      </c>
      <c r="F95" s="924"/>
      <c r="G95" s="926">
        <v>130000</v>
      </c>
      <c r="H95" s="926">
        <v>115000</v>
      </c>
      <c r="I95" s="908">
        <f t="shared" si="10"/>
        <v>245000</v>
      </c>
      <c r="J95" s="924"/>
      <c r="K95" s="910">
        <v>126660</v>
      </c>
      <c r="L95" s="926">
        <v>115000</v>
      </c>
      <c r="M95" s="908">
        <f t="shared" si="11"/>
        <v>241660</v>
      </c>
      <c r="N95" s="924"/>
      <c r="O95" s="926">
        <v>120000</v>
      </c>
      <c r="P95" s="1064">
        <v>105198</v>
      </c>
      <c r="Q95" s="908">
        <f t="shared" si="12"/>
        <v>225198</v>
      </c>
      <c r="R95" s="908" t="s">
        <v>32</v>
      </c>
    </row>
    <row r="96" spans="1:18" x14ac:dyDescent="0.2">
      <c r="A96" s="905" t="s">
        <v>2649</v>
      </c>
      <c r="B96" s="5" t="s">
        <v>2650</v>
      </c>
      <c r="C96" s="910">
        <v>169985</v>
      </c>
      <c r="D96" s="910">
        <v>115000</v>
      </c>
      <c r="E96" s="908">
        <f t="shared" si="9"/>
        <v>284985</v>
      </c>
      <c r="F96" s="924"/>
      <c r="G96" s="926">
        <v>175749</v>
      </c>
      <c r="H96" s="926">
        <v>115000</v>
      </c>
      <c r="I96" s="908">
        <f t="shared" si="10"/>
        <v>290749</v>
      </c>
      <c r="J96" s="924"/>
      <c r="K96" s="910">
        <v>126660</v>
      </c>
      <c r="L96" s="910">
        <v>115000</v>
      </c>
      <c r="M96" s="908">
        <f t="shared" si="11"/>
        <v>241660</v>
      </c>
      <c r="N96" s="924"/>
      <c r="O96" s="926">
        <v>59728</v>
      </c>
      <c r="P96" s="1064">
        <v>105198</v>
      </c>
      <c r="Q96" s="908">
        <f t="shared" si="12"/>
        <v>164926</v>
      </c>
      <c r="R96" s="908" t="s">
        <v>32</v>
      </c>
    </row>
    <row r="97" spans="1:18" x14ac:dyDescent="0.2">
      <c r="A97" s="905" t="s">
        <v>2779</v>
      </c>
      <c r="B97" s="5" t="s">
        <v>2780</v>
      </c>
      <c r="C97" s="910">
        <v>169985</v>
      </c>
      <c r="D97" s="910">
        <v>115000</v>
      </c>
      <c r="E97" s="908">
        <f t="shared" si="9"/>
        <v>284985</v>
      </c>
      <c r="F97" s="924"/>
      <c r="G97" s="926">
        <v>175749</v>
      </c>
      <c r="H97" s="926">
        <v>115000</v>
      </c>
      <c r="I97" s="908">
        <f t="shared" si="10"/>
        <v>290749</v>
      </c>
      <c r="J97" s="924"/>
      <c r="K97" s="910">
        <v>126661</v>
      </c>
      <c r="L97" s="910">
        <v>115000</v>
      </c>
      <c r="M97" s="908">
        <f t="shared" si="11"/>
        <v>241661</v>
      </c>
      <c r="N97" s="924"/>
      <c r="O97" s="926"/>
      <c r="P97" s="1064">
        <v>105198</v>
      </c>
      <c r="Q97" s="908">
        <f t="shared" si="12"/>
        <v>105198</v>
      </c>
      <c r="R97" s="908" t="s">
        <v>32</v>
      </c>
    </row>
    <row r="98" spans="1:18" x14ac:dyDescent="0.2">
      <c r="A98" s="905" t="s">
        <v>2651</v>
      </c>
      <c r="B98" s="5" t="s">
        <v>3426</v>
      </c>
      <c r="C98" s="910">
        <v>83000</v>
      </c>
      <c r="D98" s="910">
        <v>200000</v>
      </c>
      <c r="E98" s="908">
        <f t="shared" si="9"/>
        <v>283000</v>
      </c>
      <c r="F98" s="924"/>
      <c r="G98" s="926">
        <v>90000</v>
      </c>
      <c r="H98" s="926">
        <v>200000</v>
      </c>
      <c r="I98" s="908">
        <f t="shared" si="10"/>
        <v>290000</v>
      </c>
      <c r="J98" s="924"/>
      <c r="K98" s="910">
        <v>120000</v>
      </c>
      <c r="L98" s="926">
        <v>200000</v>
      </c>
      <c r="M98" s="908">
        <f t="shared" si="11"/>
        <v>320000</v>
      </c>
      <c r="N98" s="924"/>
      <c r="O98" s="926"/>
      <c r="P98" s="1064">
        <v>182953</v>
      </c>
      <c r="Q98" s="908">
        <f t="shared" si="12"/>
        <v>182953</v>
      </c>
      <c r="R98" s="908" t="s">
        <v>9</v>
      </c>
    </row>
    <row r="99" spans="1:18" x14ac:dyDescent="0.2">
      <c r="A99" s="905" t="s">
        <v>2466</v>
      </c>
      <c r="B99" s="5" t="s">
        <v>2652</v>
      </c>
      <c r="C99" s="910">
        <v>169985</v>
      </c>
      <c r="D99" s="910">
        <v>200000</v>
      </c>
      <c r="E99" s="908">
        <f t="shared" si="9"/>
        <v>369985</v>
      </c>
      <c r="F99" s="924"/>
      <c r="G99" s="926">
        <v>175750</v>
      </c>
      <c r="H99" s="926">
        <v>200000</v>
      </c>
      <c r="I99" s="908">
        <f t="shared" si="10"/>
        <v>375750</v>
      </c>
      <c r="J99" s="924"/>
      <c r="K99" s="910">
        <v>126659</v>
      </c>
      <c r="L99" s="926">
        <v>200000</v>
      </c>
      <c r="M99" s="908">
        <f t="shared" si="11"/>
        <v>326659</v>
      </c>
      <c r="N99" s="924"/>
      <c r="O99" s="926">
        <v>130000</v>
      </c>
      <c r="P99" s="1064">
        <v>182953</v>
      </c>
      <c r="Q99" s="908">
        <f t="shared" si="12"/>
        <v>312953</v>
      </c>
      <c r="R99" s="908" t="s">
        <v>9</v>
      </c>
    </row>
    <row r="100" spans="1:18" x14ac:dyDescent="0.2">
      <c r="A100" s="905" t="s">
        <v>2653</v>
      </c>
      <c r="B100" s="5" t="s">
        <v>2654</v>
      </c>
      <c r="C100" s="910">
        <v>83000</v>
      </c>
      <c r="D100" s="910">
        <v>115000</v>
      </c>
      <c r="E100" s="908">
        <f t="shared" si="9"/>
        <v>198000</v>
      </c>
      <c r="F100" s="924"/>
      <c r="G100" s="926">
        <v>87876</v>
      </c>
      <c r="H100" s="926">
        <v>115000</v>
      </c>
      <c r="I100" s="908">
        <f t="shared" si="10"/>
        <v>202876</v>
      </c>
      <c r="J100" s="924"/>
      <c r="K100" s="910">
        <v>63329</v>
      </c>
      <c r="L100" s="926">
        <v>115000</v>
      </c>
      <c r="M100" s="908">
        <f t="shared" si="11"/>
        <v>178329</v>
      </c>
      <c r="N100" s="924"/>
      <c r="O100" s="926"/>
      <c r="P100" s="1064">
        <v>105198</v>
      </c>
      <c r="Q100" s="908">
        <f t="shared" si="12"/>
        <v>105198</v>
      </c>
      <c r="R100" s="908" t="s">
        <v>32</v>
      </c>
    </row>
    <row r="101" spans="1:18" x14ac:dyDescent="0.2">
      <c r="A101" s="905" t="s">
        <v>2655</v>
      </c>
      <c r="B101" s="5" t="s">
        <v>2656</v>
      </c>
      <c r="C101" s="910">
        <v>84992</v>
      </c>
      <c r="D101" s="910">
        <v>70000</v>
      </c>
      <c r="E101" s="908">
        <f t="shared" si="9"/>
        <v>154992</v>
      </c>
      <c r="F101" s="924"/>
      <c r="G101" s="926">
        <v>87874</v>
      </c>
      <c r="H101" s="926">
        <v>70000</v>
      </c>
      <c r="I101" s="908">
        <f t="shared" si="10"/>
        <v>157874</v>
      </c>
      <c r="J101" s="924"/>
      <c r="K101" s="910">
        <v>63330</v>
      </c>
      <c r="L101" s="910">
        <v>70000</v>
      </c>
      <c r="M101" s="908">
        <f t="shared" si="11"/>
        <v>133330</v>
      </c>
      <c r="N101" s="924"/>
      <c r="O101" s="926">
        <v>80000</v>
      </c>
      <c r="P101" s="1064">
        <v>64034</v>
      </c>
      <c r="Q101" s="908">
        <f t="shared" si="12"/>
        <v>144034</v>
      </c>
      <c r="R101" s="908" t="s">
        <v>12</v>
      </c>
    </row>
    <row r="102" spans="1:18" x14ac:dyDescent="0.2">
      <c r="A102" s="905">
        <v>500211396</v>
      </c>
      <c r="B102" s="907" t="s">
        <v>2657</v>
      </c>
      <c r="C102" s="910"/>
      <c r="D102" s="910">
        <v>200000</v>
      </c>
      <c r="E102" s="908">
        <f t="shared" si="9"/>
        <v>200000</v>
      </c>
      <c r="F102" s="924"/>
      <c r="G102" s="926">
        <v>175750</v>
      </c>
      <c r="H102" s="926">
        <v>200000</v>
      </c>
      <c r="I102" s="908">
        <f t="shared" si="10"/>
        <v>375750</v>
      </c>
      <c r="J102" s="924"/>
      <c r="K102" s="910">
        <v>126659</v>
      </c>
      <c r="L102" s="910">
        <v>200000</v>
      </c>
      <c r="M102" s="908">
        <f t="shared" si="11"/>
        <v>326659</v>
      </c>
      <c r="N102" s="924"/>
      <c r="O102" s="926"/>
      <c r="P102" s="1064">
        <v>182953</v>
      </c>
      <c r="Q102" s="908">
        <f t="shared" si="12"/>
        <v>182953</v>
      </c>
      <c r="R102" s="908" t="s">
        <v>9</v>
      </c>
    </row>
    <row r="103" spans="1:18" x14ac:dyDescent="0.2">
      <c r="A103" s="905" t="s">
        <v>2317</v>
      </c>
      <c r="B103" s="5" t="s">
        <v>2318</v>
      </c>
      <c r="C103" s="910">
        <v>127489</v>
      </c>
      <c r="D103" s="910">
        <v>200000</v>
      </c>
      <c r="E103" s="908">
        <f t="shared" si="9"/>
        <v>327489</v>
      </c>
      <c r="F103" s="924"/>
      <c r="G103" s="926">
        <v>261000</v>
      </c>
      <c r="H103" s="926">
        <v>200000</v>
      </c>
      <c r="I103" s="908">
        <f t="shared" si="10"/>
        <v>461000</v>
      </c>
      <c r="J103" s="924"/>
      <c r="K103" s="910">
        <v>189989</v>
      </c>
      <c r="L103" s="926">
        <v>200000</v>
      </c>
      <c r="M103" s="908">
        <f t="shared" si="11"/>
        <v>389989</v>
      </c>
      <c r="N103" s="924"/>
      <c r="O103" s="926">
        <v>155000</v>
      </c>
      <c r="P103" s="1064">
        <v>182953</v>
      </c>
      <c r="Q103" s="908">
        <f t="shared" si="12"/>
        <v>337953</v>
      </c>
      <c r="R103" s="908" t="s">
        <v>32</v>
      </c>
    </row>
    <row r="104" spans="1:18" x14ac:dyDescent="0.2">
      <c r="A104" s="905" t="s">
        <v>2781</v>
      </c>
      <c r="B104" s="5" t="s">
        <v>2782</v>
      </c>
      <c r="C104" s="910">
        <v>169986</v>
      </c>
      <c r="D104" s="910">
        <v>115000</v>
      </c>
      <c r="E104" s="908">
        <f t="shared" si="9"/>
        <v>284986</v>
      </c>
      <c r="F104" s="924"/>
      <c r="G104" s="926">
        <v>170400</v>
      </c>
      <c r="H104" s="926">
        <v>115000</v>
      </c>
      <c r="I104" s="908">
        <f t="shared" si="10"/>
        <v>285400</v>
      </c>
      <c r="J104" s="924"/>
      <c r="K104" s="910">
        <v>126659</v>
      </c>
      <c r="L104" s="926">
        <v>115000</v>
      </c>
      <c r="M104" s="908">
        <f t="shared" si="11"/>
        <v>241659</v>
      </c>
      <c r="N104" s="924"/>
      <c r="O104" s="926">
        <v>0</v>
      </c>
      <c r="P104" s="1064">
        <v>105198</v>
      </c>
      <c r="Q104" s="908">
        <f t="shared" si="12"/>
        <v>105198</v>
      </c>
      <c r="R104" s="908" t="s">
        <v>32</v>
      </c>
    </row>
    <row r="105" spans="1:18" x14ac:dyDescent="0.2">
      <c r="A105" s="905">
        <v>500212246</v>
      </c>
      <c r="B105" s="5" t="s">
        <v>3028</v>
      </c>
      <c r="C105" s="910"/>
      <c r="D105" s="910"/>
      <c r="E105" s="908"/>
      <c r="F105" s="924"/>
      <c r="G105" s="926">
        <v>43937</v>
      </c>
      <c r="H105" s="926"/>
      <c r="I105" s="908">
        <f t="shared" si="10"/>
        <v>43937</v>
      </c>
      <c r="J105" s="924"/>
      <c r="K105" s="910">
        <v>31665</v>
      </c>
      <c r="L105" s="926"/>
      <c r="M105" s="908">
        <f t="shared" si="11"/>
        <v>31665</v>
      </c>
      <c r="N105" s="924"/>
      <c r="O105" s="926">
        <v>48160</v>
      </c>
      <c r="P105" s="1064"/>
      <c r="Q105" s="908">
        <f t="shared" si="12"/>
        <v>48160</v>
      </c>
      <c r="R105" s="908" t="s">
        <v>12</v>
      </c>
    </row>
    <row r="106" spans="1:18" x14ac:dyDescent="0.2">
      <c r="A106" s="905" t="s">
        <v>2658</v>
      </c>
      <c r="B106" s="5" t="s">
        <v>2659</v>
      </c>
      <c r="C106" s="910">
        <v>84992</v>
      </c>
      <c r="D106" s="910">
        <v>50000</v>
      </c>
      <c r="E106" s="908">
        <f>C106+D106</f>
        <v>134992</v>
      </c>
      <c r="F106" s="924"/>
      <c r="G106" s="926">
        <v>142500</v>
      </c>
      <c r="H106" s="926">
        <v>200000</v>
      </c>
      <c r="I106" s="908">
        <f t="shared" si="10"/>
        <v>342500</v>
      </c>
      <c r="J106" s="924"/>
      <c r="K106" s="910">
        <v>126660</v>
      </c>
      <c r="L106" s="910">
        <v>200000</v>
      </c>
      <c r="M106" s="908">
        <f t="shared" si="11"/>
        <v>326660</v>
      </c>
      <c r="N106" s="924"/>
      <c r="O106" s="926">
        <v>99000</v>
      </c>
      <c r="P106" s="1064">
        <v>182953</v>
      </c>
      <c r="Q106" s="908">
        <f t="shared" si="12"/>
        <v>281953</v>
      </c>
      <c r="R106" s="908" t="s">
        <v>9</v>
      </c>
    </row>
    <row r="107" spans="1:18" x14ac:dyDescent="0.2">
      <c r="A107" s="905" t="s">
        <v>2835</v>
      </c>
      <c r="B107" s="5" t="s">
        <v>2836</v>
      </c>
      <c r="C107" s="910">
        <v>84992</v>
      </c>
      <c r="D107" s="910"/>
      <c r="E107" s="908">
        <f>C107+D107</f>
        <v>84992</v>
      </c>
      <c r="F107" s="924"/>
      <c r="G107" s="926">
        <v>87874</v>
      </c>
      <c r="H107" s="926"/>
      <c r="I107" s="908">
        <f t="shared" si="10"/>
        <v>87874</v>
      </c>
      <c r="J107" s="924"/>
      <c r="K107" s="926">
        <v>50000</v>
      </c>
      <c r="L107" s="926"/>
      <c r="M107" s="908">
        <f t="shared" si="11"/>
        <v>50000</v>
      </c>
      <c r="N107" s="924"/>
      <c r="O107" s="926">
        <v>50000</v>
      </c>
      <c r="P107" s="1064"/>
      <c r="Q107" s="908">
        <f t="shared" si="12"/>
        <v>50000</v>
      </c>
      <c r="R107" s="908" t="s">
        <v>9</v>
      </c>
    </row>
    <row r="108" spans="1:18" x14ac:dyDescent="0.2">
      <c r="A108" s="905">
        <v>500212683</v>
      </c>
      <c r="B108" s="5" t="s">
        <v>3029</v>
      </c>
      <c r="C108" s="910"/>
      <c r="D108" s="910"/>
      <c r="E108" s="908"/>
      <c r="F108" s="924"/>
      <c r="G108" s="926">
        <v>87875</v>
      </c>
      <c r="H108" s="926"/>
      <c r="I108" s="908">
        <f t="shared" si="10"/>
        <v>87875</v>
      </c>
      <c r="J108" s="924"/>
      <c r="K108" s="910">
        <v>63330</v>
      </c>
      <c r="L108" s="926"/>
      <c r="M108" s="908">
        <f t="shared" si="11"/>
        <v>63330</v>
      </c>
      <c r="N108" s="924"/>
      <c r="O108" s="926">
        <v>75024</v>
      </c>
      <c r="P108" s="1064"/>
      <c r="Q108" s="908">
        <f t="shared" si="12"/>
        <v>75024</v>
      </c>
      <c r="R108" s="908" t="s">
        <v>282</v>
      </c>
    </row>
    <row r="109" spans="1:18" x14ac:dyDescent="0.2">
      <c r="A109" s="905" t="s">
        <v>2804</v>
      </c>
      <c r="B109" s="5" t="s">
        <v>2805</v>
      </c>
      <c r="C109" s="910">
        <v>84991</v>
      </c>
      <c r="D109" s="910"/>
      <c r="E109" s="908">
        <f t="shared" ref="E109:E118" si="13">C109+D109</f>
        <v>84991</v>
      </c>
      <c r="F109" s="924"/>
      <c r="G109" s="926">
        <v>77069</v>
      </c>
      <c r="H109" s="926"/>
      <c r="I109" s="908">
        <f t="shared" si="10"/>
        <v>77069</v>
      </c>
      <c r="J109" s="924"/>
      <c r="K109" s="926">
        <v>63330</v>
      </c>
      <c r="L109" s="926"/>
      <c r="M109" s="908">
        <f t="shared" si="11"/>
        <v>63330</v>
      </c>
      <c r="N109" s="924"/>
      <c r="O109" s="926">
        <v>54839</v>
      </c>
      <c r="P109" s="1064"/>
      <c r="Q109" s="908">
        <f t="shared" si="12"/>
        <v>54839</v>
      </c>
      <c r="R109" s="908" t="s">
        <v>32</v>
      </c>
    </row>
    <row r="110" spans="1:18" x14ac:dyDescent="0.2">
      <c r="A110" s="905" t="s">
        <v>2411</v>
      </c>
      <c r="B110" s="5" t="s">
        <v>2412</v>
      </c>
      <c r="C110" s="910">
        <v>84992</v>
      </c>
      <c r="D110" s="910">
        <v>115000</v>
      </c>
      <c r="E110" s="908">
        <f t="shared" si="13"/>
        <v>199992</v>
      </c>
      <c r="F110" s="924"/>
      <c r="G110" s="926">
        <v>87875</v>
      </c>
      <c r="H110" s="926">
        <v>115000</v>
      </c>
      <c r="I110" s="908">
        <f t="shared" si="10"/>
        <v>202875</v>
      </c>
      <c r="J110" s="924"/>
      <c r="K110" s="910">
        <v>63330</v>
      </c>
      <c r="L110" s="926">
        <v>115000</v>
      </c>
      <c r="M110" s="908">
        <f t="shared" si="11"/>
        <v>178330</v>
      </c>
      <c r="N110" s="924"/>
      <c r="O110" s="926">
        <v>55000</v>
      </c>
      <c r="P110" s="1064">
        <v>105198</v>
      </c>
      <c r="Q110" s="908">
        <f t="shared" si="12"/>
        <v>160198</v>
      </c>
      <c r="R110" s="908" t="s">
        <v>32</v>
      </c>
    </row>
    <row r="111" spans="1:18" x14ac:dyDescent="0.2">
      <c r="A111" s="905">
        <v>500212907</v>
      </c>
      <c r="B111" s="907" t="s">
        <v>2898</v>
      </c>
      <c r="C111" s="910"/>
      <c r="D111" s="910">
        <v>115000</v>
      </c>
      <c r="E111" s="908">
        <f t="shared" si="13"/>
        <v>115000</v>
      </c>
      <c r="F111" s="924"/>
      <c r="G111" s="926"/>
      <c r="H111" s="926">
        <v>115000</v>
      </c>
      <c r="I111" s="908">
        <f t="shared" si="10"/>
        <v>115000</v>
      </c>
      <c r="J111" s="924"/>
      <c r="K111" s="926">
        <v>63330</v>
      </c>
      <c r="L111" s="910">
        <v>115000</v>
      </c>
      <c r="M111" s="908">
        <f t="shared" si="11"/>
        <v>178330</v>
      </c>
      <c r="N111" s="924"/>
      <c r="O111" s="926">
        <v>90000</v>
      </c>
      <c r="P111" s="1064">
        <v>105198</v>
      </c>
      <c r="Q111" s="908">
        <f t="shared" si="12"/>
        <v>195198</v>
      </c>
      <c r="R111" s="908" t="s">
        <v>12</v>
      </c>
    </row>
    <row r="112" spans="1:18" x14ac:dyDescent="0.2">
      <c r="A112" s="905" t="s">
        <v>2660</v>
      </c>
      <c r="B112" s="5" t="s">
        <v>2661</v>
      </c>
      <c r="C112" s="910">
        <v>84992</v>
      </c>
      <c r="D112" s="910">
        <v>115000</v>
      </c>
      <c r="E112" s="908">
        <f t="shared" si="13"/>
        <v>199992</v>
      </c>
      <c r="F112" s="924"/>
      <c r="G112" s="926">
        <v>85980</v>
      </c>
      <c r="H112" s="926">
        <v>115000</v>
      </c>
      <c r="I112" s="908">
        <f t="shared" si="10"/>
        <v>200980</v>
      </c>
      <c r="J112" s="924"/>
      <c r="K112" s="910">
        <v>63330</v>
      </c>
      <c r="L112" s="910">
        <v>115000</v>
      </c>
      <c r="M112" s="908">
        <f t="shared" si="11"/>
        <v>178330</v>
      </c>
      <c r="N112" s="924"/>
      <c r="O112" s="926">
        <f>35000*2</f>
        <v>70000</v>
      </c>
      <c r="P112" s="1064">
        <v>105198</v>
      </c>
      <c r="Q112" s="908">
        <f t="shared" si="12"/>
        <v>175198</v>
      </c>
      <c r="R112" s="908" t="s">
        <v>9</v>
      </c>
    </row>
    <row r="113" spans="1:18" x14ac:dyDescent="0.2">
      <c r="A113" s="905" t="s">
        <v>2662</v>
      </c>
      <c r="B113" s="5" t="s">
        <v>2663</v>
      </c>
      <c r="C113" s="910">
        <v>84993</v>
      </c>
      <c r="D113" s="910">
        <v>75000</v>
      </c>
      <c r="E113" s="908">
        <f t="shared" si="13"/>
        <v>159993</v>
      </c>
      <c r="F113" s="924"/>
      <c r="G113" s="926">
        <v>84993</v>
      </c>
      <c r="H113" s="926">
        <v>115000</v>
      </c>
      <c r="I113" s="908">
        <f t="shared" si="10"/>
        <v>199993</v>
      </c>
      <c r="J113" s="924"/>
      <c r="K113" s="910">
        <v>63330</v>
      </c>
      <c r="L113" s="910">
        <v>115000</v>
      </c>
      <c r="M113" s="908">
        <f t="shared" si="11"/>
        <v>178330</v>
      </c>
      <c r="N113" s="924"/>
      <c r="O113" s="926"/>
      <c r="P113" s="1064">
        <v>0</v>
      </c>
      <c r="Q113" s="908">
        <f t="shared" si="12"/>
        <v>0</v>
      </c>
      <c r="R113" s="908" t="s">
        <v>9</v>
      </c>
    </row>
    <row r="114" spans="1:18" x14ac:dyDescent="0.2">
      <c r="A114" s="905" t="s">
        <v>2664</v>
      </c>
      <c r="B114" s="5" t="s">
        <v>2665</v>
      </c>
      <c r="C114" s="910">
        <v>150000</v>
      </c>
      <c r="D114" s="910">
        <v>115000</v>
      </c>
      <c r="E114" s="908">
        <f t="shared" si="13"/>
        <v>265000</v>
      </c>
      <c r="F114" s="924"/>
      <c r="G114" s="926">
        <v>130000</v>
      </c>
      <c r="H114" s="926">
        <v>115000</v>
      </c>
      <c r="I114" s="908">
        <f t="shared" si="10"/>
        <v>245000</v>
      </c>
      <c r="J114" s="924"/>
      <c r="K114" s="910">
        <v>126660</v>
      </c>
      <c r="L114" s="910">
        <v>115000</v>
      </c>
      <c r="M114" s="908">
        <f t="shared" si="11"/>
        <v>241660</v>
      </c>
      <c r="N114" s="924"/>
      <c r="O114" s="926">
        <f>54900*2</f>
        <v>109800</v>
      </c>
      <c r="P114" s="1064">
        <v>105198</v>
      </c>
      <c r="Q114" s="908">
        <f t="shared" si="12"/>
        <v>214998</v>
      </c>
      <c r="R114" s="908" t="s">
        <v>32</v>
      </c>
    </row>
    <row r="115" spans="1:18" x14ac:dyDescent="0.2">
      <c r="A115" s="905" t="s">
        <v>2292</v>
      </c>
      <c r="B115" s="5" t="s">
        <v>2293</v>
      </c>
      <c r="C115" s="910">
        <v>60500</v>
      </c>
      <c r="D115" s="910"/>
      <c r="E115" s="908">
        <f t="shared" si="13"/>
        <v>60500</v>
      </c>
      <c r="F115" s="924"/>
      <c r="G115" s="926">
        <v>42450</v>
      </c>
      <c r="H115" s="926"/>
      <c r="I115" s="908">
        <f t="shared" si="10"/>
        <v>42450</v>
      </c>
      <c r="J115" s="924"/>
      <c r="K115" s="910">
        <v>63329</v>
      </c>
      <c r="L115" s="926"/>
      <c r="M115" s="908">
        <f t="shared" si="11"/>
        <v>63329</v>
      </c>
      <c r="N115" s="924"/>
      <c r="O115" s="926">
        <v>52387</v>
      </c>
      <c r="P115" s="1064"/>
      <c r="Q115" s="908">
        <f t="shared" si="12"/>
        <v>52387</v>
      </c>
      <c r="R115" s="908" t="s">
        <v>12</v>
      </c>
    </row>
    <row r="116" spans="1:18" x14ac:dyDescent="0.2">
      <c r="A116" s="905" t="s">
        <v>2666</v>
      </c>
      <c r="B116" s="5" t="s">
        <v>2364</v>
      </c>
      <c r="C116" s="910">
        <v>169985</v>
      </c>
      <c r="D116" s="910">
        <v>200000</v>
      </c>
      <c r="E116" s="908">
        <f t="shared" si="13"/>
        <v>369985</v>
      </c>
      <c r="F116" s="924"/>
      <c r="G116" s="926">
        <v>175750</v>
      </c>
      <c r="H116" s="926">
        <v>200000</v>
      </c>
      <c r="I116" s="908">
        <f t="shared" si="10"/>
        <v>375750</v>
      </c>
      <c r="J116" s="924"/>
      <c r="K116" s="926">
        <v>126660</v>
      </c>
      <c r="L116" s="926">
        <v>200000</v>
      </c>
      <c r="M116" s="908">
        <f t="shared" si="11"/>
        <v>326660</v>
      </c>
      <c r="N116" s="924"/>
      <c r="O116" s="926">
        <v>135000</v>
      </c>
      <c r="P116" s="1064">
        <v>182953</v>
      </c>
      <c r="Q116" s="908">
        <f t="shared" si="12"/>
        <v>317953</v>
      </c>
      <c r="R116" s="908" t="s">
        <v>12</v>
      </c>
    </row>
    <row r="117" spans="1:18" x14ac:dyDescent="0.2">
      <c r="A117" s="905" t="s">
        <v>2667</v>
      </c>
      <c r="B117" s="5" t="s">
        <v>2668</v>
      </c>
      <c r="C117" s="910">
        <v>84992</v>
      </c>
      <c r="D117" s="910">
        <v>115000</v>
      </c>
      <c r="E117" s="908">
        <f t="shared" si="13"/>
        <v>199992</v>
      </c>
      <c r="F117" s="924"/>
      <c r="G117" s="926">
        <v>87875</v>
      </c>
      <c r="H117" s="926">
        <v>115000</v>
      </c>
      <c r="I117" s="908">
        <f t="shared" si="10"/>
        <v>202875</v>
      </c>
      <c r="J117" s="924"/>
      <c r="K117" s="910">
        <v>63330</v>
      </c>
      <c r="L117" s="926">
        <v>115000</v>
      </c>
      <c r="M117" s="908">
        <f t="shared" si="11"/>
        <v>178330</v>
      </c>
      <c r="N117" s="924"/>
      <c r="O117" s="926">
        <v>64000</v>
      </c>
      <c r="P117" s="1064">
        <v>105198</v>
      </c>
      <c r="Q117" s="908">
        <f t="shared" si="12"/>
        <v>169198</v>
      </c>
      <c r="R117" s="908" t="s">
        <v>9</v>
      </c>
    </row>
    <row r="118" spans="1:18" x14ac:dyDescent="0.2">
      <c r="A118" s="905" t="s">
        <v>2669</v>
      </c>
      <c r="B118" s="5" t="s">
        <v>2670</v>
      </c>
      <c r="C118" s="910">
        <v>169985</v>
      </c>
      <c r="D118" s="910">
        <v>99000</v>
      </c>
      <c r="E118" s="908">
        <f t="shared" si="13"/>
        <v>268985</v>
      </c>
      <c r="F118" s="924"/>
      <c r="G118" s="926">
        <v>175750</v>
      </c>
      <c r="H118" s="926">
        <v>115000</v>
      </c>
      <c r="I118" s="908">
        <f t="shared" si="10"/>
        <v>290750</v>
      </c>
      <c r="J118" s="924"/>
      <c r="K118" s="910">
        <v>126660</v>
      </c>
      <c r="L118" s="910">
        <v>115000</v>
      </c>
      <c r="M118" s="908">
        <f t="shared" si="11"/>
        <v>241660</v>
      </c>
      <c r="N118" s="924"/>
      <c r="O118" s="926">
        <v>120568</v>
      </c>
      <c r="P118" s="1064">
        <v>105198</v>
      </c>
      <c r="Q118" s="908">
        <f t="shared" si="12"/>
        <v>225766</v>
      </c>
      <c r="R118" s="908" t="s">
        <v>9</v>
      </c>
    </row>
    <row r="119" spans="1:18" x14ac:dyDescent="0.2">
      <c r="A119" s="905">
        <v>500213517</v>
      </c>
      <c r="B119" s="5" t="s">
        <v>3030</v>
      </c>
      <c r="C119" s="910"/>
      <c r="D119" s="910"/>
      <c r="E119" s="908"/>
      <c r="F119" s="924"/>
      <c r="G119" s="926">
        <v>131813</v>
      </c>
      <c r="H119" s="926"/>
      <c r="I119" s="908">
        <f t="shared" si="10"/>
        <v>131813</v>
      </c>
      <c r="J119" s="924"/>
      <c r="K119" s="910">
        <v>94994</v>
      </c>
      <c r="L119" s="926"/>
      <c r="M119" s="908">
        <f t="shared" si="11"/>
        <v>94994</v>
      </c>
      <c r="N119" s="924"/>
      <c r="O119" s="926"/>
      <c r="P119" s="1064"/>
      <c r="Q119" s="908">
        <f t="shared" si="12"/>
        <v>0</v>
      </c>
      <c r="R119" s="908" t="s">
        <v>12</v>
      </c>
    </row>
    <row r="120" spans="1:18" x14ac:dyDescent="0.2">
      <c r="A120" s="905" t="s">
        <v>2853</v>
      </c>
      <c r="B120" s="5" t="s">
        <v>2854</v>
      </c>
      <c r="C120" s="910">
        <v>84992</v>
      </c>
      <c r="D120" s="910"/>
      <c r="E120" s="908">
        <f t="shared" ref="E120:E129" si="14">C120+D120</f>
        <v>84992</v>
      </c>
      <c r="F120" s="924"/>
      <c r="G120" s="926">
        <v>56250</v>
      </c>
      <c r="H120" s="926"/>
      <c r="I120" s="908">
        <f t="shared" si="10"/>
        <v>56250</v>
      </c>
      <c r="J120" s="924"/>
      <c r="K120" s="926">
        <v>42750</v>
      </c>
      <c r="L120" s="926"/>
      <c r="M120" s="908">
        <f t="shared" si="11"/>
        <v>42750</v>
      </c>
      <c r="N120" s="924"/>
      <c r="O120" s="926">
        <v>73982</v>
      </c>
      <c r="P120" s="1064"/>
      <c r="Q120" s="908">
        <f t="shared" si="12"/>
        <v>73982</v>
      </c>
      <c r="R120" s="908" t="s">
        <v>9</v>
      </c>
    </row>
    <row r="121" spans="1:18" x14ac:dyDescent="0.2">
      <c r="A121" s="905" t="s">
        <v>2861</v>
      </c>
      <c r="B121" s="5" t="s">
        <v>2862</v>
      </c>
      <c r="C121" s="910">
        <v>84992</v>
      </c>
      <c r="D121" s="910"/>
      <c r="E121" s="908">
        <f t="shared" si="14"/>
        <v>84992</v>
      </c>
      <c r="F121" s="924"/>
      <c r="G121" s="926">
        <v>69750</v>
      </c>
      <c r="H121" s="926"/>
      <c r="I121" s="908">
        <f t="shared" si="10"/>
        <v>69750</v>
      </c>
      <c r="J121" s="924"/>
      <c r="K121" s="910">
        <v>63330</v>
      </c>
      <c r="L121" s="926"/>
      <c r="M121" s="908">
        <f t="shared" si="11"/>
        <v>63330</v>
      </c>
      <c r="N121" s="924"/>
      <c r="O121" s="926">
        <v>97881</v>
      </c>
      <c r="P121" s="1064"/>
      <c r="Q121" s="908">
        <f t="shared" si="12"/>
        <v>97881</v>
      </c>
      <c r="R121" s="908" t="s">
        <v>136</v>
      </c>
    </row>
    <row r="122" spans="1:18" x14ac:dyDescent="0.2">
      <c r="A122" s="905" t="s">
        <v>2671</v>
      </c>
      <c r="B122" s="5" t="s">
        <v>2672</v>
      </c>
      <c r="C122" s="910">
        <v>84992</v>
      </c>
      <c r="D122" s="910">
        <v>115000</v>
      </c>
      <c r="E122" s="908">
        <f t="shared" si="14"/>
        <v>199992</v>
      </c>
      <c r="F122" s="924"/>
      <c r="G122" s="926">
        <v>87876</v>
      </c>
      <c r="H122" s="926">
        <v>115000</v>
      </c>
      <c r="I122" s="908">
        <f t="shared" si="10"/>
        <v>202876</v>
      </c>
      <c r="J122" s="924"/>
      <c r="K122" s="926">
        <v>63330</v>
      </c>
      <c r="L122" s="926">
        <v>115000</v>
      </c>
      <c r="M122" s="908">
        <f t="shared" si="11"/>
        <v>178330</v>
      </c>
      <c r="N122" s="924"/>
      <c r="O122" s="926">
        <v>60284</v>
      </c>
      <c r="P122" s="1064">
        <v>105198</v>
      </c>
      <c r="Q122" s="908">
        <f t="shared" si="12"/>
        <v>165482</v>
      </c>
      <c r="R122" s="908" t="s">
        <v>9</v>
      </c>
    </row>
    <row r="123" spans="1:18" x14ac:dyDescent="0.2">
      <c r="A123" s="905" t="s">
        <v>2673</v>
      </c>
      <c r="B123" s="5" t="s">
        <v>2674</v>
      </c>
      <c r="C123" s="910">
        <v>169985</v>
      </c>
      <c r="D123" s="910">
        <v>115000</v>
      </c>
      <c r="E123" s="908">
        <f t="shared" si="14"/>
        <v>284985</v>
      </c>
      <c r="F123" s="924"/>
      <c r="G123" s="926">
        <v>175750</v>
      </c>
      <c r="H123" s="926">
        <v>115000</v>
      </c>
      <c r="I123" s="908">
        <f t="shared" si="10"/>
        <v>290750</v>
      </c>
      <c r="J123" s="924"/>
      <c r="K123" s="926">
        <v>126659</v>
      </c>
      <c r="L123" s="926">
        <v>115000</v>
      </c>
      <c r="M123" s="908">
        <f t="shared" si="11"/>
        <v>241659</v>
      </c>
      <c r="N123" s="924"/>
      <c r="O123" s="926">
        <v>165000</v>
      </c>
      <c r="P123" s="1064">
        <v>105198</v>
      </c>
      <c r="Q123" s="908">
        <f t="shared" si="12"/>
        <v>270198</v>
      </c>
      <c r="R123" s="908" t="s">
        <v>9</v>
      </c>
    </row>
    <row r="124" spans="1:18" x14ac:dyDescent="0.2">
      <c r="A124" s="905" t="s">
        <v>2675</v>
      </c>
      <c r="B124" s="5" t="s">
        <v>2676</v>
      </c>
      <c r="C124" s="910">
        <v>169985</v>
      </c>
      <c r="D124" s="910">
        <v>115000</v>
      </c>
      <c r="E124" s="908">
        <f t="shared" si="14"/>
        <v>284985</v>
      </c>
      <c r="F124" s="924"/>
      <c r="G124" s="926">
        <v>175750</v>
      </c>
      <c r="H124" s="926">
        <v>115000</v>
      </c>
      <c r="I124" s="908">
        <f t="shared" si="10"/>
        <v>290750</v>
      </c>
      <c r="J124" s="924"/>
      <c r="K124" s="926">
        <v>126660</v>
      </c>
      <c r="L124" s="926">
        <v>115000</v>
      </c>
      <c r="M124" s="908">
        <f t="shared" si="11"/>
        <v>241660</v>
      </c>
      <c r="N124" s="924"/>
      <c r="O124" s="926">
        <f>73771+89580</f>
        <v>163351</v>
      </c>
      <c r="P124" s="1064">
        <v>105198</v>
      </c>
      <c r="Q124" s="908">
        <f t="shared" si="12"/>
        <v>268549</v>
      </c>
      <c r="R124" s="908" t="s">
        <v>9</v>
      </c>
    </row>
    <row r="125" spans="1:18" x14ac:dyDescent="0.2">
      <c r="A125" s="905" t="s">
        <v>2290</v>
      </c>
      <c r="B125" s="5" t="s">
        <v>2291</v>
      </c>
      <c r="C125" s="910">
        <v>169985</v>
      </c>
      <c r="D125" s="910">
        <v>115000</v>
      </c>
      <c r="E125" s="908">
        <f t="shared" si="14"/>
        <v>284985</v>
      </c>
      <c r="F125" s="924"/>
      <c r="G125" s="926">
        <v>175750</v>
      </c>
      <c r="H125" s="926">
        <v>115000</v>
      </c>
      <c r="I125" s="908">
        <f t="shared" si="10"/>
        <v>290750</v>
      </c>
      <c r="J125" s="924"/>
      <c r="K125" s="910">
        <v>126660</v>
      </c>
      <c r="L125" s="910">
        <v>115000</v>
      </c>
      <c r="M125" s="908">
        <f t="shared" si="11"/>
        <v>241660</v>
      </c>
      <c r="N125" s="924"/>
      <c r="O125" s="926"/>
      <c r="P125" s="1064">
        <v>105198</v>
      </c>
      <c r="Q125" s="908">
        <f t="shared" si="12"/>
        <v>105198</v>
      </c>
      <c r="R125" s="908" t="s">
        <v>9</v>
      </c>
    </row>
    <row r="126" spans="1:18" x14ac:dyDescent="0.2">
      <c r="A126" s="905" t="s">
        <v>2833</v>
      </c>
      <c r="B126" s="5" t="s">
        <v>2834</v>
      </c>
      <c r="C126" s="910">
        <v>84992</v>
      </c>
      <c r="D126" s="910"/>
      <c r="E126" s="908">
        <f t="shared" si="14"/>
        <v>84992</v>
      </c>
      <c r="F126" s="924"/>
      <c r="G126" s="926">
        <v>87874</v>
      </c>
      <c r="H126" s="926">
        <v>115000</v>
      </c>
      <c r="I126" s="908">
        <f t="shared" si="10"/>
        <v>202874</v>
      </c>
      <c r="J126" s="924"/>
      <c r="K126" s="926">
        <v>63330</v>
      </c>
      <c r="L126" s="910">
        <v>115000</v>
      </c>
      <c r="M126" s="908">
        <f t="shared" si="11"/>
        <v>178330</v>
      </c>
      <c r="N126" s="924"/>
      <c r="O126" s="926">
        <f>45598+52383</f>
        <v>97981</v>
      </c>
      <c r="P126" s="1064">
        <v>105198</v>
      </c>
      <c r="Q126" s="908">
        <f t="shared" si="12"/>
        <v>203179</v>
      </c>
      <c r="R126" s="908" t="s">
        <v>9</v>
      </c>
    </row>
    <row r="127" spans="1:18" x14ac:dyDescent="0.2">
      <c r="A127" s="905" t="s">
        <v>2677</v>
      </c>
      <c r="B127" s="5" t="s">
        <v>2678</v>
      </c>
      <c r="C127" s="910">
        <v>169986</v>
      </c>
      <c r="D127" s="910">
        <v>200000</v>
      </c>
      <c r="E127" s="908">
        <f t="shared" si="14"/>
        <v>369986</v>
      </c>
      <c r="F127" s="924"/>
      <c r="G127" s="926">
        <v>175750</v>
      </c>
      <c r="H127" s="926">
        <v>200000</v>
      </c>
      <c r="I127" s="908">
        <f t="shared" si="10"/>
        <v>375750</v>
      </c>
      <c r="J127" s="924"/>
      <c r="K127" s="926">
        <v>126660</v>
      </c>
      <c r="L127" s="926">
        <v>200000</v>
      </c>
      <c r="M127" s="908">
        <f t="shared" si="11"/>
        <v>326660</v>
      </c>
      <c r="N127" s="924"/>
      <c r="O127" s="926">
        <v>108043</v>
      </c>
      <c r="P127" s="1064">
        <v>182953</v>
      </c>
      <c r="Q127" s="908">
        <f t="shared" si="12"/>
        <v>290996</v>
      </c>
      <c r="R127" s="908" t="s">
        <v>9</v>
      </c>
    </row>
    <row r="128" spans="1:18" x14ac:dyDescent="0.2">
      <c r="A128" s="905" t="s">
        <v>2679</v>
      </c>
      <c r="B128" s="5" t="s">
        <v>2680</v>
      </c>
      <c r="C128" s="910">
        <v>84992</v>
      </c>
      <c r="D128" s="910">
        <v>115000</v>
      </c>
      <c r="E128" s="908">
        <f t="shared" si="14"/>
        <v>199992</v>
      </c>
      <c r="F128" s="924"/>
      <c r="G128" s="926"/>
      <c r="H128" s="926"/>
      <c r="I128" s="908">
        <f t="shared" si="10"/>
        <v>0</v>
      </c>
      <c r="J128" s="924"/>
      <c r="K128" s="926">
        <v>126660</v>
      </c>
      <c r="L128" s="926">
        <v>115000</v>
      </c>
      <c r="M128" s="908">
        <f t="shared" si="11"/>
        <v>241660</v>
      </c>
      <c r="N128" s="924"/>
      <c r="O128" s="926">
        <v>133935</v>
      </c>
      <c r="P128" s="1064">
        <v>105198</v>
      </c>
      <c r="Q128" s="908">
        <f t="shared" si="12"/>
        <v>239133</v>
      </c>
      <c r="R128" s="908" t="s">
        <v>9</v>
      </c>
    </row>
    <row r="129" spans="1:18" x14ac:dyDescent="0.2">
      <c r="A129" s="905" t="s">
        <v>2681</v>
      </c>
      <c r="B129" s="5" t="s">
        <v>2682</v>
      </c>
      <c r="C129" s="910">
        <v>169986</v>
      </c>
      <c r="D129" s="910">
        <v>115000</v>
      </c>
      <c r="E129" s="908">
        <f t="shared" si="14"/>
        <v>284986</v>
      </c>
      <c r="F129" s="924"/>
      <c r="G129" s="926">
        <v>175749</v>
      </c>
      <c r="H129" s="926">
        <v>115000</v>
      </c>
      <c r="I129" s="908">
        <f t="shared" si="10"/>
        <v>290749</v>
      </c>
      <c r="J129" s="924"/>
      <c r="K129" s="926">
        <v>126660</v>
      </c>
      <c r="L129" s="910">
        <v>115000</v>
      </c>
      <c r="M129" s="908">
        <f t="shared" si="11"/>
        <v>241660</v>
      </c>
      <c r="N129" s="924"/>
      <c r="O129" s="926">
        <v>130000</v>
      </c>
      <c r="P129" s="1064">
        <v>105198</v>
      </c>
      <c r="Q129" s="908">
        <f t="shared" si="12"/>
        <v>235198</v>
      </c>
      <c r="R129" s="908" t="s">
        <v>9</v>
      </c>
    </row>
    <row r="130" spans="1:18" x14ac:dyDescent="0.2">
      <c r="A130" s="905">
        <v>500223003</v>
      </c>
      <c r="B130" s="5" t="s">
        <v>3031</v>
      </c>
      <c r="C130" s="910"/>
      <c r="D130" s="910"/>
      <c r="E130" s="908"/>
      <c r="F130" s="924"/>
      <c r="G130" s="926">
        <v>69000</v>
      </c>
      <c r="H130" s="926"/>
      <c r="I130" s="908">
        <f t="shared" si="10"/>
        <v>69000</v>
      </c>
      <c r="J130" s="924"/>
      <c r="K130" s="910">
        <v>63330</v>
      </c>
      <c r="L130" s="926"/>
      <c r="M130" s="908">
        <f t="shared" si="11"/>
        <v>63330</v>
      </c>
      <c r="N130" s="924"/>
      <c r="O130" s="926">
        <v>0</v>
      </c>
      <c r="P130" s="1064"/>
      <c r="Q130" s="908">
        <f t="shared" si="12"/>
        <v>0</v>
      </c>
      <c r="R130" s="908" t="s">
        <v>9</v>
      </c>
    </row>
    <row r="131" spans="1:18" x14ac:dyDescent="0.2">
      <c r="A131" s="905" t="s">
        <v>2683</v>
      </c>
      <c r="B131" s="5" t="s">
        <v>2684</v>
      </c>
      <c r="C131" s="910">
        <v>169985</v>
      </c>
      <c r="D131" s="910">
        <v>113000</v>
      </c>
      <c r="E131" s="908">
        <f t="shared" ref="E131:E137" si="15">C131+D131</f>
        <v>282985</v>
      </c>
      <c r="F131" s="924"/>
      <c r="G131" s="926">
        <v>175751</v>
      </c>
      <c r="H131" s="926">
        <v>113000</v>
      </c>
      <c r="I131" s="908">
        <f t="shared" si="10"/>
        <v>288751</v>
      </c>
      <c r="J131" s="924"/>
      <c r="K131" s="926">
        <v>126660</v>
      </c>
      <c r="L131" s="910">
        <v>115000</v>
      </c>
      <c r="M131" s="908">
        <f t="shared" si="11"/>
        <v>241660</v>
      </c>
      <c r="N131" s="924"/>
      <c r="O131" s="926">
        <v>150000</v>
      </c>
      <c r="P131" s="1064">
        <v>105198</v>
      </c>
      <c r="Q131" s="908">
        <f t="shared" si="12"/>
        <v>255198</v>
      </c>
      <c r="R131" s="908" t="s">
        <v>9</v>
      </c>
    </row>
    <row r="132" spans="1:18" x14ac:dyDescent="0.2">
      <c r="A132" s="905" t="s">
        <v>2451</v>
      </c>
      <c r="B132" s="5" t="s">
        <v>2452</v>
      </c>
      <c r="C132" s="910">
        <v>169985</v>
      </c>
      <c r="D132" s="910">
        <v>200000</v>
      </c>
      <c r="E132" s="908">
        <f t="shared" si="15"/>
        <v>369985</v>
      </c>
      <c r="F132" s="924"/>
      <c r="G132" s="926">
        <v>150505</v>
      </c>
      <c r="H132" s="926">
        <v>200000</v>
      </c>
      <c r="I132" s="908">
        <f t="shared" si="10"/>
        <v>350505</v>
      </c>
      <c r="J132" s="924"/>
      <c r="K132" s="910">
        <v>126659</v>
      </c>
      <c r="L132" s="926">
        <v>200000</v>
      </c>
      <c r="M132" s="908">
        <f t="shared" si="11"/>
        <v>326659</v>
      </c>
      <c r="N132" s="924"/>
      <c r="O132" s="926">
        <v>148030</v>
      </c>
      <c r="P132" s="1064">
        <v>182953</v>
      </c>
      <c r="Q132" s="908">
        <f t="shared" si="12"/>
        <v>330983</v>
      </c>
      <c r="R132" s="908" t="s">
        <v>9</v>
      </c>
    </row>
    <row r="133" spans="1:18" x14ac:dyDescent="0.2">
      <c r="A133" s="905" t="s">
        <v>2394</v>
      </c>
      <c r="B133" s="5" t="s">
        <v>2818</v>
      </c>
      <c r="C133" s="910">
        <v>84993</v>
      </c>
      <c r="D133" s="910"/>
      <c r="E133" s="908">
        <f t="shared" si="15"/>
        <v>84993</v>
      </c>
      <c r="F133" s="924"/>
      <c r="G133" s="926">
        <v>87250</v>
      </c>
      <c r="H133" s="926"/>
      <c r="I133" s="908">
        <f t="shared" si="10"/>
        <v>87250</v>
      </c>
      <c r="J133" s="924"/>
      <c r="K133" s="910">
        <v>126660</v>
      </c>
      <c r="L133" s="926"/>
      <c r="M133" s="908">
        <f t="shared" si="11"/>
        <v>126660</v>
      </c>
      <c r="N133" s="924"/>
      <c r="O133" s="926">
        <v>87750</v>
      </c>
      <c r="P133" s="1064"/>
      <c r="Q133" s="908">
        <f t="shared" si="12"/>
        <v>87750</v>
      </c>
      <c r="R133" s="908" t="s">
        <v>9</v>
      </c>
    </row>
    <row r="134" spans="1:18" x14ac:dyDescent="0.2">
      <c r="A134" s="905" t="s">
        <v>2843</v>
      </c>
      <c r="B134" s="5" t="s">
        <v>2844</v>
      </c>
      <c r="C134" s="910">
        <v>145000</v>
      </c>
      <c r="D134" s="910"/>
      <c r="E134" s="908">
        <f t="shared" si="15"/>
        <v>145000</v>
      </c>
      <c r="F134" s="924"/>
      <c r="G134" s="926">
        <v>175750</v>
      </c>
      <c r="H134" s="926">
        <v>115000</v>
      </c>
      <c r="I134" s="908">
        <f t="shared" si="10"/>
        <v>290750</v>
      </c>
      <c r="J134" s="924"/>
      <c r="K134" s="910">
        <v>126660</v>
      </c>
      <c r="L134" s="926">
        <v>115000</v>
      </c>
      <c r="M134" s="908">
        <f t="shared" si="11"/>
        <v>241660</v>
      </c>
      <c r="N134" s="924"/>
      <c r="O134" s="926">
        <v>112500</v>
      </c>
      <c r="P134" s="1064">
        <v>105198</v>
      </c>
      <c r="Q134" s="908">
        <f t="shared" si="12"/>
        <v>217698</v>
      </c>
      <c r="R134" s="908" t="s">
        <v>9</v>
      </c>
    </row>
    <row r="135" spans="1:18" x14ac:dyDescent="0.2">
      <c r="A135" s="905" t="s">
        <v>2685</v>
      </c>
      <c r="B135" s="5" t="s">
        <v>2686</v>
      </c>
      <c r="C135" s="910">
        <v>169985</v>
      </c>
      <c r="D135" s="910">
        <v>200000</v>
      </c>
      <c r="E135" s="908">
        <f t="shared" si="15"/>
        <v>369985</v>
      </c>
      <c r="F135" s="924"/>
      <c r="G135" s="926"/>
      <c r="H135" s="926">
        <v>200000</v>
      </c>
      <c r="I135" s="908">
        <f t="shared" ref="I135:I201" si="16">G135+H135</f>
        <v>200000</v>
      </c>
      <c r="J135" s="924"/>
      <c r="K135" s="910">
        <v>126660</v>
      </c>
      <c r="L135" s="910">
        <v>200000</v>
      </c>
      <c r="M135" s="908">
        <f t="shared" ref="M135:M201" si="17">K135+L135</f>
        <v>326660</v>
      </c>
      <c r="N135" s="924"/>
      <c r="O135" s="926">
        <v>109677</v>
      </c>
      <c r="P135" s="1064">
        <v>182953</v>
      </c>
      <c r="Q135" s="908">
        <f t="shared" ref="Q135:Q201" si="18">O135+P135</f>
        <v>292630</v>
      </c>
      <c r="R135" s="908" t="s">
        <v>136</v>
      </c>
    </row>
    <row r="136" spans="1:18" x14ac:dyDescent="0.2">
      <c r="A136" s="905" t="s">
        <v>2829</v>
      </c>
      <c r="B136" s="5" t="s">
        <v>2830</v>
      </c>
      <c r="C136" s="910">
        <v>105000</v>
      </c>
      <c r="D136" s="910"/>
      <c r="E136" s="908">
        <f t="shared" si="15"/>
        <v>105000</v>
      </c>
      <c r="F136" s="924"/>
      <c r="G136" s="926">
        <v>105000</v>
      </c>
      <c r="H136" s="926">
        <v>190000</v>
      </c>
      <c r="I136" s="908">
        <f t="shared" si="16"/>
        <v>295000</v>
      </c>
      <c r="J136" s="924"/>
      <c r="K136" s="910">
        <v>105000</v>
      </c>
      <c r="L136" s="910">
        <v>200000</v>
      </c>
      <c r="M136" s="908">
        <f t="shared" si="17"/>
        <v>305000</v>
      </c>
      <c r="N136" s="924"/>
      <c r="O136" s="926">
        <v>111572</v>
      </c>
      <c r="P136" s="1064">
        <v>182953</v>
      </c>
      <c r="Q136" s="908">
        <f t="shared" si="18"/>
        <v>294525</v>
      </c>
      <c r="R136" s="908" t="s">
        <v>9</v>
      </c>
    </row>
    <row r="137" spans="1:18" x14ac:dyDescent="0.2">
      <c r="A137" s="905" t="s">
        <v>2288</v>
      </c>
      <c r="B137" s="5" t="s">
        <v>2289</v>
      </c>
      <c r="C137" s="910">
        <v>84992</v>
      </c>
      <c r="D137" s="910">
        <v>200000</v>
      </c>
      <c r="E137" s="908">
        <f t="shared" si="15"/>
        <v>284992</v>
      </c>
      <c r="F137" s="924"/>
      <c r="G137" s="926">
        <v>100000</v>
      </c>
      <c r="H137" s="926">
        <v>200000</v>
      </c>
      <c r="I137" s="908">
        <f t="shared" si="16"/>
        <v>300000</v>
      </c>
      <c r="J137" s="924"/>
      <c r="K137" s="910">
        <v>126660</v>
      </c>
      <c r="L137" s="910">
        <v>200000</v>
      </c>
      <c r="M137" s="908">
        <f t="shared" si="17"/>
        <v>326660</v>
      </c>
      <c r="N137" s="924"/>
      <c r="O137" s="926">
        <v>103788</v>
      </c>
      <c r="P137" s="1064">
        <v>182953</v>
      </c>
      <c r="Q137" s="908">
        <f t="shared" si="18"/>
        <v>286741</v>
      </c>
      <c r="R137" s="908" t="s">
        <v>9</v>
      </c>
    </row>
    <row r="138" spans="1:18" x14ac:dyDescent="0.2">
      <c r="A138" s="905">
        <v>500225305</v>
      </c>
      <c r="B138" s="5" t="s">
        <v>1603</v>
      </c>
      <c r="C138" s="910"/>
      <c r="D138" s="910"/>
      <c r="E138" s="908"/>
      <c r="F138" s="924"/>
      <c r="G138" s="926">
        <v>45000</v>
      </c>
      <c r="H138" s="926"/>
      <c r="I138" s="908">
        <f t="shared" si="16"/>
        <v>45000</v>
      </c>
      <c r="J138" s="924"/>
      <c r="K138" s="910">
        <v>63330</v>
      </c>
      <c r="L138" s="926"/>
      <c r="M138" s="908">
        <f t="shared" si="17"/>
        <v>63330</v>
      </c>
      <c r="N138" s="924"/>
      <c r="O138" s="926"/>
      <c r="P138" s="1064"/>
      <c r="Q138" s="908">
        <f t="shared" si="18"/>
        <v>0</v>
      </c>
      <c r="R138" s="908" t="s">
        <v>12</v>
      </c>
    </row>
    <row r="139" spans="1:18" x14ac:dyDescent="0.2">
      <c r="A139" s="905" t="s">
        <v>2390</v>
      </c>
      <c r="B139" s="5" t="s">
        <v>2687</v>
      </c>
      <c r="C139" s="910">
        <v>169985</v>
      </c>
      <c r="D139" s="910">
        <v>200000</v>
      </c>
      <c r="E139" s="908">
        <f t="shared" ref="E139:E144" si="19">C139+D139</f>
        <v>369985</v>
      </c>
      <c r="F139" s="924"/>
      <c r="G139" s="926">
        <v>87875</v>
      </c>
      <c r="H139" s="926"/>
      <c r="I139" s="908">
        <f t="shared" si="16"/>
        <v>87875</v>
      </c>
      <c r="J139" s="924"/>
      <c r="K139" s="910">
        <v>63330</v>
      </c>
      <c r="L139" s="926"/>
      <c r="M139" s="908">
        <f t="shared" si="17"/>
        <v>63330</v>
      </c>
      <c r="N139" s="924"/>
      <c r="O139" s="926">
        <v>50884</v>
      </c>
      <c r="P139" s="1064"/>
      <c r="Q139" s="908">
        <f t="shared" si="18"/>
        <v>50884</v>
      </c>
      <c r="R139" s="908" t="s">
        <v>32</v>
      </c>
    </row>
    <row r="140" spans="1:18" x14ac:dyDescent="0.2">
      <c r="A140" s="905" t="s">
        <v>2304</v>
      </c>
      <c r="B140" s="5" t="s">
        <v>2305</v>
      </c>
      <c r="C140" s="910">
        <v>169985</v>
      </c>
      <c r="D140" s="910">
        <v>200000</v>
      </c>
      <c r="E140" s="908">
        <f t="shared" si="19"/>
        <v>369985</v>
      </c>
      <c r="F140" s="924"/>
      <c r="G140" s="926">
        <v>175750</v>
      </c>
      <c r="H140" s="926">
        <v>200000</v>
      </c>
      <c r="I140" s="908">
        <f t="shared" si="16"/>
        <v>375750</v>
      </c>
      <c r="J140" s="924"/>
      <c r="K140" s="910">
        <v>126660</v>
      </c>
      <c r="L140" s="926">
        <v>200000</v>
      </c>
      <c r="M140" s="908">
        <f t="shared" si="17"/>
        <v>326660</v>
      </c>
      <c r="N140" s="924"/>
      <c r="O140" s="926">
        <v>143000</v>
      </c>
      <c r="P140" s="1064">
        <v>182953</v>
      </c>
      <c r="Q140" s="908">
        <f t="shared" si="18"/>
        <v>325953</v>
      </c>
      <c r="R140" s="908" t="s">
        <v>32</v>
      </c>
    </row>
    <row r="141" spans="1:18" x14ac:dyDescent="0.2">
      <c r="A141" s="905" t="s">
        <v>2688</v>
      </c>
      <c r="B141" s="5" t="s">
        <v>2689</v>
      </c>
      <c r="C141" s="910">
        <v>84992</v>
      </c>
      <c r="D141" s="910">
        <v>115000</v>
      </c>
      <c r="E141" s="908">
        <f t="shared" si="19"/>
        <v>199992</v>
      </c>
      <c r="F141" s="924"/>
      <c r="G141" s="926">
        <v>87875</v>
      </c>
      <c r="H141" s="926">
        <v>115000</v>
      </c>
      <c r="I141" s="908">
        <f t="shared" si="16"/>
        <v>202875</v>
      </c>
      <c r="J141" s="924"/>
      <c r="K141" s="910">
        <v>63330</v>
      </c>
      <c r="L141" s="910">
        <v>115000</v>
      </c>
      <c r="M141" s="908">
        <f t="shared" si="17"/>
        <v>178330</v>
      </c>
      <c r="N141" s="924"/>
      <c r="O141" s="926">
        <v>54184</v>
      </c>
      <c r="P141" s="1064">
        <v>105198</v>
      </c>
      <c r="Q141" s="908">
        <f t="shared" si="18"/>
        <v>159382</v>
      </c>
      <c r="R141" s="908" t="s">
        <v>9</v>
      </c>
    </row>
    <row r="142" spans="1:18" x14ac:dyDescent="0.2">
      <c r="A142" s="905" t="s">
        <v>2690</v>
      </c>
      <c r="B142" s="5" t="s">
        <v>2691</v>
      </c>
      <c r="C142" s="910">
        <v>50000</v>
      </c>
      <c r="D142" s="910">
        <v>115000</v>
      </c>
      <c r="E142" s="908">
        <f t="shared" si="19"/>
        <v>165000</v>
      </c>
      <c r="F142" s="924"/>
      <c r="G142" s="926">
        <v>49500</v>
      </c>
      <c r="H142" s="926">
        <v>115000</v>
      </c>
      <c r="I142" s="908">
        <f t="shared" si="16"/>
        <v>164500</v>
      </c>
      <c r="J142" s="924"/>
      <c r="K142" s="910">
        <v>63000</v>
      </c>
      <c r="L142" s="910">
        <v>115000</v>
      </c>
      <c r="M142" s="908">
        <f t="shared" si="17"/>
        <v>178000</v>
      </c>
      <c r="N142" s="924"/>
      <c r="O142" s="926">
        <v>54839</v>
      </c>
      <c r="P142" s="1064">
        <v>105198</v>
      </c>
      <c r="Q142" s="908">
        <f t="shared" si="18"/>
        <v>160037</v>
      </c>
      <c r="R142" s="908" t="s">
        <v>9</v>
      </c>
    </row>
    <row r="143" spans="1:18" x14ac:dyDescent="0.2">
      <c r="A143" s="905" t="s">
        <v>2692</v>
      </c>
      <c r="B143" s="5" t="s">
        <v>2693</v>
      </c>
      <c r="C143" s="910">
        <v>169985</v>
      </c>
      <c r="D143" s="910">
        <v>200000</v>
      </c>
      <c r="E143" s="908">
        <f t="shared" si="19"/>
        <v>369985</v>
      </c>
      <c r="F143" s="924"/>
      <c r="G143" s="926">
        <v>123000</v>
      </c>
      <c r="H143" s="926">
        <v>200000</v>
      </c>
      <c r="I143" s="908">
        <f t="shared" si="16"/>
        <v>323000</v>
      </c>
      <c r="J143" s="924"/>
      <c r="K143" s="910">
        <v>126660</v>
      </c>
      <c r="L143" s="910">
        <v>200000</v>
      </c>
      <c r="M143" s="908">
        <f t="shared" si="17"/>
        <v>326660</v>
      </c>
      <c r="N143" s="924"/>
      <c r="O143" s="926">
        <v>125000</v>
      </c>
      <c r="P143" s="1064">
        <v>182953</v>
      </c>
      <c r="Q143" s="908">
        <f t="shared" si="18"/>
        <v>307953</v>
      </c>
      <c r="R143" s="908" t="s">
        <v>32</v>
      </c>
    </row>
    <row r="144" spans="1:18" x14ac:dyDescent="0.2">
      <c r="A144" s="905" t="s">
        <v>2694</v>
      </c>
      <c r="B144" s="5" t="s">
        <v>2695</v>
      </c>
      <c r="C144" s="910">
        <v>127489</v>
      </c>
      <c r="D144" s="910">
        <v>200000</v>
      </c>
      <c r="E144" s="908">
        <f t="shared" si="19"/>
        <v>327489</v>
      </c>
      <c r="F144" s="924"/>
      <c r="G144" s="926"/>
      <c r="H144" s="926">
        <v>200000</v>
      </c>
      <c r="I144" s="908">
        <f t="shared" si="16"/>
        <v>200000</v>
      </c>
      <c r="J144" s="924"/>
      <c r="K144" s="910">
        <v>189990</v>
      </c>
      <c r="L144" s="926">
        <v>200000</v>
      </c>
      <c r="M144" s="908">
        <f t="shared" si="17"/>
        <v>389990</v>
      </c>
      <c r="N144" s="924"/>
      <c r="O144" s="926">
        <v>171000</v>
      </c>
      <c r="P144" s="1064">
        <v>182953</v>
      </c>
      <c r="Q144" s="908">
        <f t="shared" si="18"/>
        <v>353953</v>
      </c>
      <c r="R144" s="908" t="s">
        <v>12</v>
      </c>
    </row>
    <row r="145" spans="1:18" x14ac:dyDescent="0.2">
      <c r="A145" s="905" t="s">
        <v>3039</v>
      </c>
      <c r="B145" s="855" t="s">
        <v>3040</v>
      </c>
      <c r="C145" s="910"/>
      <c r="D145" s="910"/>
      <c r="E145" s="908"/>
      <c r="F145" s="924"/>
      <c r="G145" s="926">
        <v>87875</v>
      </c>
      <c r="H145" s="926"/>
      <c r="I145" s="908">
        <f t="shared" si="16"/>
        <v>87875</v>
      </c>
      <c r="J145" s="924"/>
      <c r="K145" s="910">
        <v>63330</v>
      </c>
      <c r="L145" s="926"/>
      <c r="M145" s="908">
        <f t="shared" si="17"/>
        <v>63330</v>
      </c>
      <c r="N145" s="924"/>
      <c r="O145" s="926">
        <v>35000</v>
      </c>
      <c r="P145" s="1064"/>
      <c r="Q145" s="908">
        <f t="shared" si="18"/>
        <v>35000</v>
      </c>
      <c r="R145" s="908" t="s">
        <v>136</v>
      </c>
    </row>
    <row r="146" spans="1:18" x14ac:dyDescent="0.2">
      <c r="A146" s="905" t="s">
        <v>2696</v>
      </c>
      <c r="B146" s="5" t="s">
        <v>2697</v>
      </c>
      <c r="C146" s="910">
        <v>90000</v>
      </c>
      <c r="D146" s="910">
        <v>200000</v>
      </c>
      <c r="E146" s="908">
        <f>C146+D146</f>
        <v>290000</v>
      </c>
      <c r="F146" s="924"/>
      <c r="G146" s="926">
        <v>173400</v>
      </c>
      <c r="H146" s="926">
        <v>200000</v>
      </c>
      <c r="I146" s="908">
        <f t="shared" si="16"/>
        <v>373400</v>
      </c>
      <c r="J146" s="924"/>
      <c r="K146" s="926">
        <v>126661</v>
      </c>
      <c r="L146" s="926">
        <v>200000</v>
      </c>
      <c r="M146" s="908">
        <f t="shared" si="17"/>
        <v>326661</v>
      </c>
      <c r="N146" s="924"/>
      <c r="O146" s="926">
        <v>140000</v>
      </c>
      <c r="P146" s="1064">
        <v>182953</v>
      </c>
      <c r="Q146" s="908">
        <f t="shared" si="18"/>
        <v>322953</v>
      </c>
      <c r="R146" s="908" t="s">
        <v>32</v>
      </c>
    </row>
    <row r="147" spans="1:18" x14ac:dyDescent="0.2">
      <c r="A147" s="905" t="s">
        <v>2309</v>
      </c>
      <c r="B147" s="5" t="s">
        <v>2310</v>
      </c>
      <c r="C147" s="910">
        <v>169984</v>
      </c>
      <c r="D147" s="910"/>
      <c r="E147" s="908">
        <f>C147+D147</f>
        <v>169984</v>
      </c>
      <c r="F147" s="924"/>
      <c r="G147" s="926">
        <v>87874</v>
      </c>
      <c r="H147" s="926"/>
      <c r="I147" s="908">
        <f t="shared" si="16"/>
        <v>87874</v>
      </c>
      <c r="J147" s="924"/>
      <c r="K147" s="926">
        <v>63330</v>
      </c>
      <c r="L147" s="926"/>
      <c r="M147" s="908">
        <f t="shared" si="17"/>
        <v>63330</v>
      </c>
      <c r="N147" s="924"/>
      <c r="O147" s="926">
        <v>93000</v>
      </c>
      <c r="P147" s="1064"/>
      <c r="Q147" s="908">
        <f t="shared" si="18"/>
        <v>93000</v>
      </c>
      <c r="R147" s="908" t="s">
        <v>136</v>
      </c>
    </row>
    <row r="148" spans="1:18" x14ac:dyDescent="0.2">
      <c r="A148" s="905">
        <v>500226501</v>
      </c>
      <c r="B148" s="5" t="s">
        <v>2273</v>
      </c>
      <c r="C148" s="910"/>
      <c r="D148" s="910"/>
      <c r="E148" s="908"/>
      <c r="F148" s="924"/>
      <c r="G148" s="926">
        <v>85000</v>
      </c>
      <c r="H148" s="926"/>
      <c r="I148" s="908">
        <f t="shared" si="16"/>
        <v>85000</v>
      </c>
      <c r="J148" s="924"/>
      <c r="K148" s="926">
        <v>63330</v>
      </c>
      <c r="L148" s="926"/>
      <c r="M148" s="908">
        <f t="shared" si="17"/>
        <v>63330</v>
      </c>
      <c r="N148" s="924"/>
      <c r="O148" s="926"/>
      <c r="P148" s="1064"/>
      <c r="Q148" s="908">
        <f t="shared" si="18"/>
        <v>0</v>
      </c>
      <c r="R148" s="908" t="s">
        <v>136</v>
      </c>
    </row>
    <row r="149" spans="1:18" x14ac:dyDescent="0.2">
      <c r="A149" s="905">
        <v>500226600</v>
      </c>
      <c r="B149" s="907" t="s">
        <v>2698</v>
      </c>
      <c r="C149" s="910"/>
      <c r="D149" s="910">
        <v>200000</v>
      </c>
      <c r="E149" s="908">
        <f>C149+D149</f>
        <v>200000</v>
      </c>
      <c r="F149" s="924"/>
      <c r="G149" s="926">
        <v>75000</v>
      </c>
      <c r="H149" s="926">
        <v>200000</v>
      </c>
      <c r="I149" s="908">
        <f t="shared" si="16"/>
        <v>275000</v>
      </c>
      <c r="J149" s="924"/>
      <c r="K149" s="910">
        <v>126000</v>
      </c>
      <c r="L149" s="926">
        <v>200000</v>
      </c>
      <c r="M149" s="908">
        <f t="shared" si="17"/>
        <v>326000</v>
      </c>
      <c r="N149" s="924"/>
      <c r="O149" s="926">
        <v>120000</v>
      </c>
      <c r="P149" s="1064">
        <v>182953</v>
      </c>
      <c r="Q149" s="908">
        <f t="shared" si="18"/>
        <v>302953</v>
      </c>
      <c r="R149" s="908" t="s">
        <v>12</v>
      </c>
    </row>
    <row r="150" spans="1:18" x14ac:dyDescent="0.2">
      <c r="A150" s="905" t="s">
        <v>2699</v>
      </c>
      <c r="B150" s="5" t="s">
        <v>2700</v>
      </c>
      <c r="C150" s="910">
        <v>75000</v>
      </c>
      <c r="D150" s="910">
        <v>200000</v>
      </c>
      <c r="E150" s="908">
        <f>C150+D150</f>
        <v>275000</v>
      </c>
      <c r="F150" s="924"/>
      <c r="G150" s="926">
        <v>194200</v>
      </c>
      <c r="H150" s="926">
        <v>197500</v>
      </c>
      <c r="I150" s="908">
        <f t="shared" si="16"/>
        <v>391700</v>
      </c>
      <c r="J150" s="924"/>
      <c r="K150" s="910">
        <v>189990</v>
      </c>
      <c r="L150" s="926">
        <v>200000</v>
      </c>
      <c r="M150" s="908">
        <f t="shared" si="17"/>
        <v>389990</v>
      </c>
      <c r="N150" s="924"/>
      <c r="O150" s="926">
        <v>164516</v>
      </c>
      <c r="P150" s="1064">
        <v>182953</v>
      </c>
      <c r="Q150" s="908">
        <f t="shared" si="18"/>
        <v>347469</v>
      </c>
      <c r="R150" s="908" t="s">
        <v>9</v>
      </c>
    </row>
    <row r="151" spans="1:18" x14ac:dyDescent="0.2">
      <c r="A151" s="905">
        <v>500227202</v>
      </c>
      <c r="B151" s="907" t="s">
        <v>3020</v>
      </c>
      <c r="C151" s="910"/>
      <c r="D151" s="910"/>
      <c r="E151" s="908"/>
      <c r="F151" s="924"/>
      <c r="G151" s="926">
        <v>153000</v>
      </c>
      <c r="H151" s="926">
        <v>200000</v>
      </c>
      <c r="I151" s="908">
        <f t="shared" si="16"/>
        <v>353000</v>
      </c>
      <c r="J151" s="924"/>
      <c r="K151" s="926"/>
      <c r="L151" s="910">
        <v>200000</v>
      </c>
      <c r="M151" s="908">
        <f t="shared" si="17"/>
        <v>200000</v>
      </c>
      <c r="N151" s="924"/>
      <c r="O151" s="926"/>
      <c r="P151" s="1064">
        <v>182953</v>
      </c>
      <c r="Q151" s="908">
        <f t="shared" si="18"/>
        <v>182953</v>
      </c>
      <c r="R151" s="908" t="s">
        <v>12</v>
      </c>
    </row>
    <row r="152" spans="1:18" x14ac:dyDescent="0.2">
      <c r="A152" s="905">
        <v>500227301</v>
      </c>
      <c r="B152" s="907" t="s">
        <v>2701</v>
      </c>
      <c r="C152" s="910"/>
      <c r="D152" s="910">
        <v>200000</v>
      </c>
      <c r="E152" s="908">
        <f t="shared" ref="E152:E181" si="20">C152+D152</f>
        <v>200000</v>
      </c>
      <c r="F152" s="924"/>
      <c r="G152" s="926">
        <v>153000</v>
      </c>
      <c r="H152" s="926">
        <v>200000</v>
      </c>
      <c r="I152" s="908">
        <f t="shared" si="16"/>
        <v>353000</v>
      </c>
      <c r="J152" s="924"/>
      <c r="K152" s="910">
        <v>126660</v>
      </c>
      <c r="L152" s="926">
        <v>200000</v>
      </c>
      <c r="M152" s="908">
        <f t="shared" si="17"/>
        <v>326660</v>
      </c>
      <c r="N152" s="924"/>
      <c r="O152" s="926">
        <v>118800</v>
      </c>
      <c r="P152" s="1064">
        <v>182953</v>
      </c>
      <c r="Q152" s="908">
        <f t="shared" si="18"/>
        <v>301753</v>
      </c>
      <c r="R152" s="908" t="s">
        <v>12</v>
      </c>
    </row>
    <row r="153" spans="1:18" x14ac:dyDescent="0.2">
      <c r="A153" s="905" t="s">
        <v>2702</v>
      </c>
      <c r="B153" s="5" t="s">
        <v>2703</v>
      </c>
      <c r="C153" s="910">
        <v>169985</v>
      </c>
      <c r="D153" s="910">
        <v>200000</v>
      </c>
      <c r="E153" s="908">
        <f t="shared" si="20"/>
        <v>369985</v>
      </c>
      <c r="F153" s="924"/>
      <c r="G153" s="926">
        <v>175750</v>
      </c>
      <c r="H153" s="926">
        <v>200000</v>
      </c>
      <c r="I153" s="908">
        <f t="shared" si="16"/>
        <v>375750</v>
      </c>
      <c r="J153" s="924"/>
      <c r="K153" s="910">
        <v>126659</v>
      </c>
      <c r="L153" s="910">
        <v>200000</v>
      </c>
      <c r="M153" s="908">
        <f t="shared" si="17"/>
        <v>326659</v>
      </c>
      <c r="N153" s="924"/>
      <c r="O153" s="926">
        <v>136810</v>
      </c>
      <c r="P153" s="1064">
        <v>182953</v>
      </c>
      <c r="Q153" s="908">
        <f t="shared" si="18"/>
        <v>319763</v>
      </c>
      <c r="R153" s="908" t="s">
        <v>9</v>
      </c>
    </row>
    <row r="154" spans="1:18" x14ac:dyDescent="0.2">
      <c r="A154" s="905" t="s">
        <v>2302</v>
      </c>
      <c r="B154" s="5" t="s">
        <v>2303</v>
      </c>
      <c r="C154" s="910">
        <v>169984</v>
      </c>
      <c r="D154" s="910">
        <v>114218</v>
      </c>
      <c r="E154" s="908">
        <f t="shared" si="20"/>
        <v>284202</v>
      </c>
      <c r="F154" s="924"/>
      <c r="G154" s="926">
        <v>152000</v>
      </c>
      <c r="H154" s="926">
        <v>115000</v>
      </c>
      <c r="I154" s="908">
        <f t="shared" si="16"/>
        <v>267000</v>
      </c>
      <c r="J154" s="924"/>
      <c r="K154" s="910">
        <v>126660</v>
      </c>
      <c r="L154" s="910">
        <v>115000</v>
      </c>
      <c r="M154" s="908">
        <f t="shared" si="17"/>
        <v>241660</v>
      </c>
      <c r="N154" s="924"/>
      <c r="O154" s="926">
        <v>103500</v>
      </c>
      <c r="P154" s="1064">
        <v>105198</v>
      </c>
      <c r="Q154" s="908">
        <f t="shared" si="18"/>
        <v>208698</v>
      </c>
      <c r="R154" s="908" t="s">
        <v>9</v>
      </c>
    </row>
    <row r="155" spans="1:18" x14ac:dyDescent="0.2">
      <c r="A155" s="905">
        <v>500230008</v>
      </c>
      <c r="B155" s="855" t="s">
        <v>2904</v>
      </c>
      <c r="C155" s="910">
        <v>200000</v>
      </c>
      <c r="D155" s="910"/>
      <c r="E155" s="908">
        <f t="shared" si="20"/>
        <v>200000</v>
      </c>
      <c r="F155" s="924"/>
      <c r="G155" s="926">
        <v>307562</v>
      </c>
      <c r="H155" s="926"/>
      <c r="I155" s="908">
        <f t="shared" si="16"/>
        <v>307562</v>
      </c>
      <c r="J155" s="924"/>
      <c r="K155" s="910">
        <v>221654</v>
      </c>
      <c r="L155" s="926"/>
      <c r="M155" s="908">
        <f t="shared" si="17"/>
        <v>221654</v>
      </c>
      <c r="N155" s="924"/>
      <c r="O155" s="926">
        <v>165000</v>
      </c>
      <c r="P155" s="1064"/>
      <c r="Q155" s="908">
        <f t="shared" si="18"/>
        <v>165000</v>
      </c>
      <c r="R155" s="908" t="s">
        <v>53</v>
      </c>
    </row>
    <row r="156" spans="1:18" x14ac:dyDescent="0.2">
      <c r="A156" s="905" t="s">
        <v>2704</v>
      </c>
      <c r="B156" s="5" t="s">
        <v>2705</v>
      </c>
      <c r="C156" s="910">
        <v>169985</v>
      </c>
      <c r="D156" s="910">
        <v>115000</v>
      </c>
      <c r="E156" s="908">
        <f t="shared" si="20"/>
        <v>284985</v>
      </c>
      <c r="F156" s="924"/>
      <c r="G156" s="926">
        <v>175750</v>
      </c>
      <c r="H156" s="926">
        <v>115000</v>
      </c>
      <c r="I156" s="908">
        <f t="shared" si="16"/>
        <v>290750</v>
      </c>
      <c r="J156" s="924"/>
      <c r="K156" s="926">
        <v>126660</v>
      </c>
      <c r="L156" s="926">
        <v>115000</v>
      </c>
      <c r="M156" s="908">
        <f t="shared" si="17"/>
        <v>241660</v>
      </c>
      <c r="N156" s="924"/>
      <c r="O156" s="926">
        <v>135000</v>
      </c>
      <c r="P156" s="1064">
        <v>105198</v>
      </c>
      <c r="Q156" s="908">
        <f t="shared" si="18"/>
        <v>240198</v>
      </c>
      <c r="R156" s="908" t="s">
        <v>9</v>
      </c>
    </row>
    <row r="157" spans="1:18" x14ac:dyDescent="0.2">
      <c r="A157" s="905">
        <v>500232145</v>
      </c>
      <c r="B157" s="907" t="s">
        <v>2899</v>
      </c>
      <c r="C157" s="910"/>
      <c r="D157" s="910">
        <v>115000</v>
      </c>
      <c r="E157" s="908">
        <f t="shared" si="20"/>
        <v>115000</v>
      </c>
      <c r="F157" s="924"/>
      <c r="G157" s="926">
        <v>160000</v>
      </c>
      <c r="H157" s="926">
        <v>115000</v>
      </c>
      <c r="I157" s="908">
        <f t="shared" si="16"/>
        <v>275000</v>
      </c>
      <c r="J157" s="924"/>
      <c r="K157" s="926">
        <v>126660</v>
      </c>
      <c r="L157" s="910">
        <v>115000</v>
      </c>
      <c r="M157" s="908">
        <f t="shared" si="17"/>
        <v>241660</v>
      </c>
      <c r="N157" s="924"/>
      <c r="O157" s="926">
        <v>160000</v>
      </c>
      <c r="P157" s="1064">
        <v>105198</v>
      </c>
      <c r="Q157" s="908">
        <f t="shared" si="18"/>
        <v>265198</v>
      </c>
      <c r="R157" s="908" t="s">
        <v>9</v>
      </c>
    </row>
    <row r="158" spans="1:18" x14ac:dyDescent="0.2">
      <c r="A158" s="905">
        <v>500232152</v>
      </c>
      <c r="B158" s="907" t="s">
        <v>3225</v>
      </c>
      <c r="C158" s="910"/>
      <c r="D158" s="910"/>
      <c r="E158" s="908"/>
      <c r="F158" s="924"/>
      <c r="G158" s="926"/>
      <c r="H158" s="926"/>
      <c r="I158" s="908"/>
      <c r="J158" s="924"/>
      <c r="K158" s="910">
        <v>63330</v>
      </c>
      <c r="L158" s="926"/>
      <c r="M158" s="908">
        <f t="shared" si="17"/>
        <v>63330</v>
      </c>
      <c r="N158" s="924"/>
      <c r="O158" s="926"/>
      <c r="P158" s="1064"/>
      <c r="Q158" s="908">
        <f t="shared" si="18"/>
        <v>0</v>
      </c>
      <c r="R158" s="908" t="s">
        <v>9</v>
      </c>
    </row>
    <row r="159" spans="1:18" x14ac:dyDescent="0.2">
      <c r="A159" s="905" t="s">
        <v>2871</v>
      </c>
      <c r="B159" s="5" t="s">
        <v>2872</v>
      </c>
      <c r="C159" s="910">
        <v>42496</v>
      </c>
      <c r="D159" s="910"/>
      <c r="E159" s="908">
        <f t="shared" si="20"/>
        <v>42496</v>
      </c>
      <c r="F159" s="924"/>
      <c r="G159" s="926">
        <v>41250</v>
      </c>
      <c r="H159" s="926"/>
      <c r="I159" s="908">
        <f t="shared" si="16"/>
        <v>41250</v>
      </c>
      <c r="J159" s="924"/>
      <c r="K159" s="926">
        <v>31665</v>
      </c>
      <c r="L159" s="926"/>
      <c r="M159" s="908">
        <f t="shared" si="17"/>
        <v>31665</v>
      </c>
      <c r="N159" s="924"/>
      <c r="O159" s="926">
        <v>37500</v>
      </c>
      <c r="P159" s="1064"/>
      <c r="Q159" s="908">
        <f t="shared" si="18"/>
        <v>37500</v>
      </c>
      <c r="R159" s="908" t="s">
        <v>9</v>
      </c>
    </row>
    <row r="160" spans="1:18" x14ac:dyDescent="0.2">
      <c r="A160" s="905" t="s">
        <v>2276</v>
      </c>
      <c r="B160" s="5" t="s">
        <v>2277</v>
      </c>
      <c r="C160" s="910">
        <v>84992</v>
      </c>
      <c r="D160" s="910">
        <v>70000</v>
      </c>
      <c r="E160" s="908">
        <f t="shared" si="20"/>
        <v>154992</v>
      </c>
      <c r="F160" s="924"/>
      <c r="G160" s="926">
        <v>60000</v>
      </c>
      <c r="H160" s="926">
        <v>70000</v>
      </c>
      <c r="I160" s="908">
        <f t="shared" si="16"/>
        <v>130000</v>
      </c>
      <c r="J160" s="924"/>
      <c r="K160" s="910">
        <v>63330</v>
      </c>
      <c r="L160" s="926">
        <v>70000</v>
      </c>
      <c r="M160" s="908">
        <f t="shared" si="17"/>
        <v>133330</v>
      </c>
      <c r="N160" s="924"/>
      <c r="O160" s="926">
        <f>27420*2</f>
        <v>54840</v>
      </c>
      <c r="P160" s="1064">
        <v>64034</v>
      </c>
      <c r="Q160" s="908">
        <f t="shared" si="18"/>
        <v>118874</v>
      </c>
      <c r="R160" s="908" t="s">
        <v>282</v>
      </c>
    </row>
    <row r="161" spans="1:18" x14ac:dyDescent="0.2">
      <c r="A161" s="905" t="s">
        <v>2847</v>
      </c>
      <c r="B161" s="5" t="s">
        <v>2848</v>
      </c>
      <c r="C161" s="910">
        <v>60000</v>
      </c>
      <c r="D161" s="910"/>
      <c r="E161" s="908">
        <f t="shared" si="20"/>
        <v>60000</v>
      </c>
      <c r="F161" s="924"/>
      <c r="G161" s="926">
        <v>43938</v>
      </c>
      <c r="H161" s="926"/>
      <c r="I161" s="908">
        <f t="shared" si="16"/>
        <v>43938</v>
      </c>
      <c r="J161" s="924"/>
      <c r="K161" s="910">
        <v>31665</v>
      </c>
      <c r="L161" s="926"/>
      <c r="M161" s="908">
        <f t="shared" si="17"/>
        <v>31665</v>
      </c>
      <c r="N161" s="924"/>
      <c r="O161" s="926">
        <v>48940</v>
      </c>
      <c r="P161" s="1064"/>
      <c r="Q161" s="908">
        <f t="shared" si="18"/>
        <v>48940</v>
      </c>
      <c r="R161" s="908" t="s">
        <v>282</v>
      </c>
    </row>
    <row r="162" spans="1:18" x14ac:dyDescent="0.2">
      <c r="A162" s="905" t="s">
        <v>2706</v>
      </c>
      <c r="B162" s="5" t="s">
        <v>2707</v>
      </c>
      <c r="C162" s="910">
        <v>169985</v>
      </c>
      <c r="D162" s="910">
        <v>115000</v>
      </c>
      <c r="E162" s="908">
        <f t="shared" si="20"/>
        <v>284985</v>
      </c>
      <c r="F162" s="924"/>
      <c r="G162" s="926">
        <v>156750</v>
      </c>
      <c r="H162" s="926">
        <v>115000</v>
      </c>
      <c r="I162" s="908">
        <f t="shared" si="16"/>
        <v>271750</v>
      </c>
      <c r="J162" s="924"/>
      <c r="K162" s="910">
        <v>126660</v>
      </c>
      <c r="L162" s="926">
        <v>115000</v>
      </c>
      <c r="M162" s="908">
        <f t="shared" si="17"/>
        <v>241660</v>
      </c>
      <c r="N162" s="924"/>
      <c r="O162" s="926">
        <f>50000+68887+25650</f>
        <v>144537</v>
      </c>
      <c r="P162" s="1064">
        <v>105198</v>
      </c>
      <c r="Q162" s="908">
        <f t="shared" si="18"/>
        <v>249735</v>
      </c>
      <c r="R162" s="908" t="s">
        <v>282</v>
      </c>
    </row>
    <row r="163" spans="1:18" x14ac:dyDescent="0.2">
      <c r="A163" s="905" t="s">
        <v>2708</v>
      </c>
      <c r="B163" s="5" t="s">
        <v>2709</v>
      </c>
      <c r="C163" s="910">
        <v>84992</v>
      </c>
      <c r="D163" s="910">
        <v>115000</v>
      </c>
      <c r="E163" s="908">
        <f t="shared" si="20"/>
        <v>199992</v>
      </c>
      <c r="F163" s="924"/>
      <c r="G163" s="926">
        <v>87875</v>
      </c>
      <c r="H163" s="926">
        <v>115000</v>
      </c>
      <c r="I163" s="908">
        <f t="shared" si="16"/>
        <v>202875</v>
      </c>
      <c r="J163" s="924"/>
      <c r="K163" s="926">
        <v>63330</v>
      </c>
      <c r="L163" s="926">
        <v>115000</v>
      </c>
      <c r="M163" s="908">
        <f t="shared" si="17"/>
        <v>178330</v>
      </c>
      <c r="N163" s="924"/>
      <c r="O163" s="926">
        <v>54839</v>
      </c>
      <c r="P163" s="1064">
        <v>76000</v>
      </c>
      <c r="Q163" s="908">
        <f t="shared" si="18"/>
        <v>130839</v>
      </c>
      <c r="R163" s="908" t="s">
        <v>282</v>
      </c>
    </row>
    <row r="164" spans="1:18" x14ac:dyDescent="0.2">
      <c r="A164" s="905" t="s">
        <v>2298</v>
      </c>
      <c r="B164" s="5" t="s">
        <v>2299</v>
      </c>
      <c r="C164" s="910">
        <v>84993</v>
      </c>
      <c r="D164" s="910">
        <v>70000</v>
      </c>
      <c r="E164" s="908">
        <f t="shared" si="20"/>
        <v>154993</v>
      </c>
      <c r="F164" s="924"/>
      <c r="G164" s="926">
        <v>87874</v>
      </c>
      <c r="H164" s="926">
        <v>70000</v>
      </c>
      <c r="I164" s="908">
        <f t="shared" si="16"/>
        <v>157874</v>
      </c>
      <c r="J164" s="924"/>
      <c r="K164" s="910">
        <v>63330</v>
      </c>
      <c r="L164" s="910">
        <v>70000</v>
      </c>
      <c r="M164" s="908">
        <f t="shared" si="17"/>
        <v>133330</v>
      </c>
      <c r="N164" s="924"/>
      <c r="O164" s="926">
        <v>77000</v>
      </c>
      <c r="P164" s="1064">
        <v>64034</v>
      </c>
      <c r="Q164" s="908">
        <f t="shared" si="18"/>
        <v>141034</v>
      </c>
      <c r="R164" s="908" t="s">
        <v>282</v>
      </c>
    </row>
    <row r="165" spans="1:18" x14ac:dyDescent="0.2">
      <c r="A165" s="905" t="s">
        <v>2710</v>
      </c>
      <c r="B165" s="5" t="s">
        <v>2711</v>
      </c>
      <c r="C165" s="910">
        <v>84992</v>
      </c>
      <c r="D165" s="910">
        <v>115000</v>
      </c>
      <c r="E165" s="908">
        <f t="shared" si="20"/>
        <v>199992</v>
      </c>
      <c r="F165" s="924"/>
      <c r="G165" s="926">
        <v>87874</v>
      </c>
      <c r="H165" s="926">
        <v>115000</v>
      </c>
      <c r="I165" s="908">
        <f t="shared" si="16"/>
        <v>202874</v>
      </c>
      <c r="J165" s="924"/>
      <c r="K165" s="910">
        <v>63330</v>
      </c>
      <c r="L165" s="926">
        <v>115000</v>
      </c>
      <c r="M165" s="908">
        <f t="shared" si="17"/>
        <v>178330</v>
      </c>
      <c r="N165" s="924"/>
      <c r="O165" s="926"/>
      <c r="P165" s="1064">
        <v>105198</v>
      </c>
      <c r="Q165" s="908">
        <f t="shared" si="18"/>
        <v>105198</v>
      </c>
      <c r="R165" s="908" t="s">
        <v>282</v>
      </c>
    </row>
    <row r="166" spans="1:18" x14ac:dyDescent="0.2">
      <c r="A166" s="905" t="s">
        <v>2712</v>
      </c>
      <c r="B166" s="5" t="s">
        <v>2713</v>
      </c>
      <c r="C166" s="910">
        <v>169985</v>
      </c>
      <c r="D166" s="910">
        <v>200000</v>
      </c>
      <c r="E166" s="908">
        <f t="shared" si="20"/>
        <v>369985</v>
      </c>
      <c r="F166" s="924"/>
      <c r="G166" s="926">
        <v>175750</v>
      </c>
      <c r="H166" s="926">
        <v>200000</v>
      </c>
      <c r="I166" s="908">
        <f t="shared" si="16"/>
        <v>375750</v>
      </c>
      <c r="J166" s="924"/>
      <c r="K166" s="910">
        <v>126660</v>
      </c>
      <c r="L166" s="926">
        <v>200000</v>
      </c>
      <c r="M166" s="908">
        <f t="shared" si="17"/>
        <v>326660</v>
      </c>
      <c r="N166" s="924"/>
      <c r="O166" s="926">
        <v>109800</v>
      </c>
      <c r="P166" s="1064">
        <v>182953</v>
      </c>
      <c r="Q166" s="908">
        <f t="shared" si="18"/>
        <v>292753</v>
      </c>
      <c r="R166" s="908" t="s">
        <v>282</v>
      </c>
    </row>
    <row r="167" spans="1:18" x14ac:dyDescent="0.2">
      <c r="A167" s="905" t="s">
        <v>2714</v>
      </c>
      <c r="B167" s="5" t="s">
        <v>2715</v>
      </c>
      <c r="C167" s="910">
        <v>84992</v>
      </c>
      <c r="D167" s="910">
        <v>115000</v>
      </c>
      <c r="E167" s="908">
        <f t="shared" si="20"/>
        <v>199992</v>
      </c>
      <c r="F167" s="924"/>
      <c r="G167" s="926">
        <v>70000</v>
      </c>
      <c r="H167" s="926">
        <v>115000</v>
      </c>
      <c r="I167" s="908">
        <f t="shared" si="16"/>
        <v>185000</v>
      </c>
      <c r="J167" s="924"/>
      <c r="K167" s="910">
        <v>63330</v>
      </c>
      <c r="L167" s="910">
        <v>115000</v>
      </c>
      <c r="M167" s="908">
        <f t="shared" si="17"/>
        <v>178330</v>
      </c>
      <c r="N167" s="924"/>
      <c r="O167" s="926">
        <v>64000</v>
      </c>
      <c r="P167" s="1064">
        <v>105198</v>
      </c>
      <c r="Q167" s="908">
        <f t="shared" si="18"/>
        <v>169198</v>
      </c>
      <c r="R167" s="908" t="s">
        <v>282</v>
      </c>
    </row>
    <row r="168" spans="1:18" x14ac:dyDescent="0.2">
      <c r="A168" s="905" t="s">
        <v>2716</v>
      </c>
      <c r="B168" s="5" t="s">
        <v>2717</v>
      </c>
      <c r="C168" s="910">
        <v>84992</v>
      </c>
      <c r="D168" s="910">
        <v>115000</v>
      </c>
      <c r="E168" s="908">
        <f t="shared" si="20"/>
        <v>199992</v>
      </c>
      <c r="F168" s="924"/>
      <c r="G168" s="926">
        <v>87875</v>
      </c>
      <c r="H168" s="926">
        <v>110000</v>
      </c>
      <c r="I168" s="908">
        <f t="shared" si="16"/>
        <v>197875</v>
      </c>
      <c r="J168" s="924"/>
      <c r="K168" s="926">
        <v>63330</v>
      </c>
      <c r="L168" s="926">
        <v>115000</v>
      </c>
      <c r="M168" s="908">
        <f t="shared" si="17"/>
        <v>178330</v>
      </c>
      <c r="N168" s="924"/>
      <c r="O168" s="926">
        <v>70000</v>
      </c>
      <c r="P168" s="1064">
        <v>105198</v>
      </c>
      <c r="Q168" s="908">
        <f t="shared" si="18"/>
        <v>175198</v>
      </c>
      <c r="R168" s="908" t="s">
        <v>282</v>
      </c>
    </row>
    <row r="169" spans="1:18" x14ac:dyDescent="0.2">
      <c r="A169" s="905" t="s">
        <v>2718</v>
      </c>
      <c r="B169" s="5" t="s">
        <v>2719</v>
      </c>
      <c r="C169" s="910">
        <v>84992</v>
      </c>
      <c r="D169" s="910">
        <v>70000</v>
      </c>
      <c r="E169" s="908">
        <f t="shared" si="20"/>
        <v>154992</v>
      </c>
      <c r="F169" s="924"/>
      <c r="G169" s="926">
        <v>43937</v>
      </c>
      <c r="H169" s="926"/>
      <c r="I169" s="908">
        <f t="shared" si="16"/>
        <v>43937</v>
      </c>
      <c r="J169" s="924"/>
      <c r="K169" s="910">
        <v>31665</v>
      </c>
      <c r="L169" s="926"/>
      <c r="M169" s="908">
        <f t="shared" si="17"/>
        <v>31665</v>
      </c>
      <c r="N169" s="924"/>
      <c r="O169" s="926"/>
      <c r="P169" s="1064"/>
      <c r="Q169" s="908">
        <f t="shared" si="18"/>
        <v>0</v>
      </c>
      <c r="R169" s="908" t="s">
        <v>282</v>
      </c>
    </row>
    <row r="170" spans="1:18" x14ac:dyDescent="0.2">
      <c r="A170" s="905" t="s">
        <v>2720</v>
      </c>
      <c r="B170" s="5" t="s">
        <v>2721</v>
      </c>
      <c r="C170" s="910">
        <v>70000</v>
      </c>
      <c r="D170" s="910">
        <v>70000</v>
      </c>
      <c r="E170" s="908">
        <f t="shared" si="20"/>
        <v>140000</v>
      </c>
      <c r="F170" s="924"/>
      <c r="G170" s="926">
        <v>59700</v>
      </c>
      <c r="H170" s="926">
        <v>70000</v>
      </c>
      <c r="I170" s="908">
        <f t="shared" si="16"/>
        <v>129700</v>
      </c>
      <c r="J170" s="924"/>
      <c r="K170" s="926">
        <v>63330</v>
      </c>
      <c r="L170" s="926">
        <v>70000</v>
      </c>
      <c r="M170" s="908">
        <f t="shared" si="17"/>
        <v>133330</v>
      </c>
      <c r="N170" s="924"/>
      <c r="O170" s="926">
        <v>54839</v>
      </c>
      <c r="P170" s="1064">
        <v>64034</v>
      </c>
      <c r="Q170" s="908">
        <f t="shared" si="18"/>
        <v>118873</v>
      </c>
      <c r="R170" s="908" t="s">
        <v>282</v>
      </c>
    </row>
    <row r="171" spans="1:18" x14ac:dyDescent="0.2">
      <c r="A171" s="905">
        <v>500237300</v>
      </c>
      <c r="B171" s="907" t="s">
        <v>2900</v>
      </c>
      <c r="C171" s="910"/>
      <c r="D171" s="910">
        <v>115000</v>
      </c>
      <c r="E171" s="908">
        <f t="shared" si="20"/>
        <v>115000</v>
      </c>
      <c r="F171" s="924"/>
      <c r="G171" s="926"/>
      <c r="H171" s="926">
        <v>115000</v>
      </c>
      <c r="I171" s="908">
        <f t="shared" si="16"/>
        <v>115000</v>
      </c>
      <c r="J171" s="924"/>
      <c r="K171" s="926"/>
      <c r="L171" s="926">
        <v>115000</v>
      </c>
      <c r="M171" s="908">
        <f t="shared" si="17"/>
        <v>115000</v>
      </c>
      <c r="N171" s="924"/>
      <c r="O171" s="926">
        <v>109677</v>
      </c>
      <c r="P171" s="1064">
        <v>105198</v>
      </c>
      <c r="Q171" s="908">
        <f t="shared" si="18"/>
        <v>214875</v>
      </c>
      <c r="R171" s="908" t="s">
        <v>282</v>
      </c>
    </row>
    <row r="172" spans="1:18" x14ac:dyDescent="0.2">
      <c r="A172" s="905" t="s">
        <v>2859</v>
      </c>
      <c r="B172" s="5" t="s">
        <v>2860</v>
      </c>
      <c r="C172" s="910">
        <v>60000</v>
      </c>
      <c r="D172" s="910"/>
      <c r="E172" s="908">
        <f t="shared" si="20"/>
        <v>60000</v>
      </c>
      <c r="F172" s="924"/>
      <c r="G172" s="926">
        <v>37125</v>
      </c>
      <c r="H172" s="926"/>
      <c r="I172" s="908">
        <f t="shared" si="16"/>
        <v>37125</v>
      </c>
      <c r="J172" s="924"/>
      <c r="K172" s="910">
        <v>31664</v>
      </c>
      <c r="L172" s="926"/>
      <c r="M172" s="908">
        <f t="shared" si="17"/>
        <v>31664</v>
      </c>
      <c r="N172" s="924"/>
      <c r="O172" s="926">
        <v>27415</v>
      </c>
      <c r="P172" s="1064"/>
      <c r="Q172" s="908">
        <f t="shared" si="18"/>
        <v>27415</v>
      </c>
      <c r="R172" s="908" t="s">
        <v>282</v>
      </c>
    </row>
    <row r="173" spans="1:18" x14ac:dyDescent="0.2">
      <c r="A173" s="905" t="s">
        <v>2810</v>
      </c>
      <c r="B173" s="5" t="s">
        <v>2811</v>
      </c>
      <c r="C173" s="910">
        <v>84992</v>
      </c>
      <c r="D173" s="910"/>
      <c r="E173" s="908">
        <f t="shared" si="20"/>
        <v>84992</v>
      </c>
      <c r="F173" s="924"/>
      <c r="G173" s="926">
        <v>43937</v>
      </c>
      <c r="H173" s="926"/>
      <c r="I173" s="908">
        <f t="shared" si="16"/>
        <v>43937</v>
      </c>
      <c r="J173" s="924"/>
      <c r="K173" s="926">
        <v>31665</v>
      </c>
      <c r="L173" s="926"/>
      <c r="M173" s="908">
        <f t="shared" si="17"/>
        <v>31665</v>
      </c>
      <c r="N173" s="924"/>
      <c r="O173" s="926"/>
      <c r="P173" s="1064"/>
      <c r="Q173" s="908">
        <f t="shared" si="18"/>
        <v>0</v>
      </c>
      <c r="R173" s="908" t="s">
        <v>282</v>
      </c>
    </row>
    <row r="174" spans="1:18" x14ac:dyDescent="0.2">
      <c r="A174" s="905">
        <v>500237698</v>
      </c>
      <c r="B174" s="5" t="s">
        <v>3226</v>
      </c>
      <c r="C174" s="910"/>
      <c r="D174" s="910"/>
      <c r="E174" s="908"/>
      <c r="F174" s="924"/>
      <c r="G174" s="926"/>
      <c r="H174" s="926"/>
      <c r="I174" s="908"/>
      <c r="J174" s="924"/>
      <c r="K174" s="910">
        <v>31665</v>
      </c>
      <c r="L174" s="926"/>
      <c r="M174" s="908">
        <f t="shared" si="17"/>
        <v>31665</v>
      </c>
      <c r="N174" s="924"/>
      <c r="O174" s="926">
        <v>28502</v>
      </c>
      <c r="P174" s="1064"/>
      <c r="Q174" s="908">
        <f t="shared" si="18"/>
        <v>28502</v>
      </c>
      <c r="R174" s="908" t="s">
        <v>282</v>
      </c>
    </row>
    <row r="175" spans="1:18" x14ac:dyDescent="0.2">
      <c r="A175" s="905" t="s">
        <v>2863</v>
      </c>
      <c r="B175" s="5" t="s">
        <v>2864</v>
      </c>
      <c r="C175" s="910">
        <v>141030</v>
      </c>
      <c r="D175" s="910">
        <v>200000</v>
      </c>
      <c r="E175" s="908">
        <f t="shared" si="20"/>
        <v>341030</v>
      </c>
      <c r="F175" s="924"/>
      <c r="G175" s="926">
        <v>132290</v>
      </c>
      <c r="H175" s="926">
        <v>200000</v>
      </c>
      <c r="I175" s="908">
        <f t="shared" si="16"/>
        <v>332290</v>
      </c>
      <c r="J175" s="924"/>
      <c r="K175" s="926">
        <v>126660</v>
      </c>
      <c r="L175" s="926">
        <v>200000</v>
      </c>
      <c r="M175" s="908">
        <f t="shared" si="17"/>
        <v>326660</v>
      </c>
      <c r="N175" s="924"/>
      <c r="O175" s="926">
        <v>101170</v>
      </c>
      <c r="P175" s="1064">
        <v>182953</v>
      </c>
      <c r="Q175" s="908">
        <f t="shared" si="18"/>
        <v>284123</v>
      </c>
      <c r="R175" s="908" t="s">
        <v>282</v>
      </c>
    </row>
    <row r="176" spans="1:18" x14ac:dyDescent="0.2">
      <c r="A176" s="905" t="s">
        <v>2722</v>
      </c>
      <c r="B176" s="5" t="s">
        <v>2723</v>
      </c>
      <c r="C176" s="910">
        <v>127489</v>
      </c>
      <c r="D176" s="910">
        <v>200000</v>
      </c>
      <c r="E176" s="908">
        <f t="shared" si="20"/>
        <v>327489</v>
      </c>
      <c r="F176" s="924"/>
      <c r="G176" s="926">
        <v>180000</v>
      </c>
      <c r="H176" s="926">
        <v>200000</v>
      </c>
      <c r="I176" s="908">
        <f t="shared" si="16"/>
        <v>380000</v>
      </c>
      <c r="J176" s="924"/>
      <c r="K176" s="910">
        <v>189990</v>
      </c>
      <c r="L176" s="926">
        <v>200000</v>
      </c>
      <c r="M176" s="908">
        <f t="shared" si="17"/>
        <v>389990</v>
      </c>
      <c r="N176" s="924"/>
      <c r="O176" s="926">
        <v>200000</v>
      </c>
      <c r="P176" s="1064">
        <v>182953</v>
      </c>
      <c r="Q176" s="908">
        <f t="shared" si="18"/>
        <v>382953</v>
      </c>
      <c r="R176" s="908" t="s">
        <v>282</v>
      </c>
    </row>
    <row r="177" spans="1:18" x14ac:dyDescent="0.2">
      <c r="A177" s="905" t="s">
        <v>2883</v>
      </c>
      <c r="B177" s="5" t="s">
        <v>2884</v>
      </c>
      <c r="C177" s="910">
        <v>254977</v>
      </c>
      <c r="D177" s="910"/>
      <c r="E177" s="908">
        <f t="shared" si="20"/>
        <v>254977</v>
      </c>
      <c r="F177" s="924"/>
      <c r="G177" s="926">
        <v>250000</v>
      </c>
      <c r="H177" s="926"/>
      <c r="I177" s="908">
        <f t="shared" si="16"/>
        <v>250000</v>
      </c>
      <c r="J177" s="924"/>
      <c r="K177" s="910">
        <v>189990</v>
      </c>
      <c r="L177" s="926"/>
      <c r="M177" s="908">
        <f t="shared" si="17"/>
        <v>189990</v>
      </c>
      <c r="N177" s="924"/>
      <c r="O177" s="926">
        <v>245000</v>
      </c>
      <c r="P177" s="1064"/>
      <c r="Q177" s="908">
        <f t="shared" si="18"/>
        <v>245000</v>
      </c>
      <c r="R177" s="908" t="s">
        <v>9</v>
      </c>
    </row>
    <row r="178" spans="1:18" x14ac:dyDescent="0.2">
      <c r="A178" s="905" t="s">
        <v>2845</v>
      </c>
      <c r="B178" s="5" t="s">
        <v>2846</v>
      </c>
      <c r="C178" s="910">
        <v>84992</v>
      </c>
      <c r="D178" s="910"/>
      <c r="E178" s="908">
        <f t="shared" si="20"/>
        <v>84992</v>
      </c>
      <c r="F178" s="924"/>
      <c r="G178" s="926">
        <v>80000</v>
      </c>
      <c r="H178" s="926">
        <v>115000</v>
      </c>
      <c r="I178" s="908">
        <f t="shared" si="16"/>
        <v>195000</v>
      </c>
      <c r="J178" s="924"/>
      <c r="K178" s="910">
        <v>63330</v>
      </c>
      <c r="L178" s="910">
        <v>115000</v>
      </c>
      <c r="M178" s="908">
        <f t="shared" si="17"/>
        <v>178330</v>
      </c>
      <c r="N178" s="924"/>
      <c r="O178" s="926">
        <v>54900</v>
      </c>
      <c r="P178" s="1064">
        <v>105198</v>
      </c>
      <c r="Q178" s="908">
        <f t="shared" si="18"/>
        <v>160098</v>
      </c>
      <c r="R178" s="908" t="s">
        <v>9</v>
      </c>
    </row>
    <row r="179" spans="1:18" x14ac:dyDescent="0.2">
      <c r="A179" s="905" t="s">
        <v>2724</v>
      </c>
      <c r="B179" s="5" t="s">
        <v>2725</v>
      </c>
      <c r="C179" s="910">
        <v>84992</v>
      </c>
      <c r="D179" s="910">
        <v>115000</v>
      </c>
      <c r="E179" s="908">
        <f t="shared" si="20"/>
        <v>199992</v>
      </c>
      <c r="F179" s="924"/>
      <c r="G179" s="926">
        <v>87875</v>
      </c>
      <c r="H179" s="926">
        <v>115000</v>
      </c>
      <c r="I179" s="908">
        <f t="shared" si="16"/>
        <v>202875</v>
      </c>
      <c r="J179" s="924"/>
      <c r="K179" s="926">
        <v>63330</v>
      </c>
      <c r="L179" s="926">
        <v>115000</v>
      </c>
      <c r="M179" s="908">
        <f t="shared" si="17"/>
        <v>178330</v>
      </c>
      <c r="N179" s="924"/>
      <c r="O179" s="926">
        <v>93500</v>
      </c>
      <c r="P179" s="1064">
        <v>105198</v>
      </c>
      <c r="Q179" s="908">
        <f t="shared" si="18"/>
        <v>198698</v>
      </c>
      <c r="R179" s="908" t="s">
        <v>9</v>
      </c>
    </row>
    <row r="180" spans="1:18" x14ac:dyDescent="0.2">
      <c r="A180" s="905" t="s">
        <v>2877</v>
      </c>
      <c r="B180" s="5" t="s">
        <v>2878</v>
      </c>
      <c r="C180" s="910">
        <v>45000</v>
      </c>
      <c r="D180" s="910"/>
      <c r="E180" s="908">
        <f t="shared" si="20"/>
        <v>45000</v>
      </c>
      <c r="F180" s="924"/>
      <c r="G180" s="926">
        <v>83452</v>
      </c>
      <c r="H180" s="926"/>
      <c r="I180" s="908">
        <f t="shared" si="16"/>
        <v>83452</v>
      </c>
      <c r="J180" s="924"/>
      <c r="K180" s="926">
        <v>63330</v>
      </c>
      <c r="L180" s="926"/>
      <c r="M180" s="908">
        <f t="shared" si="17"/>
        <v>63330</v>
      </c>
      <c r="N180" s="924"/>
      <c r="O180" s="926">
        <v>77325</v>
      </c>
      <c r="P180" s="1064"/>
      <c r="Q180" s="908">
        <f t="shared" si="18"/>
        <v>77325</v>
      </c>
      <c r="R180" s="908" t="s">
        <v>9</v>
      </c>
    </row>
    <row r="181" spans="1:18" x14ac:dyDescent="0.2">
      <c r="A181" s="905" t="s">
        <v>2879</v>
      </c>
      <c r="B181" s="5" t="s">
        <v>2880</v>
      </c>
      <c r="C181" s="910">
        <v>56250</v>
      </c>
      <c r="D181" s="910"/>
      <c r="E181" s="908">
        <f t="shared" si="20"/>
        <v>56250</v>
      </c>
      <c r="F181" s="924"/>
      <c r="G181" s="926">
        <v>58500</v>
      </c>
      <c r="H181" s="926"/>
      <c r="I181" s="908">
        <f t="shared" si="16"/>
        <v>58500</v>
      </c>
      <c r="J181" s="924"/>
      <c r="K181" s="910">
        <v>59500</v>
      </c>
      <c r="L181" s="926"/>
      <c r="M181" s="908">
        <f t="shared" si="17"/>
        <v>59500</v>
      </c>
      <c r="N181" s="924"/>
      <c r="O181" s="926">
        <v>0</v>
      </c>
      <c r="P181" s="1064"/>
      <c r="Q181" s="908">
        <f t="shared" si="18"/>
        <v>0</v>
      </c>
      <c r="R181" s="908" t="s">
        <v>12</v>
      </c>
    </row>
    <row r="182" spans="1:18" x14ac:dyDescent="0.2">
      <c r="A182" s="905">
        <v>500241195</v>
      </c>
      <c r="B182" s="5" t="s">
        <v>3032</v>
      </c>
      <c r="C182" s="910"/>
      <c r="D182" s="910"/>
      <c r="E182" s="908"/>
      <c r="F182" s="924"/>
      <c r="G182" s="926">
        <v>69045</v>
      </c>
      <c r="H182" s="926"/>
      <c r="I182" s="908">
        <f t="shared" si="16"/>
        <v>69045</v>
      </c>
      <c r="J182" s="924"/>
      <c r="K182" s="926">
        <v>63330</v>
      </c>
      <c r="L182" s="926"/>
      <c r="M182" s="908">
        <f t="shared" si="17"/>
        <v>63330</v>
      </c>
      <c r="N182" s="924"/>
      <c r="O182" s="926">
        <v>54839</v>
      </c>
      <c r="P182" s="1064"/>
      <c r="Q182" s="908">
        <f t="shared" si="18"/>
        <v>54839</v>
      </c>
      <c r="R182" s="908" t="s">
        <v>12</v>
      </c>
    </row>
    <row r="183" spans="1:18" x14ac:dyDescent="0.2">
      <c r="A183" s="905" t="s">
        <v>2726</v>
      </c>
      <c r="B183" s="5" t="s">
        <v>2727</v>
      </c>
      <c r="C183" s="910">
        <v>75000</v>
      </c>
      <c r="D183" s="910">
        <v>115000</v>
      </c>
      <c r="E183" s="908">
        <f>C183+D183</f>
        <v>190000</v>
      </c>
      <c r="F183" s="924"/>
      <c r="G183" s="926">
        <v>90000</v>
      </c>
      <c r="H183" s="926">
        <v>115000</v>
      </c>
      <c r="I183" s="908">
        <f t="shared" si="16"/>
        <v>205000</v>
      </c>
      <c r="J183" s="924"/>
      <c r="K183" s="910">
        <v>100000</v>
      </c>
      <c r="L183" s="910">
        <v>115000</v>
      </c>
      <c r="M183" s="908">
        <f t="shared" si="17"/>
        <v>215000</v>
      </c>
      <c r="N183" s="924"/>
      <c r="O183" s="926">
        <v>103176</v>
      </c>
      <c r="P183" s="1064">
        <v>105198</v>
      </c>
      <c r="Q183" s="908">
        <f t="shared" si="18"/>
        <v>208374</v>
      </c>
      <c r="R183" s="908" t="s">
        <v>9</v>
      </c>
    </row>
    <row r="184" spans="1:18" x14ac:dyDescent="0.2">
      <c r="A184" s="905">
        <v>500242037</v>
      </c>
      <c r="B184" s="907" t="s">
        <v>2901</v>
      </c>
      <c r="C184" s="910"/>
      <c r="D184" s="910">
        <v>70000</v>
      </c>
      <c r="E184" s="908">
        <f>C184+D184</f>
        <v>70000</v>
      </c>
      <c r="F184" s="924"/>
      <c r="G184" s="926">
        <v>40000</v>
      </c>
      <c r="H184" s="926">
        <v>70000</v>
      </c>
      <c r="I184" s="908">
        <f t="shared" si="16"/>
        <v>110000</v>
      </c>
      <c r="J184" s="924"/>
      <c r="K184" s="910">
        <v>63330</v>
      </c>
      <c r="L184" s="910">
        <v>70000</v>
      </c>
      <c r="M184" s="908">
        <f t="shared" si="17"/>
        <v>133330</v>
      </c>
      <c r="N184" s="924"/>
      <c r="O184" s="926">
        <v>60621</v>
      </c>
      <c r="P184" s="1064">
        <v>64034</v>
      </c>
      <c r="Q184" s="908">
        <f t="shared" si="18"/>
        <v>124655</v>
      </c>
      <c r="R184" s="908" t="s">
        <v>9</v>
      </c>
    </row>
    <row r="185" spans="1:18" x14ac:dyDescent="0.2">
      <c r="A185" s="905" t="s">
        <v>3041</v>
      </c>
      <c r="B185" s="855" t="s">
        <v>3042</v>
      </c>
      <c r="C185" s="910"/>
      <c r="D185" s="910"/>
      <c r="E185" s="908"/>
      <c r="F185" s="924"/>
      <c r="G185" s="926">
        <v>70500</v>
      </c>
      <c r="H185" s="926"/>
      <c r="I185" s="908">
        <f t="shared" si="16"/>
        <v>70500</v>
      </c>
      <c r="J185" s="924"/>
      <c r="K185" s="926">
        <v>63330</v>
      </c>
      <c r="L185" s="926"/>
      <c r="M185" s="908">
        <f t="shared" si="17"/>
        <v>63330</v>
      </c>
      <c r="N185" s="924"/>
      <c r="O185" s="926"/>
      <c r="P185" s="1064"/>
      <c r="Q185" s="908">
        <f t="shared" si="18"/>
        <v>0</v>
      </c>
      <c r="R185" s="908" t="s">
        <v>12</v>
      </c>
    </row>
    <row r="186" spans="1:18" x14ac:dyDescent="0.2">
      <c r="A186" s="905" t="s">
        <v>2873</v>
      </c>
      <c r="B186" s="5" t="s">
        <v>2874</v>
      </c>
      <c r="C186" s="910">
        <v>84992</v>
      </c>
      <c r="D186" s="910"/>
      <c r="E186" s="908">
        <f t="shared" ref="E186:E192" si="21">C186+D186</f>
        <v>84992</v>
      </c>
      <c r="F186" s="924"/>
      <c r="G186" s="926">
        <v>87875</v>
      </c>
      <c r="H186" s="926"/>
      <c r="I186" s="908">
        <f t="shared" si="16"/>
        <v>87875</v>
      </c>
      <c r="J186" s="924"/>
      <c r="K186" s="926">
        <v>63330</v>
      </c>
      <c r="L186" s="926"/>
      <c r="M186" s="908">
        <f t="shared" si="17"/>
        <v>63330</v>
      </c>
      <c r="N186" s="924"/>
      <c r="O186" s="926">
        <v>72300</v>
      </c>
      <c r="P186" s="1064"/>
      <c r="Q186" s="908">
        <f t="shared" si="18"/>
        <v>72300</v>
      </c>
      <c r="R186" s="908" t="s">
        <v>12</v>
      </c>
    </row>
    <row r="187" spans="1:18" x14ac:dyDescent="0.2">
      <c r="A187" s="905" t="s">
        <v>2806</v>
      </c>
      <c r="B187" s="5" t="s">
        <v>2807</v>
      </c>
      <c r="C187" s="910">
        <v>84992</v>
      </c>
      <c r="D187" s="910"/>
      <c r="E187" s="908">
        <f t="shared" si="21"/>
        <v>84992</v>
      </c>
      <c r="F187" s="924"/>
      <c r="G187" s="926">
        <v>39000</v>
      </c>
      <c r="H187" s="926"/>
      <c r="I187" s="908">
        <f t="shared" si="16"/>
        <v>39000</v>
      </c>
      <c r="J187" s="924"/>
      <c r="K187" s="910">
        <v>60000</v>
      </c>
      <c r="L187" s="926"/>
      <c r="M187" s="908">
        <f t="shared" si="17"/>
        <v>60000</v>
      </c>
      <c r="N187" s="924"/>
      <c r="O187" s="926">
        <v>0</v>
      </c>
      <c r="P187" s="1064"/>
      <c r="Q187" s="908">
        <f t="shared" si="18"/>
        <v>0</v>
      </c>
      <c r="R187" s="908" t="s">
        <v>12</v>
      </c>
    </row>
    <row r="188" spans="1:18" x14ac:dyDescent="0.2">
      <c r="A188" s="905" t="s">
        <v>2728</v>
      </c>
      <c r="B188" s="5" t="s">
        <v>3425</v>
      </c>
      <c r="C188" s="910">
        <v>140000</v>
      </c>
      <c r="D188" s="910">
        <v>115000</v>
      </c>
      <c r="E188" s="908">
        <f t="shared" si="21"/>
        <v>255000</v>
      </c>
      <c r="F188" s="924"/>
      <c r="G188" s="926">
        <v>30000</v>
      </c>
      <c r="H188" s="926">
        <v>115000</v>
      </c>
      <c r="I188" s="908">
        <f t="shared" si="16"/>
        <v>145000</v>
      </c>
      <c r="J188" s="924"/>
      <c r="K188" s="926">
        <v>90000</v>
      </c>
      <c r="L188" s="926">
        <v>115000</v>
      </c>
      <c r="M188" s="908">
        <f t="shared" si="17"/>
        <v>205000</v>
      </c>
      <c r="N188" s="924"/>
      <c r="O188" s="926">
        <v>90000</v>
      </c>
      <c r="P188" s="1064">
        <v>105198</v>
      </c>
      <c r="Q188" s="908">
        <f t="shared" si="18"/>
        <v>195198</v>
      </c>
      <c r="R188" s="908" t="s">
        <v>136</v>
      </c>
    </row>
    <row r="189" spans="1:18" x14ac:dyDescent="0.2">
      <c r="A189" s="905">
        <v>500244280</v>
      </c>
      <c r="B189" s="5" t="s">
        <v>3227</v>
      </c>
      <c r="C189" s="910"/>
      <c r="D189" s="910"/>
      <c r="E189" s="908"/>
      <c r="F189" s="924"/>
      <c r="G189" s="926"/>
      <c r="H189" s="926"/>
      <c r="I189" s="908"/>
      <c r="J189" s="924"/>
      <c r="K189" s="926">
        <v>31665</v>
      </c>
      <c r="L189" s="926"/>
      <c r="M189" s="908">
        <f t="shared" si="17"/>
        <v>31665</v>
      </c>
      <c r="N189" s="924"/>
      <c r="O189" s="926">
        <v>0</v>
      </c>
      <c r="P189" s="1064"/>
      <c r="Q189" s="908">
        <f t="shared" si="18"/>
        <v>0</v>
      </c>
      <c r="R189" s="908" t="s">
        <v>12</v>
      </c>
    </row>
    <row r="190" spans="1:18" x14ac:dyDescent="0.2">
      <c r="A190" s="905" t="s">
        <v>2849</v>
      </c>
      <c r="B190" s="5" t="s">
        <v>2850</v>
      </c>
      <c r="C190" s="910">
        <v>42496</v>
      </c>
      <c r="D190" s="910"/>
      <c r="E190" s="908">
        <f t="shared" si="21"/>
        <v>42496</v>
      </c>
      <c r="F190" s="924"/>
      <c r="G190" s="926">
        <v>52000</v>
      </c>
      <c r="H190" s="926">
        <v>115000</v>
      </c>
      <c r="I190" s="908">
        <f t="shared" si="16"/>
        <v>167000</v>
      </c>
      <c r="J190" s="924"/>
      <c r="K190" s="926">
        <v>63330</v>
      </c>
      <c r="L190" s="926">
        <v>115000</v>
      </c>
      <c r="M190" s="908">
        <f t="shared" si="17"/>
        <v>178330</v>
      </c>
      <c r="N190" s="924"/>
      <c r="O190" s="926">
        <v>54839</v>
      </c>
      <c r="P190" s="1064">
        <v>105198</v>
      </c>
      <c r="Q190" s="908">
        <f t="shared" si="18"/>
        <v>160037</v>
      </c>
      <c r="R190" s="908" t="s">
        <v>12</v>
      </c>
    </row>
    <row r="191" spans="1:18" x14ac:dyDescent="0.2">
      <c r="A191" s="905" t="s">
        <v>2268</v>
      </c>
      <c r="B191" s="5" t="s">
        <v>2269</v>
      </c>
      <c r="C191" s="910">
        <v>67950</v>
      </c>
      <c r="D191" s="910">
        <v>115000</v>
      </c>
      <c r="E191" s="908">
        <f t="shared" si="21"/>
        <v>182950</v>
      </c>
      <c r="F191" s="924"/>
      <c r="G191" s="926">
        <v>87875</v>
      </c>
      <c r="H191" s="926">
        <v>115000</v>
      </c>
      <c r="I191" s="908">
        <f t="shared" si="16"/>
        <v>202875</v>
      </c>
      <c r="J191" s="924"/>
      <c r="K191" s="910">
        <v>63330</v>
      </c>
      <c r="L191" s="926">
        <v>115000</v>
      </c>
      <c r="M191" s="908">
        <f t="shared" si="17"/>
        <v>178330</v>
      </c>
      <c r="N191" s="924"/>
      <c r="O191" s="926">
        <v>69500</v>
      </c>
      <c r="P191" s="1064">
        <v>105198</v>
      </c>
      <c r="Q191" s="908">
        <f t="shared" si="18"/>
        <v>174698</v>
      </c>
      <c r="R191" s="908" t="s">
        <v>32</v>
      </c>
    </row>
    <row r="192" spans="1:18" x14ac:dyDescent="0.2">
      <c r="A192" s="905" t="s">
        <v>2887</v>
      </c>
      <c r="B192" s="5" t="s">
        <v>2888</v>
      </c>
      <c r="C192" s="910">
        <v>42496</v>
      </c>
      <c r="D192" s="910"/>
      <c r="E192" s="908">
        <f t="shared" si="21"/>
        <v>42496</v>
      </c>
      <c r="F192" s="924"/>
      <c r="G192" s="926">
        <v>43937</v>
      </c>
      <c r="H192" s="926"/>
      <c r="I192" s="908">
        <f t="shared" si="16"/>
        <v>43937</v>
      </c>
      <c r="J192" s="924"/>
      <c r="K192" s="926">
        <v>31665</v>
      </c>
      <c r="L192" s="926"/>
      <c r="M192" s="908">
        <f t="shared" si="17"/>
        <v>31665</v>
      </c>
      <c r="N192" s="924"/>
      <c r="O192" s="926">
        <v>48941</v>
      </c>
      <c r="P192" s="1064"/>
      <c r="Q192" s="908">
        <f t="shared" si="18"/>
        <v>48941</v>
      </c>
      <c r="R192" s="908" t="s">
        <v>12</v>
      </c>
    </row>
    <row r="193" spans="1:18" x14ac:dyDescent="0.2">
      <c r="A193" s="905">
        <v>500245014</v>
      </c>
      <c r="B193" s="907" t="s">
        <v>3021</v>
      </c>
      <c r="C193" s="910"/>
      <c r="D193" s="910"/>
      <c r="E193" s="908"/>
      <c r="F193" s="924"/>
      <c r="G193" s="926"/>
      <c r="H193" s="926">
        <v>70000</v>
      </c>
      <c r="I193" s="908">
        <f t="shared" si="16"/>
        <v>70000</v>
      </c>
      <c r="J193" s="924"/>
      <c r="K193" s="910">
        <v>63330</v>
      </c>
      <c r="L193" s="926">
        <v>70000</v>
      </c>
      <c r="M193" s="908">
        <f t="shared" si="17"/>
        <v>133330</v>
      </c>
      <c r="N193" s="924"/>
      <c r="O193" s="926">
        <v>60000</v>
      </c>
      <c r="P193" s="1064">
        <v>64034</v>
      </c>
      <c r="Q193" s="908">
        <f t="shared" si="18"/>
        <v>124034</v>
      </c>
      <c r="R193" s="908" t="s">
        <v>9</v>
      </c>
    </row>
    <row r="194" spans="1:18" x14ac:dyDescent="0.2">
      <c r="A194" s="905" t="s">
        <v>2855</v>
      </c>
      <c r="B194" s="5" t="s">
        <v>2856</v>
      </c>
      <c r="C194" s="910">
        <v>30000</v>
      </c>
      <c r="D194" s="910"/>
      <c r="E194" s="908">
        <f>C194+D194</f>
        <v>30000</v>
      </c>
      <c r="F194" s="924"/>
      <c r="G194" s="926">
        <v>40000</v>
      </c>
      <c r="H194" s="926"/>
      <c r="I194" s="908">
        <f t="shared" si="16"/>
        <v>40000</v>
      </c>
      <c r="J194" s="924"/>
      <c r="K194" s="910">
        <v>63330</v>
      </c>
      <c r="L194" s="910">
        <v>70000</v>
      </c>
      <c r="M194" s="908">
        <f t="shared" si="17"/>
        <v>133330</v>
      </c>
      <c r="N194" s="924"/>
      <c r="O194" s="926">
        <v>96284</v>
      </c>
      <c r="P194" s="1064">
        <v>64034</v>
      </c>
      <c r="Q194" s="908">
        <f t="shared" si="18"/>
        <v>160318</v>
      </c>
      <c r="R194" s="908" t="s">
        <v>9</v>
      </c>
    </row>
    <row r="195" spans="1:18" x14ac:dyDescent="0.2">
      <c r="A195" s="905">
        <v>500250006</v>
      </c>
      <c r="B195" s="5" t="s">
        <v>3033</v>
      </c>
      <c r="C195" s="910"/>
      <c r="D195" s="910"/>
      <c r="E195" s="908"/>
      <c r="F195" s="924"/>
      <c r="G195" s="926">
        <v>181000</v>
      </c>
      <c r="H195" s="926"/>
      <c r="I195" s="908">
        <f t="shared" si="16"/>
        <v>181000</v>
      </c>
      <c r="J195" s="924"/>
      <c r="K195" s="910">
        <v>189990</v>
      </c>
      <c r="L195" s="926"/>
      <c r="M195" s="908">
        <f t="shared" si="17"/>
        <v>189990</v>
      </c>
      <c r="N195" s="924"/>
      <c r="O195" s="926">
        <v>152270</v>
      </c>
      <c r="P195" s="1064"/>
      <c r="Q195" s="908">
        <f t="shared" si="18"/>
        <v>152270</v>
      </c>
      <c r="R195" s="908" t="s">
        <v>136</v>
      </c>
    </row>
    <row r="196" spans="1:18" x14ac:dyDescent="0.2">
      <c r="A196" s="905">
        <v>500260005</v>
      </c>
      <c r="B196" s="907" t="s">
        <v>2902</v>
      </c>
      <c r="C196" s="910"/>
      <c r="D196" s="910">
        <v>200000</v>
      </c>
      <c r="E196" s="908">
        <f t="shared" ref="E196:E206" si="22">C196+D196</f>
        <v>200000</v>
      </c>
      <c r="F196" s="924"/>
      <c r="G196" s="926">
        <v>144000</v>
      </c>
      <c r="H196" s="926">
        <v>200000</v>
      </c>
      <c r="I196" s="908">
        <f t="shared" si="16"/>
        <v>344000</v>
      </c>
      <c r="J196" s="924"/>
      <c r="K196" s="910">
        <v>126660</v>
      </c>
      <c r="L196" s="910">
        <v>200000</v>
      </c>
      <c r="M196" s="908">
        <f t="shared" si="17"/>
        <v>326660</v>
      </c>
      <c r="N196" s="924"/>
      <c r="O196" s="926"/>
      <c r="P196" s="1064">
        <v>0</v>
      </c>
      <c r="Q196" s="908">
        <f t="shared" si="18"/>
        <v>0</v>
      </c>
      <c r="R196" s="908" t="s">
        <v>9</v>
      </c>
    </row>
    <row r="197" spans="1:18" x14ac:dyDescent="0.2">
      <c r="A197" s="905" t="s">
        <v>2865</v>
      </c>
      <c r="B197" s="5" t="s">
        <v>2866</v>
      </c>
      <c r="C197" s="910">
        <v>212481</v>
      </c>
      <c r="D197" s="910"/>
      <c r="E197" s="908">
        <f t="shared" si="22"/>
        <v>212481</v>
      </c>
      <c r="F197" s="924"/>
      <c r="G197" s="926">
        <v>219687</v>
      </c>
      <c r="H197" s="926"/>
      <c r="I197" s="908">
        <f t="shared" si="16"/>
        <v>219687</v>
      </c>
      <c r="J197" s="924"/>
      <c r="K197" s="910">
        <v>158325</v>
      </c>
      <c r="L197" s="926"/>
      <c r="M197" s="908">
        <f t="shared" si="17"/>
        <v>158325</v>
      </c>
      <c r="N197" s="924"/>
      <c r="O197" s="926">
        <v>180000</v>
      </c>
      <c r="P197" s="1064"/>
      <c r="Q197" s="908">
        <f t="shared" si="18"/>
        <v>180000</v>
      </c>
      <c r="R197" s="908" t="s">
        <v>136</v>
      </c>
    </row>
    <row r="198" spans="1:18" x14ac:dyDescent="0.2">
      <c r="A198" s="905">
        <v>500261334</v>
      </c>
      <c r="B198" s="907" t="s">
        <v>2903</v>
      </c>
      <c r="C198" s="910"/>
      <c r="D198" s="910">
        <v>200000</v>
      </c>
      <c r="E198" s="908">
        <f t="shared" si="22"/>
        <v>200000</v>
      </c>
      <c r="F198" s="924"/>
      <c r="G198" s="926">
        <v>87875</v>
      </c>
      <c r="H198" s="926"/>
      <c r="I198" s="908">
        <f t="shared" si="16"/>
        <v>87875</v>
      </c>
      <c r="J198" s="924"/>
      <c r="K198" s="910">
        <v>63330</v>
      </c>
      <c r="L198" s="926"/>
      <c r="M198" s="908">
        <f t="shared" si="17"/>
        <v>63330</v>
      </c>
      <c r="N198" s="924"/>
      <c r="O198" s="926"/>
      <c r="P198" s="1064"/>
      <c r="Q198" s="908">
        <f t="shared" si="18"/>
        <v>0</v>
      </c>
      <c r="R198" s="908" t="s">
        <v>32</v>
      </c>
    </row>
    <row r="199" spans="1:18" x14ac:dyDescent="0.2">
      <c r="A199" s="905" t="s">
        <v>2729</v>
      </c>
      <c r="B199" s="5" t="s">
        <v>2730</v>
      </c>
      <c r="C199" s="910">
        <v>108000</v>
      </c>
      <c r="D199" s="910">
        <v>115000</v>
      </c>
      <c r="E199" s="908">
        <f t="shared" si="22"/>
        <v>223000</v>
      </c>
      <c r="F199" s="924"/>
      <c r="G199" s="926">
        <v>35000</v>
      </c>
      <c r="H199" s="926">
        <v>115000</v>
      </c>
      <c r="I199" s="908">
        <f t="shared" si="16"/>
        <v>150000</v>
      </c>
      <c r="J199" s="924"/>
      <c r="K199" s="910">
        <v>126659</v>
      </c>
      <c r="L199" s="910">
        <v>115000</v>
      </c>
      <c r="M199" s="908">
        <f t="shared" si="17"/>
        <v>241659</v>
      </c>
      <c r="N199" s="924"/>
      <c r="O199" s="926">
        <v>75000</v>
      </c>
      <c r="P199" s="1064">
        <v>105000</v>
      </c>
      <c r="Q199" s="908">
        <f t="shared" si="18"/>
        <v>180000</v>
      </c>
      <c r="R199" s="908" t="s">
        <v>32</v>
      </c>
    </row>
    <row r="200" spans="1:18" x14ac:dyDescent="0.2">
      <c r="A200" s="905" t="s">
        <v>2867</v>
      </c>
      <c r="B200" s="5" t="s">
        <v>2868</v>
      </c>
      <c r="C200" s="910">
        <v>42496</v>
      </c>
      <c r="D200" s="910"/>
      <c r="E200" s="908">
        <f t="shared" si="22"/>
        <v>42496</v>
      </c>
      <c r="F200" s="924"/>
      <c r="G200" s="926">
        <v>43937</v>
      </c>
      <c r="H200" s="926"/>
      <c r="I200" s="908">
        <f t="shared" si="16"/>
        <v>43937</v>
      </c>
      <c r="J200" s="924"/>
      <c r="K200" s="926">
        <v>31665</v>
      </c>
      <c r="L200" s="926"/>
      <c r="M200" s="908">
        <f t="shared" si="17"/>
        <v>31665</v>
      </c>
      <c r="N200" s="924"/>
      <c r="O200" s="926">
        <v>32250</v>
      </c>
      <c r="P200" s="1064"/>
      <c r="Q200" s="908">
        <f t="shared" si="18"/>
        <v>32250</v>
      </c>
      <c r="R200" s="908" t="s">
        <v>32</v>
      </c>
    </row>
    <row r="201" spans="1:18" x14ac:dyDescent="0.2">
      <c r="A201" s="905" t="s">
        <v>2296</v>
      </c>
      <c r="B201" s="5" t="s">
        <v>2297</v>
      </c>
      <c r="C201" s="910">
        <v>160000</v>
      </c>
      <c r="D201" s="910">
        <v>115000</v>
      </c>
      <c r="E201" s="908">
        <f t="shared" si="22"/>
        <v>275000</v>
      </c>
      <c r="F201" s="924"/>
      <c r="G201" s="926">
        <v>175750</v>
      </c>
      <c r="H201" s="926">
        <v>115000</v>
      </c>
      <c r="I201" s="908">
        <f t="shared" si="16"/>
        <v>290750</v>
      </c>
      <c r="J201" s="924"/>
      <c r="K201" s="910">
        <v>126659</v>
      </c>
      <c r="L201" s="926">
        <v>115000</v>
      </c>
      <c r="M201" s="908">
        <f t="shared" si="17"/>
        <v>241659</v>
      </c>
      <c r="N201" s="924"/>
      <c r="O201" s="926">
        <f>81000+163000</f>
        <v>244000</v>
      </c>
      <c r="P201" s="1064">
        <v>105198</v>
      </c>
      <c r="Q201" s="908">
        <f t="shared" si="18"/>
        <v>349198</v>
      </c>
      <c r="R201" s="908" t="s">
        <v>32</v>
      </c>
    </row>
    <row r="202" spans="1:18" x14ac:dyDescent="0.2">
      <c r="A202" s="905" t="s">
        <v>2731</v>
      </c>
      <c r="B202" s="5" t="s">
        <v>2732</v>
      </c>
      <c r="C202" s="910">
        <v>84992</v>
      </c>
      <c r="D202" s="910">
        <v>115000</v>
      </c>
      <c r="E202" s="908">
        <f t="shared" si="22"/>
        <v>199992</v>
      </c>
      <c r="F202" s="924"/>
      <c r="G202" s="926">
        <v>87875</v>
      </c>
      <c r="H202" s="926">
        <v>115000</v>
      </c>
      <c r="I202" s="908">
        <f t="shared" ref="I202:I254" si="23">G202+H202</f>
        <v>202875</v>
      </c>
      <c r="J202" s="924"/>
      <c r="K202" s="910">
        <v>363330</v>
      </c>
      <c r="L202" s="910">
        <v>115000</v>
      </c>
      <c r="M202" s="908">
        <f t="shared" ref="M202:M254" si="24">K202+L202</f>
        <v>478330</v>
      </c>
      <c r="N202" s="924"/>
      <c r="O202" s="926">
        <v>245682</v>
      </c>
      <c r="P202" s="1064">
        <v>105198</v>
      </c>
      <c r="Q202" s="908">
        <f t="shared" ref="Q202:Q255" si="25">O202+P202</f>
        <v>350880</v>
      </c>
      <c r="R202" s="908" t="s">
        <v>32</v>
      </c>
    </row>
    <row r="203" spans="1:18" x14ac:dyDescent="0.2">
      <c r="A203" s="905" t="s">
        <v>2278</v>
      </c>
      <c r="B203" s="5" t="s">
        <v>2279</v>
      </c>
      <c r="C203" s="910">
        <v>169986</v>
      </c>
      <c r="D203" s="910">
        <v>115000</v>
      </c>
      <c r="E203" s="908">
        <f t="shared" si="22"/>
        <v>284986</v>
      </c>
      <c r="F203" s="924"/>
      <c r="G203" s="926">
        <v>87875</v>
      </c>
      <c r="H203" s="926">
        <v>115000</v>
      </c>
      <c r="I203" s="908">
        <f t="shared" si="23"/>
        <v>202875</v>
      </c>
      <c r="J203" s="924"/>
      <c r="K203" s="910">
        <v>63330</v>
      </c>
      <c r="L203" s="910">
        <v>115000</v>
      </c>
      <c r="M203" s="908">
        <f t="shared" si="24"/>
        <v>178330</v>
      </c>
      <c r="N203" s="924"/>
      <c r="O203" s="926">
        <v>51320</v>
      </c>
      <c r="P203" s="1064">
        <v>105198</v>
      </c>
      <c r="Q203" s="908">
        <f t="shared" si="25"/>
        <v>156518</v>
      </c>
      <c r="R203" s="908" t="s">
        <v>32</v>
      </c>
    </row>
    <row r="204" spans="1:18" x14ac:dyDescent="0.2">
      <c r="A204" s="905" t="s">
        <v>2266</v>
      </c>
      <c r="B204" s="5" t="s">
        <v>2267</v>
      </c>
      <c r="C204" s="910">
        <v>169985</v>
      </c>
      <c r="D204" s="910"/>
      <c r="E204" s="908">
        <f t="shared" si="22"/>
        <v>169985</v>
      </c>
      <c r="F204" s="924"/>
      <c r="G204" s="926">
        <v>125550</v>
      </c>
      <c r="H204" s="926"/>
      <c r="I204" s="908">
        <f t="shared" si="23"/>
        <v>125550</v>
      </c>
      <c r="J204" s="924"/>
      <c r="K204" s="910">
        <v>120000</v>
      </c>
      <c r="L204" s="926"/>
      <c r="M204" s="908">
        <f t="shared" si="24"/>
        <v>120000</v>
      </c>
      <c r="N204" s="924"/>
      <c r="O204" s="926"/>
      <c r="P204" s="1064"/>
      <c r="Q204" s="908">
        <f t="shared" si="25"/>
        <v>0</v>
      </c>
      <c r="R204" s="908" t="s">
        <v>136</v>
      </c>
    </row>
    <row r="205" spans="1:18" x14ac:dyDescent="0.2">
      <c r="A205" s="905" t="s">
        <v>2733</v>
      </c>
      <c r="B205" s="5" t="s">
        <v>2734</v>
      </c>
      <c r="C205" s="910">
        <v>67600</v>
      </c>
      <c r="D205" s="910">
        <v>115000</v>
      </c>
      <c r="E205" s="908">
        <f t="shared" si="22"/>
        <v>182600</v>
      </c>
      <c r="F205" s="924"/>
      <c r="G205" s="926">
        <v>67600</v>
      </c>
      <c r="H205" s="926">
        <v>115000</v>
      </c>
      <c r="I205" s="908">
        <f t="shared" si="23"/>
        <v>182600</v>
      </c>
      <c r="J205" s="924"/>
      <c r="K205" s="926">
        <f>50000+126659</f>
        <v>176659</v>
      </c>
      <c r="L205" s="926">
        <v>115000</v>
      </c>
      <c r="M205" s="908">
        <f t="shared" si="24"/>
        <v>291659</v>
      </c>
      <c r="N205" s="924"/>
      <c r="O205" s="926">
        <v>252000</v>
      </c>
      <c r="P205" s="1064">
        <v>105198</v>
      </c>
      <c r="Q205" s="908">
        <f t="shared" si="25"/>
        <v>357198</v>
      </c>
      <c r="R205" s="908" t="s">
        <v>32</v>
      </c>
    </row>
    <row r="206" spans="1:18" x14ac:dyDescent="0.2">
      <c r="A206" s="905" t="s">
        <v>2311</v>
      </c>
      <c r="B206" s="5" t="s">
        <v>2312</v>
      </c>
      <c r="C206" s="910">
        <v>84992</v>
      </c>
      <c r="D206" s="910">
        <v>115000</v>
      </c>
      <c r="E206" s="908">
        <f t="shared" si="22"/>
        <v>199992</v>
      </c>
      <c r="F206" s="924"/>
      <c r="G206" s="926">
        <v>87875</v>
      </c>
      <c r="H206" s="926">
        <v>115000</v>
      </c>
      <c r="I206" s="908">
        <f t="shared" si="23"/>
        <v>202875</v>
      </c>
      <c r="J206" s="924"/>
      <c r="K206" s="910">
        <v>63330</v>
      </c>
      <c r="L206" s="926">
        <v>115000</v>
      </c>
      <c r="M206" s="908">
        <f t="shared" si="24"/>
        <v>178330</v>
      </c>
      <c r="N206" s="924"/>
      <c r="O206" s="926">
        <v>100000</v>
      </c>
      <c r="P206" s="1064">
        <v>105198</v>
      </c>
      <c r="Q206" s="908">
        <f t="shared" si="25"/>
        <v>205198</v>
      </c>
      <c r="R206" s="908" t="s">
        <v>32</v>
      </c>
    </row>
    <row r="207" spans="1:18" x14ac:dyDescent="0.2">
      <c r="A207" s="905">
        <v>500262415</v>
      </c>
      <c r="B207" s="5" t="s">
        <v>3034</v>
      </c>
      <c r="C207" s="910"/>
      <c r="D207" s="910"/>
      <c r="E207" s="908"/>
      <c r="F207" s="924"/>
      <c r="G207" s="926">
        <v>75900</v>
      </c>
      <c r="H207" s="926"/>
      <c r="I207" s="908">
        <f t="shared" si="23"/>
        <v>75900</v>
      </c>
      <c r="J207" s="924"/>
      <c r="K207" s="926">
        <v>63330</v>
      </c>
      <c r="L207" s="926">
        <v>115000</v>
      </c>
      <c r="M207" s="908">
        <f t="shared" si="24"/>
        <v>178330</v>
      </c>
      <c r="N207" s="924"/>
      <c r="O207" s="926">
        <v>55000</v>
      </c>
      <c r="P207" s="1064">
        <v>105198</v>
      </c>
      <c r="Q207" s="908">
        <f t="shared" si="25"/>
        <v>160198</v>
      </c>
      <c r="R207" s="908" t="s">
        <v>32</v>
      </c>
    </row>
    <row r="208" spans="1:18" x14ac:dyDescent="0.2">
      <c r="A208" s="905" t="s">
        <v>2264</v>
      </c>
      <c r="B208" s="5" t="s">
        <v>2265</v>
      </c>
      <c r="C208" s="910">
        <v>150000</v>
      </c>
      <c r="D208" s="910">
        <v>115000</v>
      </c>
      <c r="E208" s="908">
        <f t="shared" ref="E208:E215" si="26">C208+D208</f>
        <v>265000</v>
      </c>
      <c r="F208" s="924"/>
      <c r="G208" s="926">
        <v>175750</v>
      </c>
      <c r="H208" s="926">
        <v>115000</v>
      </c>
      <c r="I208" s="908">
        <f t="shared" si="23"/>
        <v>290750</v>
      </c>
      <c r="J208" s="924"/>
      <c r="K208" s="926">
        <v>126660</v>
      </c>
      <c r="L208" s="926">
        <v>115000</v>
      </c>
      <c r="M208" s="908">
        <f t="shared" si="24"/>
        <v>241660</v>
      </c>
      <c r="N208" s="924"/>
      <c r="O208" s="926">
        <v>163000</v>
      </c>
      <c r="P208" s="1064">
        <v>105198</v>
      </c>
      <c r="Q208" s="908">
        <f t="shared" si="25"/>
        <v>268198</v>
      </c>
      <c r="R208" s="908" t="s">
        <v>32</v>
      </c>
    </row>
    <row r="209" spans="1:19" x14ac:dyDescent="0.2">
      <c r="A209" s="905" t="s">
        <v>2825</v>
      </c>
      <c r="B209" s="5" t="s">
        <v>2826</v>
      </c>
      <c r="C209" s="910">
        <v>84992</v>
      </c>
      <c r="D209" s="910"/>
      <c r="E209" s="908">
        <f t="shared" si="26"/>
        <v>84992</v>
      </c>
      <c r="F209" s="924"/>
      <c r="G209" s="926"/>
      <c r="H209" s="926">
        <v>70000</v>
      </c>
      <c r="I209" s="908">
        <f t="shared" si="23"/>
        <v>70000</v>
      </c>
      <c r="J209" s="924"/>
      <c r="K209" s="910">
        <v>63330</v>
      </c>
      <c r="L209" s="926">
        <v>115000</v>
      </c>
      <c r="M209" s="908">
        <f t="shared" si="24"/>
        <v>178330</v>
      </c>
      <c r="N209" s="924"/>
      <c r="O209" s="926">
        <v>0</v>
      </c>
      <c r="P209" s="1064">
        <v>105198</v>
      </c>
      <c r="Q209" s="908">
        <f t="shared" si="25"/>
        <v>105198</v>
      </c>
      <c r="R209" s="908" t="s">
        <v>32</v>
      </c>
    </row>
    <row r="210" spans="1:19" x14ac:dyDescent="0.2">
      <c r="A210" s="905" t="s">
        <v>2837</v>
      </c>
      <c r="B210" s="5" t="s">
        <v>2838</v>
      </c>
      <c r="C210" s="910">
        <v>84992</v>
      </c>
      <c r="D210" s="910"/>
      <c r="E210" s="908">
        <f t="shared" si="26"/>
        <v>84992</v>
      </c>
      <c r="F210" s="924"/>
      <c r="G210" s="926">
        <v>60375</v>
      </c>
      <c r="H210" s="926">
        <v>70000</v>
      </c>
      <c r="I210" s="908">
        <f t="shared" si="23"/>
        <v>130375</v>
      </c>
      <c r="J210" s="924"/>
      <c r="K210" s="910">
        <v>63330</v>
      </c>
      <c r="L210" s="910">
        <v>70000</v>
      </c>
      <c r="M210" s="908">
        <f t="shared" si="24"/>
        <v>133330</v>
      </c>
      <c r="N210" s="924"/>
      <c r="O210" s="926">
        <v>0</v>
      </c>
      <c r="P210" s="1064">
        <v>64034</v>
      </c>
      <c r="Q210" s="908">
        <f t="shared" si="25"/>
        <v>64034</v>
      </c>
      <c r="R210" s="908" t="s">
        <v>32</v>
      </c>
      <c r="S210" s="835"/>
    </row>
    <row r="211" spans="1:19" x14ac:dyDescent="0.2">
      <c r="A211" s="905" t="s">
        <v>2735</v>
      </c>
      <c r="B211" s="5" t="s">
        <v>2736</v>
      </c>
      <c r="C211" s="910">
        <v>84992</v>
      </c>
      <c r="D211" s="910">
        <v>115000</v>
      </c>
      <c r="E211" s="908">
        <f t="shared" si="26"/>
        <v>199992</v>
      </c>
      <c r="F211" s="924"/>
      <c r="G211" s="926">
        <v>87875</v>
      </c>
      <c r="H211" s="926">
        <v>115000</v>
      </c>
      <c r="I211" s="908">
        <f t="shared" si="23"/>
        <v>202875</v>
      </c>
      <c r="J211" s="924"/>
      <c r="K211" s="910">
        <v>63330</v>
      </c>
      <c r="L211" s="910">
        <v>115000</v>
      </c>
      <c r="M211" s="908">
        <f t="shared" si="24"/>
        <v>178330</v>
      </c>
      <c r="N211" s="924"/>
      <c r="O211" s="926">
        <v>60284</v>
      </c>
      <c r="P211" s="1064">
        <v>105198</v>
      </c>
      <c r="Q211" s="908">
        <f t="shared" si="25"/>
        <v>165482</v>
      </c>
      <c r="R211" s="908" t="s">
        <v>9</v>
      </c>
    </row>
    <row r="212" spans="1:19" x14ac:dyDescent="0.2">
      <c r="A212" s="905" t="s">
        <v>2737</v>
      </c>
      <c r="B212" s="5" t="s">
        <v>2738</v>
      </c>
      <c r="C212" s="910">
        <v>60000</v>
      </c>
      <c r="D212" s="910">
        <v>70000</v>
      </c>
      <c r="E212" s="908">
        <f t="shared" si="26"/>
        <v>130000</v>
      </c>
      <c r="F212" s="924"/>
      <c r="G212" s="926">
        <v>87875</v>
      </c>
      <c r="H212" s="926">
        <v>70000</v>
      </c>
      <c r="I212" s="908">
        <f t="shared" si="23"/>
        <v>157875</v>
      </c>
      <c r="J212" s="924"/>
      <c r="K212" s="910">
        <v>63330</v>
      </c>
      <c r="L212" s="910">
        <v>70000</v>
      </c>
      <c r="M212" s="908">
        <f t="shared" si="24"/>
        <v>133330</v>
      </c>
      <c r="N212" s="924"/>
      <c r="O212" s="926">
        <v>64000</v>
      </c>
      <c r="P212" s="1064">
        <v>64034</v>
      </c>
      <c r="Q212" s="908">
        <f t="shared" si="25"/>
        <v>128034</v>
      </c>
      <c r="R212" s="908" t="s">
        <v>32</v>
      </c>
    </row>
    <row r="213" spans="1:19" x14ac:dyDescent="0.2">
      <c r="A213" s="905" t="s">
        <v>2827</v>
      </c>
      <c r="B213" s="5" t="s">
        <v>2828</v>
      </c>
      <c r="C213" s="910">
        <v>82260</v>
      </c>
      <c r="D213" s="910"/>
      <c r="E213" s="908">
        <f t="shared" si="26"/>
        <v>82260</v>
      </c>
      <c r="F213" s="924"/>
      <c r="G213" s="926">
        <v>87875</v>
      </c>
      <c r="H213" s="926">
        <v>70000</v>
      </c>
      <c r="I213" s="908">
        <f t="shared" si="23"/>
        <v>157875</v>
      </c>
      <c r="J213" s="924"/>
      <c r="K213" s="910">
        <v>63330</v>
      </c>
      <c r="L213" s="910">
        <v>70000</v>
      </c>
      <c r="M213" s="908">
        <f t="shared" si="24"/>
        <v>133330</v>
      </c>
      <c r="N213" s="924"/>
      <c r="O213" s="926">
        <v>62000</v>
      </c>
      <c r="P213" s="1064">
        <v>64034</v>
      </c>
      <c r="Q213" s="908">
        <f t="shared" si="25"/>
        <v>126034</v>
      </c>
      <c r="R213" s="908" t="s">
        <v>32</v>
      </c>
    </row>
    <row r="214" spans="1:19" x14ac:dyDescent="0.2">
      <c r="A214" s="905" t="s">
        <v>2783</v>
      </c>
      <c r="B214" s="5" t="s">
        <v>2784</v>
      </c>
      <c r="C214" s="910">
        <v>84992</v>
      </c>
      <c r="D214" s="910">
        <v>200000</v>
      </c>
      <c r="E214" s="908">
        <f t="shared" si="26"/>
        <v>284992</v>
      </c>
      <c r="F214" s="924"/>
      <c r="G214" s="926">
        <v>75000</v>
      </c>
      <c r="H214" s="926">
        <v>200000</v>
      </c>
      <c r="I214" s="908">
        <f t="shared" si="23"/>
        <v>275000</v>
      </c>
      <c r="J214" s="924"/>
      <c r="K214" s="910">
        <v>63330</v>
      </c>
      <c r="L214" s="926">
        <v>115000</v>
      </c>
      <c r="M214" s="908">
        <f t="shared" si="24"/>
        <v>178330</v>
      </c>
      <c r="N214" s="924"/>
      <c r="O214" s="926">
        <v>75000</v>
      </c>
      <c r="P214" s="1064">
        <v>105198</v>
      </c>
      <c r="Q214" s="908">
        <f t="shared" si="25"/>
        <v>180198</v>
      </c>
      <c r="R214" s="908" t="s">
        <v>32</v>
      </c>
    </row>
    <row r="215" spans="1:19" x14ac:dyDescent="0.2">
      <c r="A215" s="905" t="s">
        <v>2785</v>
      </c>
      <c r="B215" s="5" t="s">
        <v>2786</v>
      </c>
      <c r="C215" s="910">
        <v>84992</v>
      </c>
      <c r="D215" s="910">
        <v>200000</v>
      </c>
      <c r="E215" s="908">
        <f t="shared" si="26"/>
        <v>284992</v>
      </c>
      <c r="F215" s="924"/>
      <c r="G215" s="926">
        <v>88875</v>
      </c>
      <c r="H215" s="926">
        <v>200000</v>
      </c>
      <c r="I215" s="908">
        <f t="shared" si="23"/>
        <v>288875</v>
      </c>
      <c r="J215" s="924"/>
      <c r="K215" s="910">
        <v>63330</v>
      </c>
      <c r="L215" s="926">
        <v>115000</v>
      </c>
      <c r="M215" s="908">
        <f t="shared" si="24"/>
        <v>178330</v>
      </c>
      <c r="N215" s="924"/>
      <c r="O215" s="926">
        <v>0</v>
      </c>
      <c r="P215" s="1064">
        <v>105198</v>
      </c>
      <c r="Q215" s="908">
        <f t="shared" si="25"/>
        <v>105198</v>
      </c>
      <c r="R215" s="908" t="s">
        <v>32</v>
      </c>
    </row>
    <row r="216" spans="1:19" x14ac:dyDescent="0.2">
      <c r="A216" s="905">
        <v>500263009</v>
      </c>
      <c r="B216" s="5" t="s">
        <v>3035</v>
      </c>
      <c r="C216" s="910"/>
      <c r="D216" s="910"/>
      <c r="E216" s="908"/>
      <c r="F216" s="924"/>
      <c r="G216" s="926">
        <v>79500</v>
      </c>
      <c r="H216" s="926"/>
      <c r="I216" s="908">
        <f t="shared" si="23"/>
        <v>79500</v>
      </c>
      <c r="J216" s="924"/>
      <c r="K216" s="910">
        <v>90385</v>
      </c>
      <c r="L216" s="926"/>
      <c r="M216" s="908">
        <f t="shared" si="24"/>
        <v>90385</v>
      </c>
      <c r="N216" s="924"/>
      <c r="O216" s="926">
        <v>51145</v>
      </c>
      <c r="P216" s="1064"/>
      <c r="Q216" s="908">
        <f t="shared" si="25"/>
        <v>51145</v>
      </c>
      <c r="R216" s="908" t="s">
        <v>136</v>
      </c>
    </row>
    <row r="217" spans="1:19" x14ac:dyDescent="0.2">
      <c r="A217" s="905" t="s">
        <v>2425</v>
      </c>
      <c r="B217" s="5" t="s">
        <v>2803</v>
      </c>
      <c r="C217" s="910">
        <v>58670</v>
      </c>
      <c r="D217" s="910"/>
      <c r="E217" s="908">
        <f>C217+D217</f>
        <v>58670</v>
      </c>
      <c r="F217" s="924"/>
      <c r="G217" s="926">
        <v>74200</v>
      </c>
      <c r="H217" s="926"/>
      <c r="I217" s="908">
        <f t="shared" si="23"/>
        <v>74200</v>
      </c>
      <c r="J217" s="924"/>
      <c r="K217" s="926">
        <v>94995</v>
      </c>
      <c r="L217" s="926"/>
      <c r="M217" s="908">
        <f t="shared" si="24"/>
        <v>94995</v>
      </c>
      <c r="N217" s="924"/>
      <c r="O217" s="926">
        <v>55088</v>
      </c>
      <c r="P217" s="1064"/>
      <c r="Q217" s="908">
        <f t="shared" si="25"/>
        <v>55088</v>
      </c>
      <c r="R217" s="908" t="s">
        <v>136</v>
      </c>
    </row>
    <row r="218" spans="1:19" x14ac:dyDescent="0.2">
      <c r="A218" s="905" t="s">
        <v>2739</v>
      </c>
      <c r="B218" s="5" t="s">
        <v>2740</v>
      </c>
      <c r="C218" s="910">
        <v>127489</v>
      </c>
      <c r="D218" s="910">
        <v>197971</v>
      </c>
      <c r="E218" s="908">
        <f>C218+D218</f>
        <v>325460</v>
      </c>
      <c r="F218" s="924"/>
      <c r="G218" s="926">
        <v>214669</v>
      </c>
      <c r="H218" s="926">
        <v>200000</v>
      </c>
      <c r="I218" s="908">
        <f t="shared" si="23"/>
        <v>414669</v>
      </c>
      <c r="J218" s="924"/>
      <c r="K218" s="910">
        <v>189990</v>
      </c>
      <c r="L218" s="926">
        <v>200000</v>
      </c>
      <c r="M218" s="908">
        <f t="shared" si="24"/>
        <v>389990</v>
      </c>
      <c r="N218" s="924"/>
      <c r="O218" s="926">
        <v>90000</v>
      </c>
      <c r="P218" s="1064">
        <v>0</v>
      </c>
      <c r="Q218" s="908">
        <f t="shared" si="25"/>
        <v>90000</v>
      </c>
      <c r="R218" s="908" t="s">
        <v>9</v>
      </c>
    </row>
    <row r="219" spans="1:19" x14ac:dyDescent="0.2">
      <c r="A219" s="905">
        <v>500266002</v>
      </c>
      <c r="B219" s="5" t="s">
        <v>3036</v>
      </c>
      <c r="C219" s="910"/>
      <c r="D219" s="910"/>
      <c r="E219" s="908"/>
      <c r="F219" s="924"/>
      <c r="G219" s="926">
        <v>109291</v>
      </c>
      <c r="H219" s="926"/>
      <c r="I219" s="908">
        <f t="shared" si="23"/>
        <v>109291</v>
      </c>
      <c r="J219" s="924"/>
      <c r="K219" s="926">
        <v>158325</v>
      </c>
      <c r="L219" s="926"/>
      <c r="M219" s="908">
        <f t="shared" si="24"/>
        <v>158325</v>
      </c>
      <c r="N219" s="924"/>
      <c r="O219" s="926">
        <v>137097</v>
      </c>
      <c r="P219" s="1064"/>
      <c r="Q219" s="908">
        <f t="shared" si="25"/>
        <v>137097</v>
      </c>
      <c r="R219" s="908" t="s">
        <v>12</v>
      </c>
    </row>
    <row r="220" spans="1:19" x14ac:dyDescent="0.2">
      <c r="A220" s="905">
        <v>500267000</v>
      </c>
      <c r="B220" s="907" t="s">
        <v>2741</v>
      </c>
      <c r="C220" s="910"/>
      <c r="D220" s="910">
        <v>200000</v>
      </c>
      <c r="E220" s="908">
        <f>C220+D220</f>
        <v>200000</v>
      </c>
      <c r="F220" s="924"/>
      <c r="G220" s="926"/>
      <c r="H220" s="926">
        <v>100000</v>
      </c>
      <c r="I220" s="908">
        <f t="shared" si="23"/>
        <v>100000</v>
      </c>
      <c r="J220" s="924"/>
      <c r="K220" s="910">
        <v>99000</v>
      </c>
      <c r="L220" s="926">
        <v>200000</v>
      </c>
      <c r="M220" s="908">
        <f t="shared" si="24"/>
        <v>299000</v>
      </c>
      <c r="N220" s="924"/>
      <c r="O220" s="926"/>
      <c r="P220" s="1064">
        <v>182953</v>
      </c>
      <c r="Q220" s="908">
        <f t="shared" si="25"/>
        <v>182953</v>
      </c>
      <c r="R220" s="908" t="s">
        <v>9</v>
      </c>
    </row>
    <row r="221" spans="1:19" x14ac:dyDescent="0.2">
      <c r="A221" s="905" t="s">
        <v>2742</v>
      </c>
      <c r="B221" s="5" t="s">
        <v>2743</v>
      </c>
      <c r="C221" s="910">
        <v>127488</v>
      </c>
      <c r="D221" s="910">
        <v>200000</v>
      </c>
      <c r="E221" s="908">
        <f>C221+D221</f>
        <v>327488</v>
      </c>
      <c r="F221" s="924"/>
      <c r="G221" s="926">
        <v>224245</v>
      </c>
      <c r="H221" s="926">
        <v>200000</v>
      </c>
      <c r="I221" s="908">
        <f t="shared" si="23"/>
        <v>424245</v>
      </c>
      <c r="J221" s="924"/>
      <c r="K221" s="926">
        <v>189990</v>
      </c>
      <c r="L221" s="926">
        <v>200000</v>
      </c>
      <c r="M221" s="908">
        <f t="shared" si="24"/>
        <v>389990</v>
      </c>
      <c r="N221" s="924"/>
      <c r="O221" s="926">
        <v>92000</v>
      </c>
      <c r="P221" s="1064">
        <v>182953</v>
      </c>
      <c r="Q221" s="908">
        <f t="shared" si="25"/>
        <v>274953</v>
      </c>
      <c r="R221" s="908" t="s">
        <v>9</v>
      </c>
    </row>
    <row r="222" spans="1:19" x14ac:dyDescent="0.2">
      <c r="A222" s="905">
        <v>500269006</v>
      </c>
      <c r="B222" s="5" t="s">
        <v>2313</v>
      </c>
      <c r="C222" s="910"/>
      <c r="D222" s="910"/>
      <c r="E222" s="908"/>
      <c r="F222" s="924"/>
      <c r="G222" s="926">
        <v>130000</v>
      </c>
      <c r="H222" s="926"/>
      <c r="I222" s="908">
        <f t="shared" si="23"/>
        <v>130000</v>
      </c>
      <c r="J222" s="924"/>
      <c r="K222" s="926">
        <v>94995</v>
      </c>
      <c r="L222" s="926"/>
      <c r="M222" s="908">
        <f t="shared" si="24"/>
        <v>94995</v>
      </c>
      <c r="N222" s="924"/>
      <c r="O222" s="926">
        <v>110000</v>
      </c>
      <c r="P222" s="1064"/>
      <c r="Q222" s="908">
        <f t="shared" si="25"/>
        <v>110000</v>
      </c>
      <c r="R222" s="908" t="s">
        <v>12</v>
      </c>
    </row>
    <row r="223" spans="1:19" x14ac:dyDescent="0.2">
      <c r="A223" s="905" t="s">
        <v>1592</v>
      </c>
      <c r="B223" s="5" t="s">
        <v>2744</v>
      </c>
      <c r="C223" s="910">
        <v>127489</v>
      </c>
      <c r="D223" s="910">
        <v>200000</v>
      </c>
      <c r="E223" s="908">
        <f>C223+D223</f>
        <v>327489</v>
      </c>
      <c r="F223" s="924"/>
      <c r="G223" s="926">
        <v>118000</v>
      </c>
      <c r="H223" s="926">
        <v>200000</v>
      </c>
      <c r="I223" s="908">
        <f t="shared" si="23"/>
        <v>318000</v>
      </c>
      <c r="J223" s="924"/>
      <c r="K223" s="910">
        <v>189990</v>
      </c>
      <c r="L223" s="926">
        <v>200000</v>
      </c>
      <c r="M223" s="908">
        <f t="shared" si="24"/>
        <v>389990</v>
      </c>
      <c r="N223" s="924"/>
      <c r="O223" s="926">
        <f>95000+66016</f>
        <v>161016</v>
      </c>
      <c r="P223" s="1064">
        <v>182953</v>
      </c>
      <c r="Q223" s="908">
        <f t="shared" si="25"/>
        <v>343969</v>
      </c>
      <c r="R223" s="908" t="s">
        <v>136</v>
      </c>
    </row>
    <row r="224" spans="1:19" x14ac:dyDescent="0.2">
      <c r="A224" s="905" t="s">
        <v>2875</v>
      </c>
      <c r="B224" s="5" t="s">
        <v>2876</v>
      </c>
      <c r="C224" s="910">
        <v>169985</v>
      </c>
      <c r="D224" s="910"/>
      <c r="E224" s="908">
        <f>C224+D224</f>
        <v>169985</v>
      </c>
      <c r="F224" s="924"/>
      <c r="G224" s="926">
        <v>175750</v>
      </c>
      <c r="H224" s="926"/>
      <c r="I224" s="908">
        <f t="shared" si="23"/>
        <v>175750</v>
      </c>
      <c r="J224" s="924"/>
      <c r="K224" s="926">
        <v>125895</v>
      </c>
      <c r="L224" s="926"/>
      <c r="M224" s="908">
        <f t="shared" si="24"/>
        <v>125895</v>
      </c>
      <c r="N224" s="924"/>
      <c r="O224" s="926">
        <v>60863</v>
      </c>
      <c r="P224" s="1064"/>
      <c r="Q224" s="908">
        <f t="shared" si="25"/>
        <v>60863</v>
      </c>
      <c r="R224" s="908" t="s">
        <v>32</v>
      </c>
    </row>
    <row r="225" spans="1:18" x14ac:dyDescent="0.2">
      <c r="A225" s="905">
        <v>500272000</v>
      </c>
      <c r="B225" s="5" t="s">
        <v>3037</v>
      </c>
      <c r="C225" s="910"/>
      <c r="D225" s="910"/>
      <c r="E225" s="908"/>
      <c r="F225" s="924"/>
      <c r="G225" s="926">
        <v>87875</v>
      </c>
      <c r="H225" s="926"/>
      <c r="I225" s="908">
        <f t="shared" si="23"/>
        <v>87875</v>
      </c>
      <c r="J225" s="924"/>
      <c r="K225" s="926">
        <v>63330</v>
      </c>
      <c r="L225" s="926"/>
      <c r="M225" s="908">
        <f t="shared" si="24"/>
        <v>63330</v>
      </c>
      <c r="N225" s="924"/>
      <c r="O225" s="926"/>
      <c r="P225" s="1064"/>
      <c r="Q225" s="908">
        <f t="shared" si="25"/>
        <v>0</v>
      </c>
      <c r="R225" s="908" t="s">
        <v>12</v>
      </c>
    </row>
    <row r="226" spans="1:18" x14ac:dyDescent="0.2">
      <c r="A226" s="905" t="s">
        <v>2745</v>
      </c>
      <c r="B226" s="5" t="s">
        <v>2746</v>
      </c>
      <c r="C226" s="910">
        <v>127489</v>
      </c>
      <c r="D226" s="910">
        <v>200000</v>
      </c>
      <c r="E226" s="908">
        <f t="shared" ref="E226:E236" si="27">C226+D226</f>
        <v>327489</v>
      </c>
      <c r="F226" s="924"/>
      <c r="G226" s="926">
        <v>263625</v>
      </c>
      <c r="H226" s="926">
        <v>200000</v>
      </c>
      <c r="I226" s="908">
        <f t="shared" si="23"/>
        <v>463625</v>
      </c>
      <c r="J226" s="924"/>
      <c r="K226" s="926">
        <v>189990</v>
      </c>
      <c r="L226" s="926">
        <v>200000</v>
      </c>
      <c r="M226" s="908">
        <f t="shared" si="24"/>
        <v>389990</v>
      </c>
      <c r="N226" s="924"/>
      <c r="O226" s="926">
        <v>290500</v>
      </c>
      <c r="P226" s="1064">
        <v>182953</v>
      </c>
      <c r="Q226" s="908">
        <f t="shared" si="25"/>
        <v>473453</v>
      </c>
      <c r="R226" s="908" t="s">
        <v>9</v>
      </c>
    </row>
    <row r="227" spans="1:18" x14ac:dyDescent="0.2">
      <c r="A227" s="905" t="s">
        <v>2747</v>
      </c>
      <c r="B227" s="5" t="s">
        <v>2748</v>
      </c>
      <c r="C227" s="910">
        <v>169985</v>
      </c>
      <c r="D227" s="910">
        <v>198000</v>
      </c>
      <c r="E227" s="908">
        <f t="shared" si="27"/>
        <v>367985</v>
      </c>
      <c r="F227" s="924"/>
      <c r="G227" s="926">
        <v>152265</v>
      </c>
      <c r="H227" s="926">
        <v>200000</v>
      </c>
      <c r="I227" s="908">
        <f t="shared" si="23"/>
        <v>352265</v>
      </c>
      <c r="J227" s="924"/>
      <c r="K227" s="926">
        <v>126660</v>
      </c>
      <c r="L227" s="910">
        <v>200000</v>
      </c>
      <c r="M227" s="908">
        <f t="shared" si="24"/>
        <v>326660</v>
      </c>
      <c r="N227" s="924"/>
      <c r="O227" s="926">
        <v>90000</v>
      </c>
      <c r="P227" s="1064">
        <v>182953</v>
      </c>
      <c r="Q227" s="908">
        <f t="shared" si="25"/>
        <v>272953</v>
      </c>
      <c r="R227" s="908" t="s">
        <v>282</v>
      </c>
    </row>
    <row r="228" spans="1:18" x14ac:dyDescent="0.2">
      <c r="A228" s="905" t="s">
        <v>2839</v>
      </c>
      <c r="B228" s="5" t="s">
        <v>2840</v>
      </c>
      <c r="C228" s="910">
        <v>254978</v>
      </c>
      <c r="D228" s="910"/>
      <c r="E228" s="908">
        <f t="shared" si="27"/>
        <v>254978</v>
      </c>
      <c r="F228" s="924"/>
      <c r="G228" s="926">
        <v>160875</v>
      </c>
      <c r="H228" s="926"/>
      <c r="I228" s="908">
        <f t="shared" si="23"/>
        <v>160875</v>
      </c>
      <c r="J228" s="924"/>
      <c r="K228" s="926">
        <v>158325</v>
      </c>
      <c r="L228" s="926"/>
      <c r="M228" s="908">
        <f t="shared" si="24"/>
        <v>158325</v>
      </c>
      <c r="N228" s="924"/>
      <c r="O228" s="926">
        <v>70157</v>
      </c>
      <c r="P228" s="1064"/>
      <c r="Q228" s="908">
        <f t="shared" si="25"/>
        <v>70157</v>
      </c>
      <c r="R228" s="908" t="s">
        <v>12</v>
      </c>
    </row>
    <row r="229" spans="1:18" x14ac:dyDescent="0.2">
      <c r="A229" s="905" t="s">
        <v>2749</v>
      </c>
      <c r="B229" s="5" t="s">
        <v>2750</v>
      </c>
      <c r="C229" s="910">
        <v>127489</v>
      </c>
      <c r="D229" s="910">
        <v>200000</v>
      </c>
      <c r="E229" s="908">
        <f t="shared" si="27"/>
        <v>327489</v>
      </c>
      <c r="F229" s="924"/>
      <c r="G229" s="926"/>
      <c r="H229" s="926">
        <v>200000</v>
      </c>
      <c r="I229" s="908">
        <f t="shared" si="23"/>
        <v>200000</v>
      </c>
      <c r="J229" s="924"/>
      <c r="K229" s="926">
        <v>189990</v>
      </c>
      <c r="L229" s="910">
        <v>200000</v>
      </c>
      <c r="M229" s="908">
        <f t="shared" si="24"/>
        <v>389990</v>
      </c>
      <c r="N229" s="924"/>
      <c r="O229" s="926">
        <v>195600</v>
      </c>
      <c r="P229" s="1064">
        <v>182953</v>
      </c>
      <c r="Q229" s="908">
        <f t="shared" si="25"/>
        <v>378553</v>
      </c>
      <c r="R229" s="908" t="s">
        <v>282</v>
      </c>
    </row>
    <row r="230" spans="1:18" x14ac:dyDescent="0.2">
      <c r="A230" s="905" t="s">
        <v>2424</v>
      </c>
      <c r="B230" s="5" t="s">
        <v>1208</v>
      </c>
      <c r="C230" s="910">
        <v>160000</v>
      </c>
      <c r="D230" s="910">
        <v>200000</v>
      </c>
      <c r="E230" s="908">
        <f t="shared" si="27"/>
        <v>360000</v>
      </c>
      <c r="F230" s="924"/>
      <c r="G230" s="926">
        <v>175750</v>
      </c>
      <c r="H230" s="926">
        <v>200000</v>
      </c>
      <c r="I230" s="908">
        <f t="shared" si="23"/>
        <v>375750</v>
      </c>
      <c r="J230" s="924"/>
      <c r="K230" s="910">
        <v>126660</v>
      </c>
      <c r="L230" s="910">
        <v>200000</v>
      </c>
      <c r="M230" s="908">
        <f t="shared" si="24"/>
        <v>326660</v>
      </c>
      <c r="N230" s="924"/>
      <c r="O230" s="926">
        <v>60000</v>
      </c>
      <c r="P230" s="1064">
        <v>182953</v>
      </c>
      <c r="Q230" s="908">
        <f t="shared" si="25"/>
        <v>242953</v>
      </c>
      <c r="R230" s="908" t="s">
        <v>9</v>
      </c>
    </row>
    <row r="231" spans="1:18" x14ac:dyDescent="0.2">
      <c r="A231" s="905" t="s">
        <v>2751</v>
      </c>
      <c r="B231" s="5" t="s">
        <v>2752</v>
      </c>
      <c r="C231" s="910">
        <v>84992</v>
      </c>
      <c r="D231" s="910">
        <v>70000</v>
      </c>
      <c r="E231" s="908">
        <f t="shared" si="27"/>
        <v>154992</v>
      </c>
      <c r="F231" s="924"/>
      <c r="G231" s="926">
        <v>87875</v>
      </c>
      <c r="H231" s="926">
        <v>70000</v>
      </c>
      <c r="I231" s="908">
        <f t="shared" si="23"/>
        <v>157875</v>
      </c>
      <c r="J231" s="924"/>
      <c r="K231" s="926">
        <v>63330</v>
      </c>
      <c r="L231" s="926">
        <v>70000</v>
      </c>
      <c r="M231" s="908">
        <f t="shared" si="24"/>
        <v>133330</v>
      </c>
      <c r="N231" s="924"/>
      <c r="O231" s="926">
        <v>54839</v>
      </c>
      <c r="P231" s="1064">
        <v>64034</v>
      </c>
      <c r="Q231" s="908">
        <f t="shared" si="25"/>
        <v>118873</v>
      </c>
      <c r="R231" s="908" t="s">
        <v>282</v>
      </c>
    </row>
    <row r="232" spans="1:18" x14ac:dyDescent="0.2">
      <c r="A232" s="905" t="s">
        <v>2753</v>
      </c>
      <c r="B232" s="5" t="s">
        <v>2754</v>
      </c>
      <c r="C232" s="910">
        <v>84992</v>
      </c>
      <c r="D232" s="910">
        <v>70000</v>
      </c>
      <c r="E232" s="908">
        <f t="shared" si="27"/>
        <v>154992</v>
      </c>
      <c r="F232" s="924"/>
      <c r="G232" s="926">
        <v>87875</v>
      </c>
      <c r="H232" s="926">
        <v>70000</v>
      </c>
      <c r="I232" s="908">
        <f t="shared" si="23"/>
        <v>157875</v>
      </c>
      <c r="J232" s="924"/>
      <c r="K232" s="926">
        <v>63330</v>
      </c>
      <c r="L232" s="926">
        <v>70000</v>
      </c>
      <c r="M232" s="908">
        <f t="shared" si="24"/>
        <v>133330</v>
      </c>
      <c r="N232" s="924"/>
      <c r="O232" s="926">
        <v>56110</v>
      </c>
      <c r="P232" s="1064">
        <v>64034</v>
      </c>
      <c r="Q232" s="908">
        <f t="shared" si="25"/>
        <v>120144</v>
      </c>
      <c r="R232" s="908" t="s">
        <v>282</v>
      </c>
    </row>
    <row r="233" spans="1:18" x14ac:dyDescent="0.2">
      <c r="A233" s="905" t="s">
        <v>2270</v>
      </c>
      <c r="B233" s="5" t="s">
        <v>2755</v>
      </c>
      <c r="C233" s="910">
        <v>169986</v>
      </c>
      <c r="D233" s="910">
        <v>200000</v>
      </c>
      <c r="E233" s="908">
        <f t="shared" si="27"/>
        <v>369986</v>
      </c>
      <c r="F233" s="924"/>
      <c r="G233" s="926">
        <v>175749</v>
      </c>
      <c r="H233" s="926">
        <v>200000</v>
      </c>
      <c r="I233" s="908">
        <f t="shared" si="23"/>
        <v>375749</v>
      </c>
      <c r="J233" s="924"/>
      <c r="K233" s="926">
        <v>126660</v>
      </c>
      <c r="L233" s="926">
        <v>200000</v>
      </c>
      <c r="M233" s="908">
        <f t="shared" si="24"/>
        <v>326660</v>
      </c>
      <c r="N233" s="924"/>
      <c r="O233" s="926">
        <v>174000</v>
      </c>
      <c r="P233" s="1064">
        <v>182953</v>
      </c>
      <c r="Q233" s="908">
        <f t="shared" si="25"/>
        <v>356953</v>
      </c>
      <c r="R233" s="908" t="s">
        <v>9</v>
      </c>
    </row>
    <row r="234" spans="1:18" x14ac:dyDescent="0.2">
      <c r="A234" s="905" t="s">
        <v>2756</v>
      </c>
      <c r="B234" s="5" t="s">
        <v>2757</v>
      </c>
      <c r="C234" s="910">
        <v>169986</v>
      </c>
      <c r="D234" s="910">
        <v>200000</v>
      </c>
      <c r="E234" s="908">
        <f t="shared" si="27"/>
        <v>369986</v>
      </c>
      <c r="F234" s="924"/>
      <c r="G234" s="926">
        <v>152800</v>
      </c>
      <c r="H234" s="926">
        <v>200000</v>
      </c>
      <c r="I234" s="908">
        <f t="shared" si="23"/>
        <v>352800</v>
      </c>
      <c r="J234" s="924"/>
      <c r="K234" s="910">
        <v>126660</v>
      </c>
      <c r="L234" s="910">
        <v>200000</v>
      </c>
      <c r="M234" s="908">
        <f t="shared" si="24"/>
        <v>326660</v>
      </c>
      <c r="N234" s="924"/>
      <c r="O234" s="926">
        <v>108600</v>
      </c>
      <c r="P234" s="1064">
        <v>182953</v>
      </c>
      <c r="Q234" s="908">
        <f t="shared" si="25"/>
        <v>291553</v>
      </c>
      <c r="R234" s="908" t="s">
        <v>282</v>
      </c>
    </row>
    <row r="235" spans="1:18" x14ac:dyDescent="0.2">
      <c r="A235" s="905" t="s">
        <v>2315</v>
      </c>
      <c r="B235" s="5" t="s">
        <v>2316</v>
      </c>
      <c r="C235" s="910">
        <v>140000</v>
      </c>
      <c r="D235" s="910">
        <v>200000</v>
      </c>
      <c r="E235" s="908">
        <f t="shared" si="27"/>
        <v>340000</v>
      </c>
      <c r="F235" s="924"/>
      <c r="G235" s="926"/>
      <c r="H235" s="926">
        <v>200000</v>
      </c>
      <c r="I235" s="908">
        <f t="shared" si="23"/>
        <v>200000</v>
      </c>
      <c r="J235" s="924"/>
      <c r="K235" s="926">
        <v>100000</v>
      </c>
      <c r="L235" s="926">
        <v>200000</v>
      </c>
      <c r="M235" s="908">
        <f t="shared" si="24"/>
        <v>300000</v>
      </c>
      <c r="N235" s="924"/>
      <c r="O235" s="926"/>
      <c r="P235" s="1064">
        <v>182953</v>
      </c>
      <c r="Q235" s="908">
        <f t="shared" si="25"/>
        <v>182953</v>
      </c>
      <c r="R235" s="908" t="s">
        <v>9</v>
      </c>
    </row>
    <row r="236" spans="1:18" x14ac:dyDescent="0.2">
      <c r="A236" s="905" t="s">
        <v>2758</v>
      </c>
      <c r="B236" s="5" t="s">
        <v>2759</v>
      </c>
      <c r="C236" s="910">
        <v>84993</v>
      </c>
      <c r="D236" s="910">
        <v>115000</v>
      </c>
      <c r="E236" s="908">
        <f t="shared" si="27"/>
        <v>199993</v>
      </c>
      <c r="F236" s="924"/>
      <c r="G236" s="926">
        <v>84000</v>
      </c>
      <c r="H236" s="926">
        <v>115000</v>
      </c>
      <c r="I236" s="908">
        <f t="shared" si="23"/>
        <v>199000</v>
      </c>
      <c r="J236" s="924"/>
      <c r="K236" s="926">
        <v>63330</v>
      </c>
      <c r="L236" s="926">
        <v>115000</v>
      </c>
      <c r="M236" s="908">
        <f t="shared" si="24"/>
        <v>178330</v>
      </c>
      <c r="N236" s="924"/>
      <c r="O236" s="926">
        <v>88152</v>
      </c>
      <c r="P236" s="1064">
        <v>105198</v>
      </c>
      <c r="Q236" s="908">
        <f t="shared" si="25"/>
        <v>193350</v>
      </c>
      <c r="R236" s="908" t="s">
        <v>282</v>
      </c>
    </row>
    <row r="237" spans="1:18" x14ac:dyDescent="0.2">
      <c r="A237" s="905">
        <v>500279005</v>
      </c>
      <c r="B237" s="5" t="s">
        <v>3038</v>
      </c>
      <c r="C237" s="910"/>
      <c r="D237" s="910"/>
      <c r="E237" s="908"/>
      <c r="F237" s="924"/>
      <c r="G237" s="926">
        <v>200000</v>
      </c>
      <c r="H237" s="926"/>
      <c r="I237" s="908">
        <f t="shared" si="23"/>
        <v>200000</v>
      </c>
      <c r="J237" s="924"/>
      <c r="K237" s="926">
        <v>189990</v>
      </c>
      <c r="L237" s="926"/>
      <c r="M237" s="908">
        <f t="shared" si="24"/>
        <v>189990</v>
      </c>
      <c r="N237" s="924"/>
      <c r="O237" s="926">
        <v>150484</v>
      </c>
      <c r="P237" s="1064"/>
      <c r="Q237" s="908">
        <f t="shared" si="25"/>
        <v>150484</v>
      </c>
      <c r="R237" s="908" t="s">
        <v>12</v>
      </c>
    </row>
    <row r="238" spans="1:18" x14ac:dyDescent="0.2">
      <c r="A238" s="905" t="s">
        <v>2294</v>
      </c>
      <c r="B238" s="5" t="s">
        <v>2295</v>
      </c>
      <c r="C238" s="910">
        <v>329985</v>
      </c>
      <c r="D238" s="910">
        <v>200000</v>
      </c>
      <c r="E238" s="908">
        <f t="shared" ref="E238:E253" si="28">C238+D238</f>
        <v>529985</v>
      </c>
      <c r="F238" s="924"/>
      <c r="G238" s="926"/>
      <c r="H238" s="926"/>
      <c r="I238" s="908">
        <f t="shared" si="23"/>
        <v>0</v>
      </c>
      <c r="J238" s="924"/>
      <c r="K238" s="910">
        <v>63330</v>
      </c>
      <c r="L238" s="926"/>
      <c r="M238" s="908">
        <f t="shared" si="24"/>
        <v>63330</v>
      </c>
      <c r="N238" s="924"/>
      <c r="O238" s="926"/>
      <c r="P238" s="1064"/>
      <c r="Q238" s="908">
        <f t="shared" si="25"/>
        <v>0</v>
      </c>
      <c r="R238" s="908" t="s">
        <v>9</v>
      </c>
    </row>
    <row r="239" spans="1:18" x14ac:dyDescent="0.2">
      <c r="A239" s="905" t="s">
        <v>2760</v>
      </c>
      <c r="B239" s="5" t="s">
        <v>2761</v>
      </c>
      <c r="C239" s="910"/>
      <c r="D239" s="910">
        <v>200000</v>
      </c>
      <c r="E239" s="908">
        <f t="shared" si="28"/>
        <v>200000</v>
      </c>
      <c r="F239" s="924"/>
      <c r="G239" s="926">
        <v>160000</v>
      </c>
      <c r="H239" s="926">
        <v>200000</v>
      </c>
      <c r="I239" s="908">
        <f t="shared" si="23"/>
        <v>360000</v>
      </c>
      <c r="J239" s="924"/>
      <c r="K239" s="910">
        <v>126660</v>
      </c>
      <c r="L239" s="910">
        <v>200000</v>
      </c>
      <c r="M239" s="908">
        <f t="shared" si="24"/>
        <v>326660</v>
      </c>
      <c r="N239" s="924"/>
      <c r="O239" s="926">
        <v>142830</v>
      </c>
      <c r="P239" s="1064">
        <v>182953</v>
      </c>
      <c r="Q239" s="908">
        <f t="shared" si="25"/>
        <v>325783</v>
      </c>
      <c r="R239" s="908" t="s">
        <v>9</v>
      </c>
    </row>
    <row r="240" spans="1:18" x14ac:dyDescent="0.2">
      <c r="A240" s="905" t="s">
        <v>2762</v>
      </c>
      <c r="B240" s="5" t="s">
        <v>2763</v>
      </c>
      <c r="C240" s="910">
        <v>169984</v>
      </c>
      <c r="D240" s="910">
        <v>200000</v>
      </c>
      <c r="E240" s="908">
        <f t="shared" si="28"/>
        <v>369984</v>
      </c>
      <c r="F240" s="924"/>
      <c r="G240" s="926">
        <v>87875</v>
      </c>
      <c r="H240" s="926"/>
      <c r="I240" s="908">
        <f t="shared" si="23"/>
        <v>87875</v>
      </c>
      <c r="J240" s="924"/>
      <c r="K240" s="926">
        <v>63330</v>
      </c>
      <c r="L240" s="926"/>
      <c r="M240" s="908">
        <f t="shared" si="24"/>
        <v>63330</v>
      </c>
      <c r="N240" s="924"/>
      <c r="O240" s="926">
        <v>59550</v>
      </c>
      <c r="P240" s="1064"/>
      <c r="Q240" s="908">
        <f t="shared" si="25"/>
        <v>59550</v>
      </c>
      <c r="R240" s="908" t="s">
        <v>9</v>
      </c>
    </row>
    <row r="241" spans="1:20" x14ac:dyDescent="0.2">
      <c r="A241" s="905" t="s">
        <v>2814</v>
      </c>
      <c r="B241" s="5" t="s">
        <v>2815</v>
      </c>
      <c r="C241" s="910">
        <v>254977</v>
      </c>
      <c r="D241" s="910"/>
      <c r="E241" s="908">
        <f t="shared" si="28"/>
        <v>254977</v>
      </c>
      <c r="F241" s="924"/>
      <c r="G241" s="926">
        <v>237675</v>
      </c>
      <c r="H241" s="926"/>
      <c r="I241" s="908">
        <f t="shared" si="23"/>
        <v>237675</v>
      </c>
      <c r="J241" s="924"/>
      <c r="K241" s="910">
        <v>189990</v>
      </c>
      <c r="L241" s="926"/>
      <c r="M241" s="908">
        <f t="shared" si="24"/>
        <v>189990</v>
      </c>
      <c r="N241" s="924"/>
      <c r="O241" s="926">
        <v>170000</v>
      </c>
      <c r="P241" s="1064"/>
      <c r="Q241" s="908">
        <f t="shared" si="25"/>
        <v>170000</v>
      </c>
      <c r="R241" s="888" t="s">
        <v>136</v>
      </c>
    </row>
    <row r="242" spans="1:20" x14ac:dyDescent="0.2">
      <c r="A242" s="905" t="s">
        <v>2857</v>
      </c>
      <c r="B242" s="5" t="s">
        <v>2858</v>
      </c>
      <c r="C242" s="910">
        <v>150000</v>
      </c>
      <c r="D242" s="910"/>
      <c r="E242" s="908">
        <f t="shared" si="28"/>
        <v>150000</v>
      </c>
      <c r="F242" s="924"/>
      <c r="G242" s="926">
        <v>175750</v>
      </c>
      <c r="H242" s="926"/>
      <c r="I242" s="908">
        <f t="shared" si="23"/>
        <v>175750</v>
      </c>
      <c r="J242" s="924"/>
      <c r="K242" s="926">
        <v>126660</v>
      </c>
      <c r="L242" s="926"/>
      <c r="M242" s="908">
        <f t="shared" si="24"/>
        <v>126660</v>
      </c>
      <c r="N242" s="924"/>
      <c r="O242" s="926"/>
      <c r="P242" s="1064"/>
      <c r="Q242" s="908">
        <f t="shared" si="25"/>
        <v>0</v>
      </c>
      <c r="R242" s="908" t="s">
        <v>12</v>
      </c>
    </row>
    <row r="243" spans="1:20" x14ac:dyDescent="0.2">
      <c r="A243" s="905" t="s">
        <v>2764</v>
      </c>
      <c r="B243" s="5" t="s">
        <v>2765</v>
      </c>
      <c r="C243" s="910">
        <v>127488</v>
      </c>
      <c r="D243" s="910">
        <v>200000</v>
      </c>
      <c r="E243" s="908">
        <f t="shared" si="28"/>
        <v>327488</v>
      </c>
      <c r="F243" s="924"/>
      <c r="G243" s="926">
        <v>190800</v>
      </c>
      <c r="H243" s="926">
        <v>200000</v>
      </c>
      <c r="I243" s="908">
        <f t="shared" si="23"/>
        <v>390800</v>
      </c>
      <c r="J243" s="924"/>
      <c r="K243" s="910">
        <v>189990</v>
      </c>
      <c r="L243" s="926">
        <v>200000</v>
      </c>
      <c r="M243" s="908">
        <f t="shared" si="24"/>
        <v>389990</v>
      </c>
      <c r="N243" s="924"/>
      <c r="O243" s="926">
        <v>234000</v>
      </c>
      <c r="P243" s="1064">
        <v>182953</v>
      </c>
      <c r="Q243" s="908">
        <f t="shared" si="25"/>
        <v>416953</v>
      </c>
      <c r="R243" s="908" t="s">
        <v>12</v>
      </c>
    </row>
    <row r="244" spans="1:20" x14ac:dyDescent="0.2">
      <c r="A244" s="905" t="s">
        <v>2851</v>
      </c>
      <c r="B244" s="5" t="s">
        <v>2852</v>
      </c>
      <c r="C244" s="910">
        <v>212481</v>
      </c>
      <c r="D244" s="910"/>
      <c r="E244" s="908">
        <f t="shared" si="28"/>
        <v>212481</v>
      </c>
      <c r="F244" s="924"/>
      <c r="G244" s="926"/>
      <c r="H244" s="926"/>
      <c r="I244" s="908">
        <f t="shared" si="23"/>
        <v>0</v>
      </c>
      <c r="J244" s="924"/>
      <c r="K244" s="910">
        <v>116987</v>
      </c>
      <c r="L244" s="926"/>
      <c r="M244" s="908">
        <f t="shared" si="24"/>
        <v>116987</v>
      </c>
      <c r="N244" s="924"/>
      <c r="O244" s="926">
        <v>89766</v>
      </c>
      <c r="P244" s="1064"/>
      <c r="Q244" s="908">
        <f t="shared" si="25"/>
        <v>89766</v>
      </c>
      <c r="R244" s="888" t="s">
        <v>136</v>
      </c>
    </row>
    <row r="245" spans="1:20" x14ac:dyDescent="0.2">
      <c r="A245" s="905" t="s">
        <v>2889</v>
      </c>
      <c r="B245" s="5" t="s">
        <v>2890</v>
      </c>
      <c r="C245" s="910">
        <v>70000</v>
      </c>
      <c r="D245" s="910"/>
      <c r="E245" s="908">
        <f t="shared" si="28"/>
        <v>70000</v>
      </c>
      <c r="F245" s="924"/>
      <c r="G245" s="926"/>
      <c r="H245" s="926"/>
      <c r="I245" s="908">
        <f t="shared" si="23"/>
        <v>0</v>
      </c>
      <c r="J245" s="924"/>
      <c r="K245" s="910">
        <v>94995</v>
      </c>
      <c r="L245" s="926"/>
      <c r="M245" s="908">
        <f t="shared" si="24"/>
        <v>94995</v>
      </c>
      <c r="N245" s="924"/>
      <c r="O245" s="926"/>
      <c r="P245" s="1064"/>
      <c r="Q245" s="908">
        <f t="shared" si="25"/>
        <v>0</v>
      </c>
      <c r="R245" s="908" t="s">
        <v>136</v>
      </c>
    </row>
    <row r="246" spans="1:20" x14ac:dyDescent="0.2">
      <c r="A246" s="905" t="s">
        <v>2766</v>
      </c>
      <c r="B246" s="5" t="s">
        <v>2767</v>
      </c>
      <c r="C246" s="910">
        <v>169985</v>
      </c>
      <c r="D246" s="910">
        <v>200000</v>
      </c>
      <c r="E246" s="908">
        <f t="shared" si="28"/>
        <v>369985</v>
      </c>
      <c r="F246" s="924"/>
      <c r="G246" s="926"/>
      <c r="H246" s="926">
        <v>200000</v>
      </c>
      <c r="I246" s="908">
        <f t="shared" si="23"/>
        <v>200000</v>
      </c>
      <c r="J246" s="924"/>
      <c r="K246" s="910">
        <v>126660</v>
      </c>
      <c r="L246" s="910">
        <v>200000</v>
      </c>
      <c r="M246" s="908">
        <f t="shared" si="24"/>
        <v>326660</v>
      </c>
      <c r="N246" s="924"/>
      <c r="O246" s="926">
        <f>64800+47185</f>
        <v>111985</v>
      </c>
      <c r="P246" s="1064">
        <v>182953</v>
      </c>
      <c r="Q246" s="908">
        <f t="shared" si="25"/>
        <v>294938</v>
      </c>
      <c r="R246" s="908" t="s">
        <v>9</v>
      </c>
    </row>
    <row r="247" spans="1:20" x14ac:dyDescent="0.2">
      <c r="A247" s="905" t="s">
        <v>2768</v>
      </c>
      <c r="B247" s="5" t="s">
        <v>2769</v>
      </c>
      <c r="C247" s="910">
        <v>169985</v>
      </c>
      <c r="D247" s="910">
        <v>200000</v>
      </c>
      <c r="E247" s="908">
        <f t="shared" si="28"/>
        <v>369985</v>
      </c>
      <c r="F247" s="924"/>
      <c r="G247" s="926">
        <v>175750</v>
      </c>
      <c r="H247" s="926">
        <v>200000</v>
      </c>
      <c r="I247" s="908">
        <f t="shared" si="23"/>
        <v>375750</v>
      </c>
      <c r="J247" s="924"/>
      <c r="K247" s="926">
        <v>126660</v>
      </c>
      <c r="L247" s="926">
        <v>200000</v>
      </c>
      <c r="M247" s="908">
        <f t="shared" si="24"/>
        <v>326660</v>
      </c>
      <c r="N247" s="924"/>
      <c r="O247" s="926">
        <v>120568</v>
      </c>
      <c r="P247" s="1064">
        <v>182953</v>
      </c>
      <c r="Q247" s="908">
        <f t="shared" si="25"/>
        <v>303521</v>
      </c>
      <c r="R247" s="908" t="s">
        <v>9</v>
      </c>
    </row>
    <row r="248" spans="1:20" x14ac:dyDescent="0.2">
      <c r="A248" s="905" t="s">
        <v>2821</v>
      </c>
      <c r="B248" s="5" t="s">
        <v>2822</v>
      </c>
      <c r="C248" s="910">
        <v>200000</v>
      </c>
      <c r="D248" s="910"/>
      <c r="E248" s="908">
        <f t="shared" si="28"/>
        <v>200000</v>
      </c>
      <c r="F248" s="924"/>
      <c r="G248" s="926">
        <v>200000</v>
      </c>
      <c r="H248" s="926"/>
      <c r="I248" s="908">
        <f t="shared" si="23"/>
        <v>200000</v>
      </c>
      <c r="J248" s="924"/>
      <c r="K248" s="926">
        <v>158325</v>
      </c>
      <c r="L248" s="926"/>
      <c r="M248" s="908">
        <f t="shared" si="24"/>
        <v>158325</v>
      </c>
      <c r="N248" s="924"/>
      <c r="O248" s="926">
        <v>145000</v>
      </c>
      <c r="P248" s="1064"/>
      <c r="Q248" s="908">
        <f t="shared" si="25"/>
        <v>145000</v>
      </c>
      <c r="R248" s="908" t="s">
        <v>32</v>
      </c>
    </row>
    <row r="249" spans="1:20" x14ac:dyDescent="0.2">
      <c r="A249" s="905" t="s">
        <v>1309</v>
      </c>
      <c r="B249" s="5" t="s">
        <v>2770</v>
      </c>
      <c r="C249" s="910">
        <v>127489</v>
      </c>
      <c r="D249" s="910">
        <v>200000</v>
      </c>
      <c r="E249" s="908">
        <f t="shared" si="28"/>
        <v>327489</v>
      </c>
      <c r="F249" s="924"/>
      <c r="G249" s="926">
        <v>150000</v>
      </c>
      <c r="H249" s="926">
        <v>200000</v>
      </c>
      <c r="I249" s="908">
        <f t="shared" si="23"/>
        <v>350000</v>
      </c>
      <c r="J249" s="924"/>
      <c r="K249" s="910">
        <v>189990</v>
      </c>
      <c r="L249" s="926">
        <v>200000</v>
      </c>
      <c r="M249" s="908">
        <f t="shared" si="24"/>
        <v>389990</v>
      </c>
      <c r="N249" s="924"/>
      <c r="O249" s="926">
        <v>252265</v>
      </c>
      <c r="P249" s="1064">
        <v>182953</v>
      </c>
      <c r="Q249" s="908">
        <f t="shared" si="25"/>
        <v>435218</v>
      </c>
      <c r="R249" s="908" t="s">
        <v>9</v>
      </c>
    </row>
    <row r="250" spans="1:20" x14ac:dyDescent="0.2">
      <c r="A250" s="905" t="s">
        <v>2771</v>
      </c>
      <c r="B250" s="5" t="s">
        <v>2772</v>
      </c>
      <c r="C250" s="910">
        <v>100000</v>
      </c>
      <c r="D250" s="910">
        <v>115000</v>
      </c>
      <c r="E250" s="908">
        <f t="shared" si="28"/>
        <v>215000</v>
      </c>
      <c r="F250" s="924"/>
      <c r="G250" s="926">
        <v>100000</v>
      </c>
      <c r="H250" s="926">
        <v>115000</v>
      </c>
      <c r="I250" s="908">
        <f t="shared" si="23"/>
        <v>215000</v>
      </c>
      <c r="J250" s="924"/>
      <c r="K250" s="926">
        <v>100000</v>
      </c>
      <c r="L250" s="926">
        <v>115000</v>
      </c>
      <c r="M250" s="908">
        <f t="shared" si="24"/>
        <v>215000</v>
      </c>
      <c r="N250" s="924"/>
      <c r="O250" s="926">
        <v>99000</v>
      </c>
      <c r="P250" s="1064">
        <v>105198</v>
      </c>
      <c r="Q250" s="908">
        <f t="shared" si="25"/>
        <v>204198</v>
      </c>
      <c r="R250" s="908" t="s">
        <v>9</v>
      </c>
    </row>
    <row r="251" spans="1:20" x14ac:dyDescent="0.2">
      <c r="A251" s="905" t="s">
        <v>2869</v>
      </c>
      <c r="B251" s="5" t="s">
        <v>2870</v>
      </c>
      <c r="C251" s="910">
        <v>84992</v>
      </c>
      <c r="D251" s="910"/>
      <c r="E251" s="908">
        <f t="shared" si="28"/>
        <v>84992</v>
      </c>
      <c r="F251" s="924"/>
      <c r="G251" s="926">
        <v>87875</v>
      </c>
      <c r="H251" s="926"/>
      <c r="I251" s="908">
        <f t="shared" si="23"/>
        <v>87875</v>
      </c>
      <c r="J251" s="924"/>
      <c r="K251" s="926">
        <v>63330</v>
      </c>
      <c r="L251" s="926"/>
      <c r="M251" s="908">
        <f t="shared" si="24"/>
        <v>63330</v>
      </c>
      <c r="N251" s="924"/>
      <c r="O251" s="926">
        <v>87750</v>
      </c>
      <c r="P251" s="1064"/>
      <c r="Q251" s="908">
        <f t="shared" si="25"/>
        <v>87750</v>
      </c>
      <c r="R251" s="908" t="s">
        <v>9</v>
      </c>
    </row>
    <row r="252" spans="1:20" x14ac:dyDescent="0.2">
      <c r="A252" s="905" t="s">
        <v>2773</v>
      </c>
      <c r="B252" s="5" t="s">
        <v>2774</v>
      </c>
      <c r="C252" s="910">
        <v>169985</v>
      </c>
      <c r="D252" s="910">
        <v>200000</v>
      </c>
      <c r="E252" s="908">
        <f t="shared" si="28"/>
        <v>369985</v>
      </c>
      <c r="F252" s="924"/>
      <c r="G252" s="926">
        <v>86250</v>
      </c>
      <c r="H252" s="926">
        <v>200000</v>
      </c>
      <c r="I252" s="908">
        <f t="shared" si="23"/>
        <v>286250</v>
      </c>
      <c r="J252" s="924"/>
      <c r="K252" s="910">
        <v>63330</v>
      </c>
      <c r="L252" s="926"/>
      <c r="M252" s="908">
        <f t="shared" si="24"/>
        <v>63330</v>
      </c>
      <c r="N252" s="924"/>
      <c r="O252" s="926">
        <v>54831</v>
      </c>
      <c r="P252" s="1064"/>
      <c r="Q252" s="908">
        <f t="shared" si="25"/>
        <v>54831</v>
      </c>
      <c r="R252" s="908" t="s">
        <v>9</v>
      </c>
    </row>
    <row r="253" spans="1:20" x14ac:dyDescent="0.2">
      <c r="A253" s="905" t="s">
        <v>2775</v>
      </c>
      <c r="B253" s="5" t="s">
        <v>2776</v>
      </c>
      <c r="C253" s="910">
        <v>169985</v>
      </c>
      <c r="D253" s="910">
        <v>200000</v>
      </c>
      <c r="E253" s="908">
        <f t="shared" si="28"/>
        <v>369985</v>
      </c>
      <c r="F253" s="924"/>
      <c r="G253" s="926">
        <v>145318</v>
      </c>
      <c r="H253" s="926">
        <v>200000</v>
      </c>
      <c r="I253" s="908">
        <f t="shared" si="23"/>
        <v>345318</v>
      </c>
      <c r="J253" s="924"/>
      <c r="K253" s="926">
        <v>126660</v>
      </c>
      <c r="L253" s="910">
        <v>200000</v>
      </c>
      <c r="M253" s="908">
        <f t="shared" si="24"/>
        <v>326660</v>
      </c>
      <c r="N253" s="924"/>
      <c r="O253" s="926">
        <v>109667</v>
      </c>
      <c r="P253" s="1064">
        <v>182000</v>
      </c>
      <c r="Q253" s="908">
        <f t="shared" si="25"/>
        <v>291667</v>
      </c>
      <c r="R253" s="908" t="s">
        <v>9</v>
      </c>
      <c r="T253" s="835"/>
    </row>
    <row r="254" spans="1:20" x14ac:dyDescent="0.2">
      <c r="A254" s="905" t="s">
        <v>2271</v>
      </c>
      <c r="B254" s="855" t="s">
        <v>2272</v>
      </c>
      <c r="C254" s="910"/>
      <c r="D254" s="910"/>
      <c r="E254" s="908"/>
      <c r="F254" s="924"/>
      <c r="G254" s="926">
        <v>100000</v>
      </c>
      <c r="H254" s="926"/>
      <c r="I254" s="908">
        <f t="shared" si="23"/>
        <v>100000</v>
      </c>
      <c r="J254" s="924"/>
      <c r="K254" s="926">
        <v>94995</v>
      </c>
      <c r="L254" s="926"/>
      <c r="M254" s="908">
        <f t="shared" si="24"/>
        <v>94995</v>
      </c>
      <c r="N254" s="924"/>
      <c r="O254" s="926">
        <v>110000</v>
      </c>
      <c r="P254" s="1064"/>
      <c r="Q254" s="908">
        <f t="shared" si="25"/>
        <v>110000</v>
      </c>
      <c r="R254" s="908" t="s">
        <v>12</v>
      </c>
      <c r="T254" s="835"/>
    </row>
    <row r="255" spans="1:20" s="1036" customFormat="1" x14ac:dyDescent="0.2">
      <c r="A255" s="905">
        <v>500212923</v>
      </c>
      <c r="B255" s="855" t="s">
        <v>3427</v>
      </c>
      <c r="C255" s="910"/>
      <c r="D255" s="910"/>
      <c r="E255" s="908"/>
      <c r="F255" s="924"/>
      <c r="G255" s="926"/>
      <c r="H255" s="926"/>
      <c r="I255" s="908"/>
      <c r="J255" s="924"/>
      <c r="K255" s="926"/>
      <c r="L255" s="926"/>
      <c r="M255" s="908"/>
      <c r="N255" s="924"/>
      <c r="O255" s="926">
        <v>0</v>
      </c>
      <c r="P255" s="1064">
        <v>105198</v>
      </c>
      <c r="Q255" s="908">
        <f t="shared" si="25"/>
        <v>105198</v>
      </c>
      <c r="R255" s="908" t="s">
        <v>9</v>
      </c>
      <c r="T255" s="835"/>
    </row>
  </sheetData>
  <sortState ref="A3:J226">
    <sortCondition ref="A3:A226"/>
  </sortState>
  <pageMargins left="0.23622047244094491" right="0.31496062992125984" top="1.6141732283464567" bottom="0.43307086614173229" header="0.94488188976377963" footer="0.19685039370078741"/>
  <pageSetup paperSize="9" scale="80" fitToHeight="7" orientation="landscape" r:id="rId1"/>
  <headerFooter>
    <oddHeader>&amp;C
&amp;"Arial,מודגש"מינהל התרבות&amp;"Arial,רגיל" 
&amp;"Arial,מודגש"&amp;12תקציב על שינויו 2016-2019  בש"ח בהתאם להחלטת ועדת התמיכות&amp;Rתקנה 42-02-56- סל"ע</oddHeader>
    <oddFooter>&amp;L&amp;F&amp;C&amp;P</oddFooter>
  </headerFooter>
  <ignoredErrors>
    <ignoredError sqref="A190:A254 A3:A17 A19:A23 A26:A69 A71:A157 A159:A173 A175:A188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rightToLeft="1" topLeftCell="B1" zoomScaleNormal="100" workbookViewId="0">
      <pane xSplit="2" ySplit="3" topLeftCell="D4" activePane="bottomRight" state="frozen"/>
      <selection activeCell="S19" sqref="S19"/>
      <selection pane="topRight" activeCell="S19" sqref="S19"/>
      <selection pane="bottomLeft" activeCell="S19" sqref="S19"/>
      <selection pane="bottomRight" activeCell="H1" sqref="H1:I1048576"/>
    </sheetView>
  </sheetViews>
  <sheetFormatPr defaultColWidth="1.85546875" defaultRowHeight="14.25" x14ac:dyDescent="0.2"/>
  <cols>
    <col min="1" max="1" width="2.28515625" style="163" customWidth="1"/>
    <col min="2" max="2" width="14.140625" style="163" bestFit="1" customWidth="1"/>
    <col min="3" max="3" width="31.85546875" style="163" bestFit="1" customWidth="1"/>
    <col min="4" max="4" width="0.42578125" style="707" customWidth="1"/>
    <col min="5" max="5" width="13.5703125" style="163" customWidth="1"/>
    <col min="6" max="6" width="0.7109375" style="707" customWidth="1"/>
    <col min="7" max="7" width="13.5703125" style="163" customWidth="1"/>
    <col min="8" max="8" width="10.5703125" style="884" hidden="1" customWidth="1"/>
    <col min="9" max="9" width="12" style="884" hidden="1" customWidth="1"/>
    <col min="10" max="247" width="1.85546875" style="163"/>
    <col min="248" max="248" width="2.28515625" style="163" customWidth="1"/>
    <col min="249" max="249" width="14.140625" style="163" bestFit="1" customWidth="1"/>
    <col min="250" max="250" width="31.85546875" style="163" bestFit="1" customWidth="1"/>
    <col min="251" max="251" width="0" style="163" hidden="1" customWidth="1"/>
    <col min="252" max="252" width="0.28515625" style="163" customWidth="1"/>
    <col min="253" max="253" width="13.5703125" style="163" customWidth="1"/>
    <col min="254" max="254" width="12.7109375" style="163" customWidth="1"/>
    <col min="255" max="255" width="0.28515625" style="163" customWidth="1"/>
    <col min="256" max="256" width="13.5703125" style="163" customWidth="1"/>
    <col min="257" max="257" width="12.7109375" style="163" customWidth="1"/>
    <col min="258" max="258" width="0.28515625" style="163" customWidth="1"/>
    <col min="259" max="259" width="13.5703125" style="163" customWidth="1"/>
    <col min="260" max="260" width="12.7109375" style="163" customWidth="1"/>
    <col min="261" max="261" width="0.28515625" style="163" customWidth="1"/>
    <col min="262" max="262" width="13.5703125" style="163" customWidth="1"/>
    <col min="263" max="263" width="12.7109375" style="163" customWidth="1"/>
    <col min="264" max="265" width="10.5703125" style="163" customWidth="1"/>
    <col min="266" max="503" width="1.85546875" style="163"/>
    <col min="504" max="504" width="2.28515625" style="163" customWidth="1"/>
    <col min="505" max="505" width="14.140625" style="163" bestFit="1" customWidth="1"/>
    <col min="506" max="506" width="31.85546875" style="163" bestFit="1" customWidth="1"/>
    <col min="507" max="507" width="0" style="163" hidden="1" customWidth="1"/>
    <col min="508" max="508" width="0.28515625" style="163" customWidth="1"/>
    <col min="509" max="509" width="13.5703125" style="163" customWidth="1"/>
    <col min="510" max="510" width="12.7109375" style="163" customWidth="1"/>
    <col min="511" max="511" width="0.28515625" style="163" customWidth="1"/>
    <col min="512" max="512" width="13.5703125" style="163" customWidth="1"/>
    <col min="513" max="513" width="12.7109375" style="163" customWidth="1"/>
    <col min="514" max="514" width="0.28515625" style="163" customWidth="1"/>
    <col min="515" max="515" width="13.5703125" style="163" customWidth="1"/>
    <col min="516" max="516" width="12.7109375" style="163" customWidth="1"/>
    <col min="517" max="517" width="0.28515625" style="163" customWidth="1"/>
    <col min="518" max="518" width="13.5703125" style="163" customWidth="1"/>
    <col min="519" max="519" width="12.7109375" style="163" customWidth="1"/>
    <col min="520" max="521" width="10.5703125" style="163" customWidth="1"/>
    <col min="522" max="759" width="1.85546875" style="163"/>
    <col min="760" max="760" width="2.28515625" style="163" customWidth="1"/>
    <col min="761" max="761" width="14.140625" style="163" bestFit="1" customWidth="1"/>
    <col min="762" max="762" width="31.85546875" style="163" bestFit="1" customWidth="1"/>
    <col min="763" max="763" width="0" style="163" hidden="1" customWidth="1"/>
    <col min="764" max="764" width="0.28515625" style="163" customWidth="1"/>
    <col min="765" max="765" width="13.5703125" style="163" customWidth="1"/>
    <col min="766" max="766" width="12.7109375" style="163" customWidth="1"/>
    <col min="767" max="767" width="0.28515625" style="163" customWidth="1"/>
    <col min="768" max="768" width="13.5703125" style="163" customWidth="1"/>
    <col min="769" max="769" width="12.7109375" style="163" customWidth="1"/>
    <col min="770" max="770" width="0.28515625" style="163" customWidth="1"/>
    <col min="771" max="771" width="13.5703125" style="163" customWidth="1"/>
    <col min="772" max="772" width="12.7109375" style="163" customWidth="1"/>
    <col min="773" max="773" width="0.28515625" style="163" customWidth="1"/>
    <col min="774" max="774" width="13.5703125" style="163" customWidth="1"/>
    <col min="775" max="775" width="12.7109375" style="163" customWidth="1"/>
    <col min="776" max="777" width="10.5703125" style="163" customWidth="1"/>
    <col min="778" max="1015" width="1.85546875" style="163"/>
    <col min="1016" max="1016" width="2.28515625" style="163" customWidth="1"/>
    <col min="1017" max="1017" width="14.140625" style="163" bestFit="1" customWidth="1"/>
    <col min="1018" max="1018" width="31.85546875" style="163" bestFit="1" customWidth="1"/>
    <col min="1019" max="1019" width="0" style="163" hidden="1" customWidth="1"/>
    <col min="1020" max="1020" width="0.28515625" style="163" customWidth="1"/>
    <col min="1021" max="1021" width="13.5703125" style="163" customWidth="1"/>
    <col min="1022" max="1022" width="12.7109375" style="163" customWidth="1"/>
    <col min="1023" max="1023" width="0.28515625" style="163" customWidth="1"/>
    <col min="1024" max="1024" width="13.5703125" style="163" customWidth="1"/>
    <col min="1025" max="1025" width="12.7109375" style="163" customWidth="1"/>
    <col min="1026" max="1026" width="0.28515625" style="163" customWidth="1"/>
    <col min="1027" max="1027" width="13.5703125" style="163" customWidth="1"/>
    <col min="1028" max="1028" width="12.7109375" style="163" customWidth="1"/>
    <col min="1029" max="1029" width="0.28515625" style="163" customWidth="1"/>
    <col min="1030" max="1030" width="13.5703125" style="163" customWidth="1"/>
    <col min="1031" max="1031" width="12.7109375" style="163" customWidth="1"/>
    <col min="1032" max="1033" width="10.5703125" style="163" customWidth="1"/>
    <col min="1034" max="1271" width="1.85546875" style="163"/>
    <col min="1272" max="1272" width="2.28515625" style="163" customWidth="1"/>
    <col min="1273" max="1273" width="14.140625" style="163" bestFit="1" customWidth="1"/>
    <col min="1274" max="1274" width="31.85546875" style="163" bestFit="1" customWidth="1"/>
    <col min="1275" max="1275" width="0" style="163" hidden="1" customWidth="1"/>
    <col min="1276" max="1276" width="0.28515625" style="163" customWidth="1"/>
    <col min="1277" max="1277" width="13.5703125" style="163" customWidth="1"/>
    <col min="1278" max="1278" width="12.7109375" style="163" customWidth="1"/>
    <col min="1279" max="1279" width="0.28515625" style="163" customWidth="1"/>
    <col min="1280" max="1280" width="13.5703125" style="163" customWidth="1"/>
    <col min="1281" max="1281" width="12.7109375" style="163" customWidth="1"/>
    <col min="1282" max="1282" width="0.28515625" style="163" customWidth="1"/>
    <col min="1283" max="1283" width="13.5703125" style="163" customWidth="1"/>
    <col min="1284" max="1284" width="12.7109375" style="163" customWidth="1"/>
    <col min="1285" max="1285" width="0.28515625" style="163" customWidth="1"/>
    <col min="1286" max="1286" width="13.5703125" style="163" customWidth="1"/>
    <col min="1287" max="1287" width="12.7109375" style="163" customWidth="1"/>
    <col min="1288" max="1289" width="10.5703125" style="163" customWidth="1"/>
    <col min="1290" max="1527" width="1.85546875" style="163"/>
    <col min="1528" max="1528" width="2.28515625" style="163" customWidth="1"/>
    <col min="1529" max="1529" width="14.140625" style="163" bestFit="1" customWidth="1"/>
    <col min="1530" max="1530" width="31.85546875" style="163" bestFit="1" customWidth="1"/>
    <col min="1531" max="1531" width="0" style="163" hidden="1" customWidth="1"/>
    <col min="1532" max="1532" width="0.28515625" style="163" customWidth="1"/>
    <col min="1533" max="1533" width="13.5703125" style="163" customWidth="1"/>
    <col min="1534" max="1534" width="12.7109375" style="163" customWidth="1"/>
    <col min="1535" max="1535" width="0.28515625" style="163" customWidth="1"/>
    <col min="1536" max="1536" width="13.5703125" style="163" customWidth="1"/>
    <col min="1537" max="1537" width="12.7109375" style="163" customWidth="1"/>
    <col min="1538" max="1538" width="0.28515625" style="163" customWidth="1"/>
    <col min="1539" max="1539" width="13.5703125" style="163" customWidth="1"/>
    <col min="1540" max="1540" width="12.7109375" style="163" customWidth="1"/>
    <col min="1541" max="1541" width="0.28515625" style="163" customWidth="1"/>
    <col min="1542" max="1542" width="13.5703125" style="163" customWidth="1"/>
    <col min="1543" max="1543" width="12.7109375" style="163" customWidth="1"/>
    <col min="1544" max="1545" width="10.5703125" style="163" customWidth="1"/>
    <col min="1546" max="1783" width="1.85546875" style="163"/>
    <col min="1784" max="1784" width="2.28515625" style="163" customWidth="1"/>
    <col min="1785" max="1785" width="14.140625" style="163" bestFit="1" customWidth="1"/>
    <col min="1786" max="1786" width="31.85546875" style="163" bestFit="1" customWidth="1"/>
    <col min="1787" max="1787" width="0" style="163" hidden="1" customWidth="1"/>
    <col min="1788" max="1788" width="0.28515625" style="163" customWidth="1"/>
    <col min="1789" max="1789" width="13.5703125" style="163" customWidth="1"/>
    <col min="1790" max="1790" width="12.7109375" style="163" customWidth="1"/>
    <col min="1791" max="1791" width="0.28515625" style="163" customWidth="1"/>
    <col min="1792" max="1792" width="13.5703125" style="163" customWidth="1"/>
    <col min="1793" max="1793" width="12.7109375" style="163" customWidth="1"/>
    <col min="1794" max="1794" width="0.28515625" style="163" customWidth="1"/>
    <col min="1795" max="1795" width="13.5703125" style="163" customWidth="1"/>
    <col min="1796" max="1796" width="12.7109375" style="163" customWidth="1"/>
    <col min="1797" max="1797" width="0.28515625" style="163" customWidth="1"/>
    <col min="1798" max="1798" width="13.5703125" style="163" customWidth="1"/>
    <col min="1799" max="1799" width="12.7109375" style="163" customWidth="1"/>
    <col min="1800" max="1801" width="10.5703125" style="163" customWidth="1"/>
    <col min="1802" max="2039" width="1.85546875" style="163"/>
    <col min="2040" max="2040" width="2.28515625" style="163" customWidth="1"/>
    <col min="2041" max="2041" width="14.140625" style="163" bestFit="1" customWidth="1"/>
    <col min="2042" max="2042" width="31.85546875" style="163" bestFit="1" customWidth="1"/>
    <col min="2043" max="2043" width="0" style="163" hidden="1" customWidth="1"/>
    <col min="2044" max="2044" width="0.28515625" style="163" customWidth="1"/>
    <col min="2045" max="2045" width="13.5703125" style="163" customWidth="1"/>
    <col min="2046" max="2046" width="12.7109375" style="163" customWidth="1"/>
    <col min="2047" max="2047" width="0.28515625" style="163" customWidth="1"/>
    <col min="2048" max="2048" width="13.5703125" style="163" customWidth="1"/>
    <col min="2049" max="2049" width="12.7109375" style="163" customWidth="1"/>
    <col min="2050" max="2050" width="0.28515625" style="163" customWidth="1"/>
    <col min="2051" max="2051" width="13.5703125" style="163" customWidth="1"/>
    <col min="2052" max="2052" width="12.7109375" style="163" customWidth="1"/>
    <col min="2053" max="2053" width="0.28515625" style="163" customWidth="1"/>
    <col min="2054" max="2054" width="13.5703125" style="163" customWidth="1"/>
    <col min="2055" max="2055" width="12.7109375" style="163" customWidth="1"/>
    <col min="2056" max="2057" width="10.5703125" style="163" customWidth="1"/>
    <col min="2058" max="2295" width="1.85546875" style="163"/>
    <col min="2296" max="2296" width="2.28515625" style="163" customWidth="1"/>
    <col min="2297" max="2297" width="14.140625" style="163" bestFit="1" customWidth="1"/>
    <col min="2298" max="2298" width="31.85546875" style="163" bestFit="1" customWidth="1"/>
    <col min="2299" max="2299" width="0" style="163" hidden="1" customWidth="1"/>
    <col min="2300" max="2300" width="0.28515625" style="163" customWidth="1"/>
    <col min="2301" max="2301" width="13.5703125" style="163" customWidth="1"/>
    <col min="2302" max="2302" width="12.7109375" style="163" customWidth="1"/>
    <col min="2303" max="2303" width="0.28515625" style="163" customWidth="1"/>
    <col min="2304" max="2304" width="13.5703125" style="163" customWidth="1"/>
    <col min="2305" max="2305" width="12.7109375" style="163" customWidth="1"/>
    <col min="2306" max="2306" width="0.28515625" style="163" customWidth="1"/>
    <col min="2307" max="2307" width="13.5703125" style="163" customWidth="1"/>
    <col min="2308" max="2308" width="12.7109375" style="163" customWidth="1"/>
    <col min="2309" max="2309" width="0.28515625" style="163" customWidth="1"/>
    <col min="2310" max="2310" width="13.5703125" style="163" customWidth="1"/>
    <col min="2311" max="2311" width="12.7109375" style="163" customWidth="1"/>
    <col min="2312" max="2313" width="10.5703125" style="163" customWidth="1"/>
    <col min="2314" max="2551" width="1.85546875" style="163"/>
    <col min="2552" max="2552" width="2.28515625" style="163" customWidth="1"/>
    <col min="2553" max="2553" width="14.140625" style="163" bestFit="1" customWidth="1"/>
    <col min="2554" max="2554" width="31.85546875" style="163" bestFit="1" customWidth="1"/>
    <col min="2555" max="2555" width="0" style="163" hidden="1" customWidth="1"/>
    <col min="2556" max="2556" width="0.28515625" style="163" customWidth="1"/>
    <col min="2557" max="2557" width="13.5703125" style="163" customWidth="1"/>
    <col min="2558" max="2558" width="12.7109375" style="163" customWidth="1"/>
    <col min="2559" max="2559" width="0.28515625" style="163" customWidth="1"/>
    <col min="2560" max="2560" width="13.5703125" style="163" customWidth="1"/>
    <col min="2561" max="2561" width="12.7109375" style="163" customWidth="1"/>
    <col min="2562" max="2562" width="0.28515625" style="163" customWidth="1"/>
    <col min="2563" max="2563" width="13.5703125" style="163" customWidth="1"/>
    <col min="2564" max="2564" width="12.7109375" style="163" customWidth="1"/>
    <col min="2565" max="2565" width="0.28515625" style="163" customWidth="1"/>
    <col min="2566" max="2566" width="13.5703125" style="163" customWidth="1"/>
    <col min="2567" max="2567" width="12.7109375" style="163" customWidth="1"/>
    <col min="2568" max="2569" width="10.5703125" style="163" customWidth="1"/>
    <col min="2570" max="2807" width="1.85546875" style="163"/>
    <col min="2808" max="2808" width="2.28515625" style="163" customWidth="1"/>
    <col min="2809" max="2809" width="14.140625" style="163" bestFit="1" customWidth="1"/>
    <col min="2810" max="2810" width="31.85546875" style="163" bestFit="1" customWidth="1"/>
    <col min="2811" max="2811" width="0" style="163" hidden="1" customWidth="1"/>
    <col min="2812" max="2812" width="0.28515625" style="163" customWidth="1"/>
    <col min="2813" max="2813" width="13.5703125" style="163" customWidth="1"/>
    <col min="2814" max="2814" width="12.7109375" style="163" customWidth="1"/>
    <col min="2815" max="2815" width="0.28515625" style="163" customWidth="1"/>
    <col min="2816" max="2816" width="13.5703125" style="163" customWidth="1"/>
    <col min="2817" max="2817" width="12.7109375" style="163" customWidth="1"/>
    <col min="2818" max="2818" width="0.28515625" style="163" customWidth="1"/>
    <col min="2819" max="2819" width="13.5703125" style="163" customWidth="1"/>
    <col min="2820" max="2820" width="12.7109375" style="163" customWidth="1"/>
    <col min="2821" max="2821" width="0.28515625" style="163" customWidth="1"/>
    <col min="2822" max="2822" width="13.5703125" style="163" customWidth="1"/>
    <col min="2823" max="2823" width="12.7109375" style="163" customWidth="1"/>
    <col min="2824" max="2825" width="10.5703125" style="163" customWidth="1"/>
    <col min="2826" max="3063" width="1.85546875" style="163"/>
    <col min="3064" max="3064" width="2.28515625" style="163" customWidth="1"/>
    <col min="3065" max="3065" width="14.140625" style="163" bestFit="1" customWidth="1"/>
    <col min="3066" max="3066" width="31.85546875" style="163" bestFit="1" customWidth="1"/>
    <col min="3067" max="3067" width="0" style="163" hidden="1" customWidth="1"/>
    <col min="3068" max="3068" width="0.28515625" style="163" customWidth="1"/>
    <col min="3069" max="3069" width="13.5703125" style="163" customWidth="1"/>
    <col min="3070" max="3070" width="12.7109375" style="163" customWidth="1"/>
    <col min="3071" max="3071" width="0.28515625" style="163" customWidth="1"/>
    <col min="3072" max="3072" width="13.5703125" style="163" customWidth="1"/>
    <col min="3073" max="3073" width="12.7109375" style="163" customWidth="1"/>
    <col min="3074" max="3074" width="0.28515625" style="163" customWidth="1"/>
    <col min="3075" max="3075" width="13.5703125" style="163" customWidth="1"/>
    <col min="3076" max="3076" width="12.7109375" style="163" customWidth="1"/>
    <col min="3077" max="3077" width="0.28515625" style="163" customWidth="1"/>
    <col min="3078" max="3078" width="13.5703125" style="163" customWidth="1"/>
    <col min="3079" max="3079" width="12.7109375" style="163" customWidth="1"/>
    <col min="3080" max="3081" width="10.5703125" style="163" customWidth="1"/>
    <col min="3082" max="3319" width="1.85546875" style="163"/>
    <col min="3320" max="3320" width="2.28515625" style="163" customWidth="1"/>
    <col min="3321" max="3321" width="14.140625" style="163" bestFit="1" customWidth="1"/>
    <col min="3322" max="3322" width="31.85546875" style="163" bestFit="1" customWidth="1"/>
    <col min="3323" max="3323" width="0" style="163" hidden="1" customWidth="1"/>
    <col min="3324" max="3324" width="0.28515625" style="163" customWidth="1"/>
    <col min="3325" max="3325" width="13.5703125" style="163" customWidth="1"/>
    <col min="3326" max="3326" width="12.7109375" style="163" customWidth="1"/>
    <col min="3327" max="3327" width="0.28515625" style="163" customWidth="1"/>
    <col min="3328" max="3328" width="13.5703125" style="163" customWidth="1"/>
    <col min="3329" max="3329" width="12.7109375" style="163" customWidth="1"/>
    <col min="3330" max="3330" width="0.28515625" style="163" customWidth="1"/>
    <col min="3331" max="3331" width="13.5703125" style="163" customWidth="1"/>
    <col min="3332" max="3332" width="12.7109375" style="163" customWidth="1"/>
    <col min="3333" max="3333" width="0.28515625" style="163" customWidth="1"/>
    <col min="3334" max="3334" width="13.5703125" style="163" customWidth="1"/>
    <col min="3335" max="3335" width="12.7109375" style="163" customWidth="1"/>
    <col min="3336" max="3337" width="10.5703125" style="163" customWidth="1"/>
    <col min="3338" max="3575" width="1.85546875" style="163"/>
    <col min="3576" max="3576" width="2.28515625" style="163" customWidth="1"/>
    <col min="3577" max="3577" width="14.140625" style="163" bestFit="1" customWidth="1"/>
    <col min="3578" max="3578" width="31.85546875" style="163" bestFit="1" customWidth="1"/>
    <col min="3579" max="3579" width="0" style="163" hidden="1" customWidth="1"/>
    <col min="3580" max="3580" width="0.28515625" style="163" customWidth="1"/>
    <col min="3581" max="3581" width="13.5703125" style="163" customWidth="1"/>
    <col min="3582" max="3582" width="12.7109375" style="163" customWidth="1"/>
    <col min="3583" max="3583" width="0.28515625" style="163" customWidth="1"/>
    <col min="3584" max="3584" width="13.5703125" style="163" customWidth="1"/>
    <col min="3585" max="3585" width="12.7109375" style="163" customWidth="1"/>
    <col min="3586" max="3586" width="0.28515625" style="163" customWidth="1"/>
    <col min="3587" max="3587" width="13.5703125" style="163" customWidth="1"/>
    <col min="3588" max="3588" width="12.7109375" style="163" customWidth="1"/>
    <col min="3589" max="3589" width="0.28515625" style="163" customWidth="1"/>
    <col min="3590" max="3590" width="13.5703125" style="163" customWidth="1"/>
    <col min="3591" max="3591" width="12.7109375" style="163" customWidth="1"/>
    <col min="3592" max="3593" width="10.5703125" style="163" customWidth="1"/>
    <col min="3594" max="3831" width="1.85546875" style="163"/>
    <col min="3832" max="3832" width="2.28515625" style="163" customWidth="1"/>
    <col min="3833" max="3833" width="14.140625" style="163" bestFit="1" customWidth="1"/>
    <col min="3834" max="3834" width="31.85546875" style="163" bestFit="1" customWidth="1"/>
    <col min="3835" max="3835" width="0" style="163" hidden="1" customWidth="1"/>
    <col min="3836" max="3836" width="0.28515625" style="163" customWidth="1"/>
    <col min="3837" max="3837" width="13.5703125" style="163" customWidth="1"/>
    <col min="3838" max="3838" width="12.7109375" style="163" customWidth="1"/>
    <col min="3839" max="3839" width="0.28515625" style="163" customWidth="1"/>
    <col min="3840" max="3840" width="13.5703125" style="163" customWidth="1"/>
    <col min="3841" max="3841" width="12.7109375" style="163" customWidth="1"/>
    <col min="3842" max="3842" width="0.28515625" style="163" customWidth="1"/>
    <col min="3843" max="3843" width="13.5703125" style="163" customWidth="1"/>
    <col min="3844" max="3844" width="12.7109375" style="163" customWidth="1"/>
    <col min="3845" max="3845" width="0.28515625" style="163" customWidth="1"/>
    <col min="3846" max="3846" width="13.5703125" style="163" customWidth="1"/>
    <col min="3847" max="3847" width="12.7109375" style="163" customWidth="1"/>
    <col min="3848" max="3849" width="10.5703125" style="163" customWidth="1"/>
    <col min="3850" max="4087" width="1.85546875" style="163"/>
    <col min="4088" max="4088" width="2.28515625" style="163" customWidth="1"/>
    <col min="4089" max="4089" width="14.140625" style="163" bestFit="1" customWidth="1"/>
    <col min="4090" max="4090" width="31.85546875" style="163" bestFit="1" customWidth="1"/>
    <col min="4091" max="4091" width="0" style="163" hidden="1" customWidth="1"/>
    <col min="4092" max="4092" width="0.28515625" style="163" customWidth="1"/>
    <col min="4093" max="4093" width="13.5703125" style="163" customWidth="1"/>
    <col min="4094" max="4094" width="12.7109375" style="163" customWidth="1"/>
    <col min="4095" max="4095" width="0.28515625" style="163" customWidth="1"/>
    <col min="4096" max="4096" width="13.5703125" style="163" customWidth="1"/>
    <col min="4097" max="4097" width="12.7109375" style="163" customWidth="1"/>
    <col min="4098" max="4098" width="0.28515625" style="163" customWidth="1"/>
    <col min="4099" max="4099" width="13.5703125" style="163" customWidth="1"/>
    <col min="4100" max="4100" width="12.7109375" style="163" customWidth="1"/>
    <col min="4101" max="4101" width="0.28515625" style="163" customWidth="1"/>
    <col min="4102" max="4102" width="13.5703125" style="163" customWidth="1"/>
    <col min="4103" max="4103" width="12.7109375" style="163" customWidth="1"/>
    <col min="4104" max="4105" width="10.5703125" style="163" customWidth="1"/>
    <col min="4106" max="4343" width="1.85546875" style="163"/>
    <col min="4344" max="4344" width="2.28515625" style="163" customWidth="1"/>
    <col min="4345" max="4345" width="14.140625" style="163" bestFit="1" customWidth="1"/>
    <col min="4346" max="4346" width="31.85546875" style="163" bestFit="1" customWidth="1"/>
    <col min="4347" max="4347" width="0" style="163" hidden="1" customWidth="1"/>
    <col min="4348" max="4348" width="0.28515625" style="163" customWidth="1"/>
    <col min="4349" max="4349" width="13.5703125" style="163" customWidth="1"/>
    <col min="4350" max="4350" width="12.7109375" style="163" customWidth="1"/>
    <col min="4351" max="4351" width="0.28515625" style="163" customWidth="1"/>
    <col min="4352" max="4352" width="13.5703125" style="163" customWidth="1"/>
    <col min="4353" max="4353" width="12.7109375" style="163" customWidth="1"/>
    <col min="4354" max="4354" width="0.28515625" style="163" customWidth="1"/>
    <col min="4355" max="4355" width="13.5703125" style="163" customWidth="1"/>
    <col min="4356" max="4356" width="12.7109375" style="163" customWidth="1"/>
    <col min="4357" max="4357" width="0.28515625" style="163" customWidth="1"/>
    <col min="4358" max="4358" width="13.5703125" style="163" customWidth="1"/>
    <col min="4359" max="4359" width="12.7109375" style="163" customWidth="1"/>
    <col min="4360" max="4361" width="10.5703125" style="163" customWidth="1"/>
    <col min="4362" max="4599" width="1.85546875" style="163"/>
    <col min="4600" max="4600" width="2.28515625" style="163" customWidth="1"/>
    <col min="4601" max="4601" width="14.140625" style="163" bestFit="1" customWidth="1"/>
    <col min="4602" max="4602" width="31.85546875" style="163" bestFit="1" customWidth="1"/>
    <col min="4603" max="4603" width="0" style="163" hidden="1" customWidth="1"/>
    <col min="4604" max="4604" width="0.28515625" style="163" customWidth="1"/>
    <col min="4605" max="4605" width="13.5703125" style="163" customWidth="1"/>
    <col min="4606" max="4606" width="12.7109375" style="163" customWidth="1"/>
    <col min="4607" max="4607" width="0.28515625" style="163" customWidth="1"/>
    <col min="4608" max="4608" width="13.5703125" style="163" customWidth="1"/>
    <col min="4609" max="4609" width="12.7109375" style="163" customWidth="1"/>
    <col min="4610" max="4610" width="0.28515625" style="163" customWidth="1"/>
    <col min="4611" max="4611" width="13.5703125" style="163" customWidth="1"/>
    <col min="4612" max="4612" width="12.7109375" style="163" customWidth="1"/>
    <col min="4613" max="4613" width="0.28515625" style="163" customWidth="1"/>
    <col min="4614" max="4614" width="13.5703125" style="163" customWidth="1"/>
    <col min="4615" max="4615" width="12.7109375" style="163" customWidth="1"/>
    <col min="4616" max="4617" width="10.5703125" style="163" customWidth="1"/>
    <col min="4618" max="4855" width="1.85546875" style="163"/>
    <col min="4856" max="4856" width="2.28515625" style="163" customWidth="1"/>
    <col min="4857" max="4857" width="14.140625" style="163" bestFit="1" customWidth="1"/>
    <col min="4858" max="4858" width="31.85546875" style="163" bestFit="1" customWidth="1"/>
    <col min="4859" max="4859" width="0" style="163" hidden="1" customWidth="1"/>
    <col min="4860" max="4860" width="0.28515625" style="163" customWidth="1"/>
    <col min="4861" max="4861" width="13.5703125" style="163" customWidth="1"/>
    <col min="4862" max="4862" width="12.7109375" style="163" customWidth="1"/>
    <col min="4863" max="4863" width="0.28515625" style="163" customWidth="1"/>
    <col min="4864" max="4864" width="13.5703125" style="163" customWidth="1"/>
    <col min="4865" max="4865" width="12.7109375" style="163" customWidth="1"/>
    <col min="4866" max="4866" width="0.28515625" style="163" customWidth="1"/>
    <col min="4867" max="4867" width="13.5703125" style="163" customWidth="1"/>
    <col min="4868" max="4868" width="12.7109375" style="163" customWidth="1"/>
    <col min="4869" max="4869" width="0.28515625" style="163" customWidth="1"/>
    <col min="4870" max="4870" width="13.5703125" style="163" customWidth="1"/>
    <col min="4871" max="4871" width="12.7109375" style="163" customWidth="1"/>
    <col min="4872" max="4873" width="10.5703125" style="163" customWidth="1"/>
    <col min="4874" max="5111" width="1.85546875" style="163"/>
    <col min="5112" max="5112" width="2.28515625" style="163" customWidth="1"/>
    <col min="5113" max="5113" width="14.140625" style="163" bestFit="1" customWidth="1"/>
    <col min="5114" max="5114" width="31.85546875" style="163" bestFit="1" customWidth="1"/>
    <col min="5115" max="5115" width="0" style="163" hidden="1" customWidth="1"/>
    <col min="5116" max="5116" width="0.28515625" style="163" customWidth="1"/>
    <col min="5117" max="5117" width="13.5703125" style="163" customWidth="1"/>
    <col min="5118" max="5118" width="12.7109375" style="163" customWidth="1"/>
    <col min="5119" max="5119" width="0.28515625" style="163" customWidth="1"/>
    <col min="5120" max="5120" width="13.5703125" style="163" customWidth="1"/>
    <col min="5121" max="5121" width="12.7109375" style="163" customWidth="1"/>
    <col min="5122" max="5122" width="0.28515625" style="163" customWidth="1"/>
    <col min="5123" max="5123" width="13.5703125" style="163" customWidth="1"/>
    <col min="5124" max="5124" width="12.7109375" style="163" customWidth="1"/>
    <col min="5125" max="5125" width="0.28515625" style="163" customWidth="1"/>
    <col min="5126" max="5126" width="13.5703125" style="163" customWidth="1"/>
    <col min="5127" max="5127" width="12.7109375" style="163" customWidth="1"/>
    <col min="5128" max="5129" width="10.5703125" style="163" customWidth="1"/>
    <col min="5130" max="5367" width="1.85546875" style="163"/>
    <col min="5368" max="5368" width="2.28515625" style="163" customWidth="1"/>
    <col min="5369" max="5369" width="14.140625" style="163" bestFit="1" customWidth="1"/>
    <col min="5370" max="5370" width="31.85546875" style="163" bestFit="1" customWidth="1"/>
    <col min="5371" max="5371" width="0" style="163" hidden="1" customWidth="1"/>
    <col min="5372" max="5372" width="0.28515625" style="163" customWidth="1"/>
    <col min="5373" max="5373" width="13.5703125" style="163" customWidth="1"/>
    <col min="5374" max="5374" width="12.7109375" style="163" customWidth="1"/>
    <col min="5375" max="5375" width="0.28515625" style="163" customWidth="1"/>
    <col min="5376" max="5376" width="13.5703125" style="163" customWidth="1"/>
    <col min="5377" max="5377" width="12.7109375" style="163" customWidth="1"/>
    <col min="5378" max="5378" width="0.28515625" style="163" customWidth="1"/>
    <col min="5379" max="5379" width="13.5703125" style="163" customWidth="1"/>
    <col min="5380" max="5380" width="12.7109375" style="163" customWidth="1"/>
    <col min="5381" max="5381" width="0.28515625" style="163" customWidth="1"/>
    <col min="5382" max="5382" width="13.5703125" style="163" customWidth="1"/>
    <col min="5383" max="5383" width="12.7109375" style="163" customWidth="1"/>
    <col min="5384" max="5385" width="10.5703125" style="163" customWidth="1"/>
    <col min="5386" max="5623" width="1.85546875" style="163"/>
    <col min="5624" max="5624" width="2.28515625" style="163" customWidth="1"/>
    <col min="5625" max="5625" width="14.140625" style="163" bestFit="1" customWidth="1"/>
    <col min="5626" max="5626" width="31.85546875" style="163" bestFit="1" customWidth="1"/>
    <col min="5627" max="5627" width="0" style="163" hidden="1" customWidth="1"/>
    <col min="5628" max="5628" width="0.28515625" style="163" customWidth="1"/>
    <col min="5629" max="5629" width="13.5703125" style="163" customWidth="1"/>
    <col min="5630" max="5630" width="12.7109375" style="163" customWidth="1"/>
    <col min="5631" max="5631" width="0.28515625" style="163" customWidth="1"/>
    <col min="5632" max="5632" width="13.5703125" style="163" customWidth="1"/>
    <col min="5633" max="5633" width="12.7109375" style="163" customWidth="1"/>
    <col min="5634" max="5634" width="0.28515625" style="163" customWidth="1"/>
    <col min="5635" max="5635" width="13.5703125" style="163" customWidth="1"/>
    <col min="5636" max="5636" width="12.7109375" style="163" customWidth="1"/>
    <col min="5637" max="5637" width="0.28515625" style="163" customWidth="1"/>
    <col min="5638" max="5638" width="13.5703125" style="163" customWidth="1"/>
    <col min="5639" max="5639" width="12.7109375" style="163" customWidth="1"/>
    <col min="5640" max="5641" width="10.5703125" style="163" customWidth="1"/>
    <col min="5642" max="5879" width="1.85546875" style="163"/>
    <col min="5880" max="5880" width="2.28515625" style="163" customWidth="1"/>
    <col min="5881" max="5881" width="14.140625" style="163" bestFit="1" customWidth="1"/>
    <col min="5882" max="5882" width="31.85546875" style="163" bestFit="1" customWidth="1"/>
    <col min="5883" max="5883" width="0" style="163" hidden="1" customWidth="1"/>
    <col min="5884" max="5884" width="0.28515625" style="163" customWidth="1"/>
    <col min="5885" max="5885" width="13.5703125" style="163" customWidth="1"/>
    <col min="5886" max="5886" width="12.7109375" style="163" customWidth="1"/>
    <col min="5887" max="5887" width="0.28515625" style="163" customWidth="1"/>
    <col min="5888" max="5888" width="13.5703125" style="163" customWidth="1"/>
    <col min="5889" max="5889" width="12.7109375" style="163" customWidth="1"/>
    <col min="5890" max="5890" width="0.28515625" style="163" customWidth="1"/>
    <col min="5891" max="5891" width="13.5703125" style="163" customWidth="1"/>
    <col min="5892" max="5892" width="12.7109375" style="163" customWidth="1"/>
    <col min="5893" max="5893" width="0.28515625" style="163" customWidth="1"/>
    <col min="5894" max="5894" width="13.5703125" style="163" customWidth="1"/>
    <col min="5895" max="5895" width="12.7109375" style="163" customWidth="1"/>
    <col min="5896" max="5897" width="10.5703125" style="163" customWidth="1"/>
    <col min="5898" max="6135" width="1.85546875" style="163"/>
    <col min="6136" max="6136" width="2.28515625" style="163" customWidth="1"/>
    <col min="6137" max="6137" width="14.140625" style="163" bestFit="1" customWidth="1"/>
    <col min="6138" max="6138" width="31.85546875" style="163" bestFit="1" customWidth="1"/>
    <col min="6139" max="6139" width="0" style="163" hidden="1" customWidth="1"/>
    <col min="6140" max="6140" width="0.28515625" style="163" customWidth="1"/>
    <col min="6141" max="6141" width="13.5703125" style="163" customWidth="1"/>
    <col min="6142" max="6142" width="12.7109375" style="163" customWidth="1"/>
    <col min="6143" max="6143" width="0.28515625" style="163" customWidth="1"/>
    <col min="6144" max="6144" width="13.5703125" style="163" customWidth="1"/>
    <col min="6145" max="6145" width="12.7109375" style="163" customWidth="1"/>
    <col min="6146" max="6146" width="0.28515625" style="163" customWidth="1"/>
    <col min="6147" max="6147" width="13.5703125" style="163" customWidth="1"/>
    <col min="6148" max="6148" width="12.7109375" style="163" customWidth="1"/>
    <col min="6149" max="6149" width="0.28515625" style="163" customWidth="1"/>
    <col min="6150" max="6150" width="13.5703125" style="163" customWidth="1"/>
    <col min="6151" max="6151" width="12.7109375" style="163" customWidth="1"/>
    <col min="6152" max="6153" width="10.5703125" style="163" customWidth="1"/>
    <col min="6154" max="6391" width="1.85546875" style="163"/>
    <col min="6392" max="6392" width="2.28515625" style="163" customWidth="1"/>
    <col min="6393" max="6393" width="14.140625" style="163" bestFit="1" customWidth="1"/>
    <col min="6394" max="6394" width="31.85546875" style="163" bestFit="1" customWidth="1"/>
    <col min="6395" max="6395" width="0" style="163" hidden="1" customWidth="1"/>
    <col min="6396" max="6396" width="0.28515625" style="163" customWidth="1"/>
    <col min="6397" max="6397" width="13.5703125" style="163" customWidth="1"/>
    <col min="6398" max="6398" width="12.7109375" style="163" customWidth="1"/>
    <col min="6399" max="6399" width="0.28515625" style="163" customWidth="1"/>
    <col min="6400" max="6400" width="13.5703125" style="163" customWidth="1"/>
    <col min="6401" max="6401" width="12.7109375" style="163" customWidth="1"/>
    <col min="6402" max="6402" width="0.28515625" style="163" customWidth="1"/>
    <col min="6403" max="6403" width="13.5703125" style="163" customWidth="1"/>
    <col min="6404" max="6404" width="12.7109375" style="163" customWidth="1"/>
    <col min="6405" max="6405" width="0.28515625" style="163" customWidth="1"/>
    <col min="6406" max="6406" width="13.5703125" style="163" customWidth="1"/>
    <col min="6407" max="6407" width="12.7109375" style="163" customWidth="1"/>
    <col min="6408" max="6409" width="10.5703125" style="163" customWidth="1"/>
    <col min="6410" max="6647" width="1.85546875" style="163"/>
    <col min="6648" max="6648" width="2.28515625" style="163" customWidth="1"/>
    <col min="6649" max="6649" width="14.140625" style="163" bestFit="1" customWidth="1"/>
    <col min="6650" max="6650" width="31.85546875" style="163" bestFit="1" customWidth="1"/>
    <col min="6651" max="6651" width="0" style="163" hidden="1" customWidth="1"/>
    <col min="6652" max="6652" width="0.28515625" style="163" customWidth="1"/>
    <col min="6653" max="6653" width="13.5703125" style="163" customWidth="1"/>
    <col min="6654" max="6654" width="12.7109375" style="163" customWidth="1"/>
    <col min="6655" max="6655" width="0.28515625" style="163" customWidth="1"/>
    <col min="6656" max="6656" width="13.5703125" style="163" customWidth="1"/>
    <col min="6657" max="6657" width="12.7109375" style="163" customWidth="1"/>
    <col min="6658" max="6658" width="0.28515625" style="163" customWidth="1"/>
    <col min="6659" max="6659" width="13.5703125" style="163" customWidth="1"/>
    <col min="6660" max="6660" width="12.7109375" style="163" customWidth="1"/>
    <col min="6661" max="6661" width="0.28515625" style="163" customWidth="1"/>
    <col min="6662" max="6662" width="13.5703125" style="163" customWidth="1"/>
    <col min="6663" max="6663" width="12.7109375" style="163" customWidth="1"/>
    <col min="6664" max="6665" width="10.5703125" style="163" customWidth="1"/>
    <col min="6666" max="6903" width="1.85546875" style="163"/>
    <col min="6904" max="6904" width="2.28515625" style="163" customWidth="1"/>
    <col min="6905" max="6905" width="14.140625" style="163" bestFit="1" customWidth="1"/>
    <col min="6906" max="6906" width="31.85546875" style="163" bestFit="1" customWidth="1"/>
    <col min="6907" max="6907" width="0" style="163" hidden="1" customWidth="1"/>
    <col min="6908" max="6908" width="0.28515625" style="163" customWidth="1"/>
    <col min="6909" max="6909" width="13.5703125" style="163" customWidth="1"/>
    <col min="6910" max="6910" width="12.7109375" style="163" customWidth="1"/>
    <col min="6911" max="6911" width="0.28515625" style="163" customWidth="1"/>
    <col min="6912" max="6912" width="13.5703125" style="163" customWidth="1"/>
    <col min="6913" max="6913" width="12.7109375" style="163" customWidth="1"/>
    <col min="6914" max="6914" width="0.28515625" style="163" customWidth="1"/>
    <col min="6915" max="6915" width="13.5703125" style="163" customWidth="1"/>
    <col min="6916" max="6916" width="12.7109375" style="163" customWidth="1"/>
    <col min="6917" max="6917" width="0.28515625" style="163" customWidth="1"/>
    <col min="6918" max="6918" width="13.5703125" style="163" customWidth="1"/>
    <col min="6919" max="6919" width="12.7109375" style="163" customWidth="1"/>
    <col min="6920" max="6921" width="10.5703125" style="163" customWidth="1"/>
    <col min="6922" max="7159" width="1.85546875" style="163"/>
    <col min="7160" max="7160" width="2.28515625" style="163" customWidth="1"/>
    <col min="7161" max="7161" width="14.140625" style="163" bestFit="1" customWidth="1"/>
    <col min="7162" max="7162" width="31.85546875" style="163" bestFit="1" customWidth="1"/>
    <col min="7163" max="7163" width="0" style="163" hidden="1" customWidth="1"/>
    <col min="7164" max="7164" width="0.28515625" style="163" customWidth="1"/>
    <col min="7165" max="7165" width="13.5703125" style="163" customWidth="1"/>
    <col min="7166" max="7166" width="12.7109375" style="163" customWidth="1"/>
    <col min="7167" max="7167" width="0.28515625" style="163" customWidth="1"/>
    <col min="7168" max="7168" width="13.5703125" style="163" customWidth="1"/>
    <col min="7169" max="7169" width="12.7109375" style="163" customWidth="1"/>
    <col min="7170" max="7170" width="0.28515625" style="163" customWidth="1"/>
    <col min="7171" max="7171" width="13.5703125" style="163" customWidth="1"/>
    <col min="7172" max="7172" width="12.7109375" style="163" customWidth="1"/>
    <col min="7173" max="7173" width="0.28515625" style="163" customWidth="1"/>
    <col min="7174" max="7174" width="13.5703125" style="163" customWidth="1"/>
    <col min="7175" max="7175" width="12.7109375" style="163" customWidth="1"/>
    <col min="7176" max="7177" width="10.5703125" style="163" customWidth="1"/>
    <col min="7178" max="7415" width="1.85546875" style="163"/>
    <col min="7416" max="7416" width="2.28515625" style="163" customWidth="1"/>
    <col min="7417" max="7417" width="14.140625" style="163" bestFit="1" customWidth="1"/>
    <col min="7418" max="7418" width="31.85546875" style="163" bestFit="1" customWidth="1"/>
    <col min="7419" max="7419" width="0" style="163" hidden="1" customWidth="1"/>
    <col min="7420" max="7420" width="0.28515625" style="163" customWidth="1"/>
    <col min="7421" max="7421" width="13.5703125" style="163" customWidth="1"/>
    <col min="7422" max="7422" width="12.7109375" style="163" customWidth="1"/>
    <col min="7423" max="7423" width="0.28515625" style="163" customWidth="1"/>
    <col min="7424" max="7424" width="13.5703125" style="163" customWidth="1"/>
    <col min="7425" max="7425" width="12.7109375" style="163" customWidth="1"/>
    <col min="7426" max="7426" width="0.28515625" style="163" customWidth="1"/>
    <col min="7427" max="7427" width="13.5703125" style="163" customWidth="1"/>
    <col min="7428" max="7428" width="12.7109375" style="163" customWidth="1"/>
    <col min="7429" max="7429" width="0.28515625" style="163" customWidth="1"/>
    <col min="7430" max="7430" width="13.5703125" style="163" customWidth="1"/>
    <col min="7431" max="7431" width="12.7109375" style="163" customWidth="1"/>
    <col min="7432" max="7433" width="10.5703125" style="163" customWidth="1"/>
    <col min="7434" max="7671" width="1.85546875" style="163"/>
    <col min="7672" max="7672" width="2.28515625" style="163" customWidth="1"/>
    <col min="7673" max="7673" width="14.140625" style="163" bestFit="1" customWidth="1"/>
    <col min="7674" max="7674" width="31.85546875" style="163" bestFit="1" customWidth="1"/>
    <col min="7675" max="7675" width="0" style="163" hidden="1" customWidth="1"/>
    <col min="7676" max="7676" width="0.28515625" style="163" customWidth="1"/>
    <col min="7677" max="7677" width="13.5703125" style="163" customWidth="1"/>
    <col min="7678" max="7678" width="12.7109375" style="163" customWidth="1"/>
    <col min="7679" max="7679" width="0.28515625" style="163" customWidth="1"/>
    <col min="7680" max="7680" width="13.5703125" style="163" customWidth="1"/>
    <col min="7681" max="7681" width="12.7109375" style="163" customWidth="1"/>
    <col min="7682" max="7682" width="0.28515625" style="163" customWidth="1"/>
    <col min="7683" max="7683" width="13.5703125" style="163" customWidth="1"/>
    <col min="7684" max="7684" width="12.7109375" style="163" customWidth="1"/>
    <col min="7685" max="7685" width="0.28515625" style="163" customWidth="1"/>
    <col min="7686" max="7686" width="13.5703125" style="163" customWidth="1"/>
    <col min="7687" max="7687" width="12.7109375" style="163" customWidth="1"/>
    <col min="7688" max="7689" width="10.5703125" style="163" customWidth="1"/>
    <col min="7690" max="7927" width="1.85546875" style="163"/>
    <col min="7928" max="7928" width="2.28515625" style="163" customWidth="1"/>
    <col min="7929" max="7929" width="14.140625" style="163" bestFit="1" customWidth="1"/>
    <col min="7930" max="7930" width="31.85546875" style="163" bestFit="1" customWidth="1"/>
    <col min="7931" max="7931" width="0" style="163" hidden="1" customWidth="1"/>
    <col min="7932" max="7932" width="0.28515625" style="163" customWidth="1"/>
    <col min="7933" max="7933" width="13.5703125" style="163" customWidth="1"/>
    <col min="7934" max="7934" width="12.7109375" style="163" customWidth="1"/>
    <col min="7935" max="7935" width="0.28515625" style="163" customWidth="1"/>
    <col min="7936" max="7936" width="13.5703125" style="163" customWidth="1"/>
    <col min="7937" max="7937" width="12.7109375" style="163" customWidth="1"/>
    <col min="7938" max="7938" width="0.28515625" style="163" customWidth="1"/>
    <col min="7939" max="7939" width="13.5703125" style="163" customWidth="1"/>
    <col min="7940" max="7940" width="12.7109375" style="163" customWidth="1"/>
    <col min="7941" max="7941" width="0.28515625" style="163" customWidth="1"/>
    <col min="7942" max="7942" width="13.5703125" style="163" customWidth="1"/>
    <col min="7943" max="7943" width="12.7109375" style="163" customWidth="1"/>
    <col min="7944" max="7945" width="10.5703125" style="163" customWidth="1"/>
    <col min="7946" max="8183" width="1.85546875" style="163"/>
    <col min="8184" max="8184" width="2.28515625" style="163" customWidth="1"/>
    <col min="8185" max="8185" width="14.140625" style="163" bestFit="1" customWidth="1"/>
    <col min="8186" max="8186" width="31.85546875" style="163" bestFit="1" customWidth="1"/>
    <col min="8187" max="8187" width="0" style="163" hidden="1" customWidth="1"/>
    <col min="8188" max="8188" width="0.28515625" style="163" customWidth="1"/>
    <col min="8189" max="8189" width="13.5703125" style="163" customWidth="1"/>
    <col min="8190" max="8190" width="12.7109375" style="163" customWidth="1"/>
    <col min="8191" max="8191" width="0.28515625" style="163" customWidth="1"/>
    <col min="8192" max="8192" width="13.5703125" style="163" customWidth="1"/>
    <col min="8193" max="8193" width="12.7109375" style="163" customWidth="1"/>
    <col min="8194" max="8194" width="0.28515625" style="163" customWidth="1"/>
    <col min="8195" max="8195" width="13.5703125" style="163" customWidth="1"/>
    <col min="8196" max="8196" width="12.7109375" style="163" customWidth="1"/>
    <col min="8197" max="8197" width="0.28515625" style="163" customWidth="1"/>
    <col min="8198" max="8198" width="13.5703125" style="163" customWidth="1"/>
    <col min="8199" max="8199" width="12.7109375" style="163" customWidth="1"/>
    <col min="8200" max="8201" width="10.5703125" style="163" customWidth="1"/>
    <col min="8202" max="8439" width="1.85546875" style="163"/>
    <col min="8440" max="8440" width="2.28515625" style="163" customWidth="1"/>
    <col min="8441" max="8441" width="14.140625" style="163" bestFit="1" customWidth="1"/>
    <col min="8442" max="8442" width="31.85546875" style="163" bestFit="1" customWidth="1"/>
    <col min="8443" max="8443" width="0" style="163" hidden="1" customWidth="1"/>
    <col min="8444" max="8444" width="0.28515625" style="163" customWidth="1"/>
    <col min="8445" max="8445" width="13.5703125" style="163" customWidth="1"/>
    <col min="8446" max="8446" width="12.7109375" style="163" customWidth="1"/>
    <col min="8447" max="8447" width="0.28515625" style="163" customWidth="1"/>
    <col min="8448" max="8448" width="13.5703125" style="163" customWidth="1"/>
    <col min="8449" max="8449" width="12.7109375" style="163" customWidth="1"/>
    <col min="8450" max="8450" width="0.28515625" style="163" customWidth="1"/>
    <col min="8451" max="8451" width="13.5703125" style="163" customWidth="1"/>
    <col min="8452" max="8452" width="12.7109375" style="163" customWidth="1"/>
    <col min="8453" max="8453" width="0.28515625" style="163" customWidth="1"/>
    <col min="8454" max="8454" width="13.5703125" style="163" customWidth="1"/>
    <col min="8455" max="8455" width="12.7109375" style="163" customWidth="1"/>
    <col min="8456" max="8457" width="10.5703125" style="163" customWidth="1"/>
    <col min="8458" max="8695" width="1.85546875" style="163"/>
    <col min="8696" max="8696" width="2.28515625" style="163" customWidth="1"/>
    <col min="8697" max="8697" width="14.140625" style="163" bestFit="1" customWidth="1"/>
    <col min="8698" max="8698" width="31.85546875" style="163" bestFit="1" customWidth="1"/>
    <col min="8699" max="8699" width="0" style="163" hidden="1" customWidth="1"/>
    <col min="8700" max="8700" width="0.28515625" style="163" customWidth="1"/>
    <col min="8701" max="8701" width="13.5703125" style="163" customWidth="1"/>
    <col min="8702" max="8702" width="12.7109375" style="163" customWidth="1"/>
    <col min="8703" max="8703" width="0.28515625" style="163" customWidth="1"/>
    <col min="8704" max="8704" width="13.5703125" style="163" customWidth="1"/>
    <col min="8705" max="8705" width="12.7109375" style="163" customWidth="1"/>
    <col min="8706" max="8706" width="0.28515625" style="163" customWidth="1"/>
    <col min="8707" max="8707" width="13.5703125" style="163" customWidth="1"/>
    <col min="8708" max="8708" width="12.7109375" style="163" customWidth="1"/>
    <col min="8709" max="8709" width="0.28515625" style="163" customWidth="1"/>
    <col min="8710" max="8710" width="13.5703125" style="163" customWidth="1"/>
    <col min="8711" max="8711" width="12.7109375" style="163" customWidth="1"/>
    <col min="8712" max="8713" width="10.5703125" style="163" customWidth="1"/>
    <col min="8714" max="8951" width="1.85546875" style="163"/>
    <col min="8952" max="8952" width="2.28515625" style="163" customWidth="1"/>
    <col min="8953" max="8953" width="14.140625" style="163" bestFit="1" customWidth="1"/>
    <col min="8954" max="8954" width="31.85546875" style="163" bestFit="1" customWidth="1"/>
    <col min="8955" max="8955" width="0" style="163" hidden="1" customWidth="1"/>
    <col min="8956" max="8956" width="0.28515625" style="163" customWidth="1"/>
    <col min="8957" max="8957" width="13.5703125" style="163" customWidth="1"/>
    <col min="8958" max="8958" width="12.7109375" style="163" customWidth="1"/>
    <col min="8959" max="8959" width="0.28515625" style="163" customWidth="1"/>
    <col min="8960" max="8960" width="13.5703125" style="163" customWidth="1"/>
    <col min="8961" max="8961" width="12.7109375" style="163" customWidth="1"/>
    <col min="8962" max="8962" width="0.28515625" style="163" customWidth="1"/>
    <col min="8963" max="8963" width="13.5703125" style="163" customWidth="1"/>
    <col min="8964" max="8964" width="12.7109375" style="163" customWidth="1"/>
    <col min="8965" max="8965" width="0.28515625" style="163" customWidth="1"/>
    <col min="8966" max="8966" width="13.5703125" style="163" customWidth="1"/>
    <col min="8967" max="8967" width="12.7109375" style="163" customWidth="1"/>
    <col min="8968" max="8969" width="10.5703125" style="163" customWidth="1"/>
    <col min="8970" max="9207" width="1.85546875" style="163"/>
    <col min="9208" max="9208" width="2.28515625" style="163" customWidth="1"/>
    <col min="9209" max="9209" width="14.140625" style="163" bestFit="1" customWidth="1"/>
    <col min="9210" max="9210" width="31.85546875" style="163" bestFit="1" customWidth="1"/>
    <col min="9211" max="9211" width="0" style="163" hidden="1" customWidth="1"/>
    <col min="9212" max="9212" width="0.28515625" style="163" customWidth="1"/>
    <col min="9213" max="9213" width="13.5703125" style="163" customWidth="1"/>
    <col min="9214" max="9214" width="12.7109375" style="163" customWidth="1"/>
    <col min="9215" max="9215" width="0.28515625" style="163" customWidth="1"/>
    <col min="9216" max="9216" width="13.5703125" style="163" customWidth="1"/>
    <col min="9217" max="9217" width="12.7109375" style="163" customWidth="1"/>
    <col min="9218" max="9218" width="0.28515625" style="163" customWidth="1"/>
    <col min="9219" max="9219" width="13.5703125" style="163" customWidth="1"/>
    <col min="9220" max="9220" width="12.7109375" style="163" customWidth="1"/>
    <col min="9221" max="9221" width="0.28515625" style="163" customWidth="1"/>
    <col min="9222" max="9222" width="13.5703125" style="163" customWidth="1"/>
    <col min="9223" max="9223" width="12.7109375" style="163" customWidth="1"/>
    <col min="9224" max="9225" width="10.5703125" style="163" customWidth="1"/>
    <col min="9226" max="9463" width="1.85546875" style="163"/>
    <col min="9464" max="9464" width="2.28515625" style="163" customWidth="1"/>
    <col min="9465" max="9465" width="14.140625" style="163" bestFit="1" customWidth="1"/>
    <col min="9466" max="9466" width="31.85546875" style="163" bestFit="1" customWidth="1"/>
    <col min="9467" max="9467" width="0" style="163" hidden="1" customWidth="1"/>
    <col min="9468" max="9468" width="0.28515625" style="163" customWidth="1"/>
    <col min="9469" max="9469" width="13.5703125" style="163" customWidth="1"/>
    <col min="9470" max="9470" width="12.7109375" style="163" customWidth="1"/>
    <col min="9471" max="9471" width="0.28515625" style="163" customWidth="1"/>
    <col min="9472" max="9472" width="13.5703125" style="163" customWidth="1"/>
    <col min="9473" max="9473" width="12.7109375" style="163" customWidth="1"/>
    <col min="9474" max="9474" width="0.28515625" style="163" customWidth="1"/>
    <col min="9475" max="9475" width="13.5703125" style="163" customWidth="1"/>
    <col min="9476" max="9476" width="12.7109375" style="163" customWidth="1"/>
    <col min="9477" max="9477" width="0.28515625" style="163" customWidth="1"/>
    <col min="9478" max="9478" width="13.5703125" style="163" customWidth="1"/>
    <col min="9479" max="9479" width="12.7109375" style="163" customWidth="1"/>
    <col min="9480" max="9481" width="10.5703125" style="163" customWidth="1"/>
    <col min="9482" max="9719" width="1.85546875" style="163"/>
    <col min="9720" max="9720" width="2.28515625" style="163" customWidth="1"/>
    <col min="9721" max="9721" width="14.140625" style="163" bestFit="1" customWidth="1"/>
    <col min="9722" max="9722" width="31.85546875" style="163" bestFit="1" customWidth="1"/>
    <col min="9723" max="9723" width="0" style="163" hidden="1" customWidth="1"/>
    <col min="9724" max="9724" width="0.28515625" style="163" customWidth="1"/>
    <col min="9725" max="9725" width="13.5703125" style="163" customWidth="1"/>
    <col min="9726" max="9726" width="12.7109375" style="163" customWidth="1"/>
    <col min="9727" max="9727" width="0.28515625" style="163" customWidth="1"/>
    <col min="9728" max="9728" width="13.5703125" style="163" customWidth="1"/>
    <col min="9729" max="9729" width="12.7109375" style="163" customWidth="1"/>
    <col min="9730" max="9730" width="0.28515625" style="163" customWidth="1"/>
    <col min="9731" max="9731" width="13.5703125" style="163" customWidth="1"/>
    <col min="9732" max="9732" width="12.7109375" style="163" customWidth="1"/>
    <col min="9733" max="9733" width="0.28515625" style="163" customWidth="1"/>
    <col min="9734" max="9734" width="13.5703125" style="163" customWidth="1"/>
    <col min="9735" max="9735" width="12.7109375" style="163" customWidth="1"/>
    <col min="9736" max="9737" width="10.5703125" style="163" customWidth="1"/>
    <col min="9738" max="9975" width="1.85546875" style="163"/>
    <col min="9976" max="9976" width="2.28515625" style="163" customWidth="1"/>
    <col min="9977" max="9977" width="14.140625" style="163" bestFit="1" customWidth="1"/>
    <col min="9978" max="9978" width="31.85546875" style="163" bestFit="1" customWidth="1"/>
    <col min="9979" max="9979" width="0" style="163" hidden="1" customWidth="1"/>
    <col min="9980" max="9980" width="0.28515625" style="163" customWidth="1"/>
    <col min="9981" max="9981" width="13.5703125" style="163" customWidth="1"/>
    <col min="9982" max="9982" width="12.7109375" style="163" customWidth="1"/>
    <col min="9983" max="9983" width="0.28515625" style="163" customWidth="1"/>
    <col min="9984" max="9984" width="13.5703125" style="163" customWidth="1"/>
    <col min="9985" max="9985" width="12.7109375" style="163" customWidth="1"/>
    <col min="9986" max="9986" width="0.28515625" style="163" customWidth="1"/>
    <col min="9987" max="9987" width="13.5703125" style="163" customWidth="1"/>
    <col min="9988" max="9988" width="12.7109375" style="163" customWidth="1"/>
    <col min="9989" max="9989" width="0.28515625" style="163" customWidth="1"/>
    <col min="9990" max="9990" width="13.5703125" style="163" customWidth="1"/>
    <col min="9991" max="9991" width="12.7109375" style="163" customWidth="1"/>
    <col min="9992" max="9993" width="10.5703125" style="163" customWidth="1"/>
    <col min="9994" max="10231" width="1.85546875" style="163"/>
    <col min="10232" max="10232" width="2.28515625" style="163" customWidth="1"/>
    <col min="10233" max="10233" width="14.140625" style="163" bestFit="1" customWidth="1"/>
    <col min="10234" max="10234" width="31.85546875" style="163" bestFit="1" customWidth="1"/>
    <col min="10235" max="10235" width="0" style="163" hidden="1" customWidth="1"/>
    <col min="10236" max="10236" width="0.28515625" style="163" customWidth="1"/>
    <col min="10237" max="10237" width="13.5703125" style="163" customWidth="1"/>
    <col min="10238" max="10238" width="12.7109375" style="163" customWidth="1"/>
    <col min="10239" max="10239" width="0.28515625" style="163" customWidth="1"/>
    <col min="10240" max="10240" width="13.5703125" style="163" customWidth="1"/>
    <col min="10241" max="10241" width="12.7109375" style="163" customWidth="1"/>
    <col min="10242" max="10242" width="0.28515625" style="163" customWidth="1"/>
    <col min="10243" max="10243" width="13.5703125" style="163" customWidth="1"/>
    <col min="10244" max="10244" width="12.7109375" style="163" customWidth="1"/>
    <col min="10245" max="10245" width="0.28515625" style="163" customWidth="1"/>
    <col min="10246" max="10246" width="13.5703125" style="163" customWidth="1"/>
    <col min="10247" max="10247" width="12.7109375" style="163" customWidth="1"/>
    <col min="10248" max="10249" width="10.5703125" style="163" customWidth="1"/>
    <col min="10250" max="10487" width="1.85546875" style="163"/>
    <col min="10488" max="10488" width="2.28515625" style="163" customWidth="1"/>
    <col min="10489" max="10489" width="14.140625" style="163" bestFit="1" customWidth="1"/>
    <col min="10490" max="10490" width="31.85546875" style="163" bestFit="1" customWidth="1"/>
    <col min="10491" max="10491" width="0" style="163" hidden="1" customWidth="1"/>
    <col min="10492" max="10492" width="0.28515625" style="163" customWidth="1"/>
    <col min="10493" max="10493" width="13.5703125" style="163" customWidth="1"/>
    <col min="10494" max="10494" width="12.7109375" style="163" customWidth="1"/>
    <col min="10495" max="10495" width="0.28515625" style="163" customWidth="1"/>
    <col min="10496" max="10496" width="13.5703125" style="163" customWidth="1"/>
    <col min="10497" max="10497" width="12.7109375" style="163" customWidth="1"/>
    <col min="10498" max="10498" width="0.28515625" style="163" customWidth="1"/>
    <col min="10499" max="10499" width="13.5703125" style="163" customWidth="1"/>
    <col min="10500" max="10500" width="12.7109375" style="163" customWidth="1"/>
    <col min="10501" max="10501" width="0.28515625" style="163" customWidth="1"/>
    <col min="10502" max="10502" width="13.5703125" style="163" customWidth="1"/>
    <col min="10503" max="10503" width="12.7109375" style="163" customWidth="1"/>
    <col min="10504" max="10505" width="10.5703125" style="163" customWidth="1"/>
    <col min="10506" max="10743" width="1.85546875" style="163"/>
    <col min="10744" max="10744" width="2.28515625" style="163" customWidth="1"/>
    <col min="10745" max="10745" width="14.140625" style="163" bestFit="1" customWidth="1"/>
    <col min="10746" max="10746" width="31.85546875" style="163" bestFit="1" customWidth="1"/>
    <col min="10747" max="10747" width="0" style="163" hidden="1" customWidth="1"/>
    <col min="10748" max="10748" width="0.28515625" style="163" customWidth="1"/>
    <col min="10749" max="10749" width="13.5703125" style="163" customWidth="1"/>
    <col min="10750" max="10750" width="12.7109375" style="163" customWidth="1"/>
    <col min="10751" max="10751" width="0.28515625" style="163" customWidth="1"/>
    <col min="10752" max="10752" width="13.5703125" style="163" customWidth="1"/>
    <col min="10753" max="10753" width="12.7109375" style="163" customWidth="1"/>
    <col min="10754" max="10754" width="0.28515625" style="163" customWidth="1"/>
    <col min="10755" max="10755" width="13.5703125" style="163" customWidth="1"/>
    <col min="10756" max="10756" width="12.7109375" style="163" customWidth="1"/>
    <col min="10757" max="10757" width="0.28515625" style="163" customWidth="1"/>
    <col min="10758" max="10758" width="13.5703125" style="163" customWidth="1"/>
    <col min="10759" max="10759" width="12.7109375" style="163" customWidth="1"/>
    <col min="10760" max="10761" width="10.5703125" style="163" customWidth="1"/>
    <col min="10762" max="10999" width="1.85546875" style="163"/>
    <col min="11000" max="11000" width="2.28515625" style="163" customWidth="1"/>
    <col min="11001" max="11001" width="14.140625" style="163" bestFit="1" customWidth="1"/>
    <col min="11002" max="11002" width="31.85546875" style="163" bestFit="1" customWidth="1"/>
    <col min="11003" max="11003" width="0" style="163" hidden="1" customWidth="1"/>
    <col min="11004" max="11004" width="0.28515625" style="163" customWidth="1"/>
    <col min="11005" max="11005" width="13.5703125" style="163" customWidth="1"/>
    <col min="11006" max="11006" width="12.7109375" style="163" customWidth="1"/>
    <col min="11007" max="11007" width="0.28515625" style="163" customWidth="1"/>
    <col min="11008" max="11008" width="13.5703125" style="163" customWidth="1"/>
    <col min="11009" max="11009" width="12.7109375" style="163" customWidth="1"/>
    <col min="11010" max="11010" width="0.28515625" style="163" customWidth="1"/>
    <col min="11011" max="11011" width="13.5703125" style="163" customWidth="1"/>
    <col min="11012" max="11012" width="12.7109375" style="163" customWidth="1"/>
    <col min="11013" max="11013" width="0.28515625" style="163" customWidth="1"/>
    <col min="11014" max="11014" width="13.5703125" style="163" customWidth="1"/>
    <col min="11015" max="11015" width="12.7109375" style="163" customWidth="1"/>
    <col min="11016" max="11017" width="10.5703125" style="163" customWidth="1"/>
    <col min="11018" max="11255" width="1.85546875" style="163"/>
    <col min="11256" max="11256" width="2.28515625" style="163" customWidth="1"/>
    <col min="11257" max="11257" width="14.140625" style="163" bestFit="1" customWidth="1"/>
    <col min="11258" max="11258" width="31.85546875" style="163" bestFit="1" customWidth="1"/>
    <col min="11259" max="11259" width="0" style="163" hidden="1" customWidth="1"/>
    <col min="11260" max="11260" width="0.28515625" style="163" customWidth="1"/>
    <col min="11261" max="11261" width="13.5703125" style="163" customWidth="1"/>
    <col min="11262" max="11262" width="12.7109375" style="163" customWidth="1"/>
    <col min="11263" max="11263" width="0.28515625" style="163" customWidth="1"/>
    <col min="11264" max="11264" width="13.5703125" style="163" customWidth="1"/>
    <col min="11265" max="11265" width="12.7109375" style="163" customWidth="1"/>
    <col min="11266" max="11266" width="0.28515625" style="163" customWidth="1"/>
    <col min="11267" max="11267" width="13.5703125" style="163" customWidth="1"/>
    <col min="11268" max="11268" width="12.7109375" style="163" customWidth="1"/>
    <col min="11269" max="11269" width="0.28515625" style="163" customWidth="1"/>
    <col min="11270" max="11270" width="13.5703125" style="163" customWidth="1"/>
    <col min="11271" max="11271" width="12.7109375" style="163" customWidth="1"/>
    <col min="11272" max="11273" width="10.5703125" style="163" customWidth="1"/>
    <col min="11274" max="11511" width="1.85546875" style="163"/>
    <col min="11512" max="11512" width="2.28515625" style="163" customWidth="1"/>
    <col min="11513" max="11513" width="14.140625" style="163" bestFit="1" customWidth="1"/>
    <col min="11514" max="11514" width="31.85546875" style="163" bestFit="1" customWidth="1"/>
    <col min="11515" max="11515" width="0" style="163" hidden="1" customWidth="1"/>
    <col min="11516" max="11516" width="0.28515625" style="163" customWidth="1"/>
    <col min="11517" max="11517" width="13.5703125" style="163" customWidth="1"/>
    <col min="11518" max="11518" width="12.7109375" style="163" customWidth="1"/>
    <col min="11519" max="11519" width="0.28515625" style="163" customWidth="1"/>
    <col min="11520" max="11520" width="13.5703125" style="163" customWidth="1"/>
    <col min="11521" max="11521" width="12.7109375" style="163" customWidth="1"/>
    <col min="11522" max="11522" width="0.28515625" style="163" customWidth="1"/>
    <col min="11523" max="11523" width="13.5703125" style="163" customWidth="1"/>
    <col min="11524" max="11524" width="12.7109375" style="163" customWidth="1"/>
    <col min="11525" max="11525" width="0.28515625" style="163" customWidth="1"/>
    <col min="11526" max="11526" width="13.5703125" style="163" customWidth="1"/>
    <col min="11527" max="11527" width="12.7109375" style="163" customWidth="1"/>
    <col min="11528" max="11529" width="10.5703125" style="163" customWidth="1"/>
    <col min="11530" max="11767" width="1.85546875" style="163"/>
    <col min="11768" max="11768" width="2.28515625" style="163" customWidth="1"/>
    <col min="11769" max="11769" width="14.140625" style="163" bestFit="1" customWidth="1"/>
    <col min="11770" max="11770" width="31.85546875" style="163" bestFit="1" customWidth="1"/>
    <col min="11771" max="11771" width="0" style="163" hidden="1" customWidth="1"/>
    <col min="11772" max="11772" width="0.28515625" style="163" customWidth="1"/>
    <col min="11773" max="11773" width="13.5703125" style="163" customWidth="1"/>
    <col min="11774" max="11774" width="12.7109375" style="163" customWidth="1"/>
    <col min="11775" max="11775" width="0.28515625" style="163" customWidth="1"/>
    <col min="11776" max="11776" width="13.5703125" style="163" customWidth="1"/>
    <col min="11777" max="11777" width="12.7109375" style="163" customWidth="1"/>
    <col min="11778" max="11778" width="0.28515625" style="163" customWidth="1"/>
    <col min="11779" max="11779" width="13.5703125" style="163" customWidth="1"/>
    <col min="11780" max="11780" width="12.7109375" style="163" customWidth="1"/>
    <col min="11781" max="11781" width="0.28515625" style="163" customWidth="1"/>
    <col min="11782" max="11782" width="13.5703125" style="163" customWidth="1"/>
    <col min="11783" max="11783" width="12.7109375" style="163" customWidth="1"/>
    <col min="11784" max="11785" width="10.5703125" style="163" customWidth="1"/>
    <col min="11786" max="12023" width="1.85546875" style="163"/>
    <col min="12024" max="12024" width="2.28515625" style="163" customWidth="1"/>
    <col min="12025" max="12025" width="14.140625" style="163" bestFit="1" customWidth="1"/>
    <col min="12026" max="12026" width="31.85546875" style="163" bestFit="1" customWidth="1"/>
    <col min="12027" max="12027" width="0" style="163" hidden="1" customWidth="1"/>
    <col min="12028" max="12028" width="0.28515625" style="163" customWidth="1"/>
    <col min="12029" max="12029" width="13.5703125" style="163" customWidth="1"/>
    <col min="12030" max="12030" width="12.7109375" style="163" customWidth="1"/>
    <col min="12031" max="12031" width="0.28515625" style="163" customWidth="1"/>
    <col min="12032" max="12032" width="13.5703125" style="163" customWidth="1"/>
    <col min="12033" max="12033" width="12.7109375" style="163" customWidth="1"/>
    <col min="12034" max="12034" width="0.28515625" style="163" customWidth="1"/>
    <col min="12035" max="12035" width="13.5703125" style="163" customWidth="1"/>
    <col min="12036" max="12036" width="12.7109375" style="163" customWidth="1"/>
    <col min="12037" max="12037" width="0.28515625" style="163" customWidth="1"/>
    <col min="12038" max="12038" width="13.5703125" style="163" customWidth="1"/>
    <col min="12039" max="12039" width="12.7109375" style="163" customWidth="1"/>
    <col min="12040" max="12041" width="10.5703125" style="163" customWidth="1"/>
    <col min="12042" max="12279" width="1.85546875" style="163"/>
    <col min="12280" max="12280" width="2.28515625" style="163" customWidth="1"/>
    <col min="12281" max="12281" width="14.140625" style="163" bestFit="1" customWidth="1"/>
    <col min="12282" max="12282" width="31.85546875" style="163" bestFit="1" customWidth="1"/>
    <col min="12283" max="12283" width="0" style="163" hidden="1" customWidth="1"/>
    <col min="12284" max="12284" width="0.28515625" style="163" customWidth="1"/>
    <col min="12285" max="12285" width="13.5703125" style="163" customWidth="1"/>
    <col min="12286" max="12286" width="12.7109375" style="163" customWidth="1"/>
    <col min="12287" max="12287" width="0.28515625" style="163" customWidth="1"/>
    <col min="12288" max="12288" width="13.5703125" style="163" customWidth="1"/>
    <col min="12289" max="12289" width="12.7109375" style="163" customWidth="1"/>
    <col min="12290" max="12290" width="0.28515625" style="163" customWidth="1"/>
    <col min="12291" max="12291" width="13.5703125" style="163" customWidth="1"/>
    <col min="12292" max="12292" width="12.7109375" style="163" customWidth="1"/>
    <col min="12293" max="12293" width="0.28515625" style="163" customWidth="1"/>
    <col min="12294" max="12294" width="13.5703125" style="163" customWidth="1"/>
    <col min="12295" max="12295" width="12.7109375" style="163" customWidth="1"/>
    <col min="12296" max="12297" width="10.5703125" style="163" customWidth="1"/>
    <col min="12298" max="12535" width="1.85546875" style="163"/>
    <col min="12536" max="12536" width="2.28515625" style="163" customWidth="1"/>
    <col min="12537" max="12537" width="14.140625" style="163" bestFit="1" customWidth="1"/>
    <col min="12538" max="12538" width="31.85546875" style="163" bestFit="1" customWidth="1"/>
    <col min="12539" max="12539" width="0" style="163" hidden="1" customWidth="1"/>
    <col min="12540" max="12540" width="0.28515625" style="163" customWidth="1"/>
    <col min="12541" max="12541" width="13.5703125" style="163" customWidth="1"/>
    <col min="12542" max="12542" width="12.7109375" style="163" customWidth="1"/>
    <col min="12543" max="12543" width="0.28515625" style="163" customWidth="1"/>
    <col min="12544" max="12544" width="13.5703125" style="163" customWidth="1"/>
    <col min="12545" max="12545" width="12.7109375" style="163" customWidth="1"/>
    <col min="12546" max="12546" width="0.28515625" style="163" customWidth="1"/>
    <col min="12547" max="12547" width="13.5703125" style="163" customWidth="1"/>
    <col min="12548" max="12548" width="12.7109375" style="163" customWidth="1"/>
    <col min="12549" max="12549" width="0.28515625" style="163" customWidth="1"/>
    <col min="12550" max="12550" width="13.5703125" style="163" customWidth="1"/>
    <col min="12551" max="12551" width="12.7109375" style="163" customWidth="1"/>
    <col min="12552" max="12553" width="10.5703125" style="163" customWidth="1"/>
    <col min="12554" max="12791" width="1.85546875" style="163"/>
    <col min="12792" max="12792" width="2.28515625" style="163" customWidth="1"/>
    <col min="12793" max="12793" width="14.140625" style="163" bestFit="1" customWidth="1"/>
    <col min="12794" max="12794" width="31.85546875" style="163" bestFit="1" customWidth="1"/>
    <col min="12795" max="12795" width="0" style="163" hidden="1" customWidth="1"/>
    <col min="12796" max="12796" width="0.28515625" style="163" customWidth="1"/>
    <col min="12797" max="12797" width="13.5703125" style="163" customWidth="1"/>
    <col min="12798" max="12798" width="12.7109375" style="163" customWidth="1"/>
    <col min="12799" max="12799" width="0.28515625" style="163" customWidth="1"/>
    <col min="12800" max="12800" width="13.5703125" style="163" customWidth="1"/>
    <col min="12801" max="12801" width="12.7109375" style="163" customWidth="1"/>
    <col min="12802" max="12802" width="0.28515625" style="163" customWidth="1"/>
    <col min="12803" max="12803" width="13.5703125" style="163" customWidth="1"/>
    <col min="12804" max="12804" width="12.7109375" style="163" customWidth="1"/>
    <col min="12805" max="12805" width="0.28515625" style="163" customWidth="1"/>
    <col min="12806" max="12806" width="13.5703125" style="163" customWidth="1"/>
    <col min="12807" max="12807" width="12.7109375" style="163" customWidth="1"/>
    <col min="12808" max="12809" width="10.5703125" style="163" customWidth="1"/>
    <col min="12810" max="13047" width="1.85546875" style="163"/>
    <col min="13048" max="13048" width="2.28515625" style="163" customWidth="1"/>
    <col min="13049" max="13049" width="14.140625" style="163" bestFit="1" customWidth="1"/>
    <col min="13050" max="13050" width="31.85546875" style="163" bestFit="1" customWidth="1"/>
    <col min="13051" max="13051" width="0" style="163" hidden="1" customWidth="1"/>
    <col min="13052" max="13052" width="0.28515625" style="163" customWidth="1"/>
    <col min="13053" max="13053" width="13.5703125" style="163" customWidth="1"/>
    <col min="13054" max="13054" width="12.7109375" style="163" customWidth="1"/>
    <col min="13055" max="13055" width="0.28515625" style="163" customWidth="1"/>
    <col min="13056" max="13056" width="13.5703125" style="163" customWidth="1"/>
    <col min="13057" max="13057" width="12.7109375" style="163" customWidth="1"/>
    <col min="13058" max="13058" width="0.28515625" style="163" customWidth="1"/>
    <col min="13059" max="13059" width="13.5703125" style="163" customWidth="1"/>
    <col min="13060" max="13060" width="12.7109375" style="163" customWidth="1"/>
    <col min="13061" max="13061" width="0.28515625" style="163" customWidth="1"/>
    <col min="13062" max="13062" width="13.5703125" style="163" customWidth="1"/>
    <col min="13063" max="13063" width="12.7109375" style="163" customWidth="1"/>
    <col min="13064" max="13065" width="10.5703125" style="163" customWidth="1"/>
    <col min="13066" max="13303" width="1.85546875" style="163"/>
    <col min="13304" max="13304" width="2.28515625" style="163" customWidth="1"/>
    <col min="13305" max="13305" width="14.140625" style="163" bestFit="1" customWidth="1"/>
    <col min="13306" max="13306" width="31.85546875" style="163" bestFit="1" customWidth="1"/>
    <col min="13307" max="13307" width="0" style="163" hidden="1" customWidth="1"/>
    <col min="13308" max="13308" width="0.28515625" style="163" customWidth="1"/>
    <col min="13309" max="13309" width="13.5703125" style="163" customWidth="1"/>
    <col min="13310" max="13310" width="12.7109375" style="163" customWidth="1"/>
    <col min="13311" max="13311" width="0.28515625" style="163" customWidth="1"/>
    <col min="13312" max="13312" width="13.5703125" style="163" customWidth="1"/>
    <col min="13313" max="13313" width="12.7109375" style="163" customWidth="1"/>
    <col min="13314" max="13314" width="0.28515625" style="163" customWidth="1"/>
    <col min="13315" max="13315" width="13.5703125" style="163" customWidth="1"/>
    <col min="13316" max="13316" width="12.7109375" style="163" customWidth="1"/>
    <col min="13317" max="13317" width="0.28515625" style="163" customWidth="1"/>
    <col min="13318" max="13318" width="13.5703125" style="163" customWidth="1"/>
    <col min="13319" max="13319" width="12.7109375" style="163" customWidth="1"/>
    <col min="13320" max="13321" width="10.5703125" style="163" customWidth="1"/>
    <col min="13322" max="13559" width="1.85546875" style="163"/>
    <col min="13560" max="13560" width="2.28515625" style="163" customWidth="1"/>
    <col min="13561" max="13561" width="14.140625" style="163" bestFit="1" customWidth="1"/>
    <col min="13562" max="13562" width="31.85546875" style="163" bestFit="1" customWidth="1"/>
    <col min="13563" max="13563" width="0" style="163" hidden="1" customWidth="1"/>
    <col min="13564" max="13564" width="0.28515625" style="163" customWidth="1"/>
    <col min="13565" max="13565" width="13.5703125" style="163" customWidth="1"/>
    <col min="13566" max="13566" width="12.7109375" style="163" customWidth="1"/>
    <col min="13567" max="13567" width="0.28515625" style="163" customWidth="1"/>
    <col min="13568" max="13568" width="13.5703125" style="163" customWidth="1"/>
    <col min="13569" max="13569" width="12.7109375" style="163" customWidth="1"/>
    <col min="13570" max="13570" width="0.28515625" style="163" customWidth="1"/>
    <col min="13571" max="13571" width="13.5703125" style="163" customWidth="1"/>
    <col min="13572" max="13572" width="12.7109375" style="163" customWidth="1"/>
    <col min="13573" max="13573" width="0.28515625" style="163" customWidth="1"/>
    <col min="13574" max="13574" width="13.5703125" style="163" customWidth="1"/>
    <col min="13575" max="13575" width="12.7109375" style="163" customWidth="1"/>
    <col min="13576" max="13577" width="10.5703125" style="163" customWidth="1"/>
    <col min="13578" max="13815" width="1.85546875" style="163"/>
    <col min="13816" max="13816" width="2.28515625" style="163" customWidth="1"/>
    <col min="13817" max="13817" width="14.140625" style="163" bestFit="1" customWidth="1"/>
    <col min="13818" max="13818" width="31.85546875" style="163" bestFit="1" customWidth="1"/>
    <col min="13819" max="13819" width="0" style="163" hidden="1" customWidth="1"/>
    <col min="13820" max="13820" width="0.28515625" style="163" customWidth="1"/>
    <col min="13821" max="13821" width="13.5703125" style="163" customWidth="1"/>
    <col min="13822" max="13822" width="12.7109375" style="163" customWidth="1"/>
    <col min="13823" max="13823" width="0.28515625" style="163" customWidth="1"/>
    <col min="13824" max="13824" width="13.5703125" style="163" customWidth="1"/>
    <col min="13825" max="13825" width="12.7109375" style="163" customWidth="1"/>
    <col min="13826" max="13826" width="0.28515625" style="163" customWidth="1"/>
    <col min="13827" max="13827" width="13.5703125" style="163" customWidth="1"/>
    <col min="13828" max="13828" width="12.7109375" style="163" customWidth="1"/>
    <col min="13829" max="13829" width="0.28515625" style="163" customWidth="1"/>
    <col min="13830" max="13830" width="13.5703125" style="163" customWidth="1"/>
    <col min="13831" max="13831" width="12.7109375" style="163" customWidth="1"/>
    <col min="13832" max="13833" width="10.5703125" style="163" customWidth="1"/>
    <col min="13834" max="14071" width="1.85546875" style="163"/>
    <col min="14072" max="14072" width="2.28515625" style="163" customWidth="1"/>
    <col min="14073" max="14073" width="14.140625" style="163" bestFit="1" customWidth="1"/>
    <col min="14074" max="14074" width="31.85546875" style="163" bestFit="1" customWidth="1"/>
    <col min="14075" max="14075" width="0" style="163" hidden="1" customWidth="1"/>
    <col min="14076" max="14076" width="0.28515625" style="163" customWidth="1"/>
    <col min="14077" max="14077" width="13.5703125" style="163" customWidth="1"/>
    <col min="14078" max="14078" width="12.7109375" style="163" customWidth="1"/>
    <col min="14079" max="14079" width="0.28515625" style="163" customWidth="1"/>
    <col min="14080" max="14080" width="13.5703125" style="163" customWidth="1"/>
    <col min="14081" max="14081" width="12.7109375" style="163" customWidth="1"/>
    <col min="14082" max="14082" width="0.28515625" style="163" customWidth="1"/>
    <col min="14083" max="14083" width="13.5703125" style="163" customWidth="1"/>
    <col min="14084" max="14084" width="12.7109375" style="163" customWidth="1"/>
    <col min="14085" max="14085" width="0.28515625" style="163" customWidth="1"/>
    <col min="14086" max="14086" width="13.5703125" style="163" customWidth="1"/>
    <col min="14087" max="14087" width="12.7109375" style="163" customWidth="1"/>
    <col min="14088" max="14089" width="10.5703125" style="163" customWidth="1"/>
    <col min="14090" max="14327" width="1.85546875" style="163"/>
    <col min="14328" max="14328" width="2.28515625" style="163" customWidth="1"/>
    <col min="14329" max="14329" width="14.140625" style="163" bestFit="1" customWidth="1"/>
    <col min="14330" max="14330" width="31.85546875" style="163" bestFit="1" customWidth="1"/>
    <col min="14331" max="14331" width="0" style="163" hidden="1" customWidth="1"/>
    <col min="14332" max="14332" width="0.28515625" style="163" customWidth="1"/>
    <col min="14333" max="14333" width="13.5703125" style="163" customWidth="1"/>
    <col min="14334" max="14334" width="12.7109375" style="163" customWidth="1"/>
    <col min="14335" max="14335" width="0.28515625" style="163" customWidth="1"/>
    <col min="14336" max="14336" width="13.5703125" style="163" customWidth="1"/>
    <col min="14337" max="14337" width="12.7109375" style="163" customWidth="1"/>
    <col min="14338" max="14338" width="0.28515625" style="163" customWidth="1"/>
    <col min="14339" max="14339" width="13.5703125" style="163" customWidth="1"/>
    <col min="14340" max="14340" width="12.7109375" style="163" customWidth="1"/>
    <col min="14341" max="14341" width="0.28515625" style="163" customWidth="1"/>
    <col min="14342" max="14342" width="13.5703125" style="163" customWidth="1"/>
    <col min="14343" max="14343" width="12.7109375" style="163" customWidth="1"/>
    <col min="14344" max="14345" width="10.5703125" style="163" customWidth="1"/>
    <col min="14346" max="14583" width="1.85546875" style="163"/>
    <col min="14584" max="14584" width="2.28515625" style="163" customWidth="1"/>
    <col min="14585" max="14585" width="14.140625" style="163" bestFit="1" customWidth="1"/>
    <col min="14586" max="14586" width="31.85546875" style="163" bestFit="1" customWidth="1"/>
    <col min="14587" max="14587" width="0" style="163" hidden="1" customWidth="1"/>
    <col min="14588" max="14588" width="0.28515625" style="163" customWidth="1"/>
    <col min="14589" max="14589" width="13.5703125" style="163" customWidth="1"/>
    <col min="14590" max="14590" width="12.7109375" style="163" customWidth="1"/>
    <col min="14591" max="14591" width="0.28515625" style="163" customWidth="1"/>
    <col min="14592" max="14592" width="13.5703125" style="163" customWidth="1"/>
    <col min="14593" max="14593" width="12.7109375" style="163" customWidth="1"/>
    <col min="14594" max="14594" width="0.28515625" style="163" customWidth="1"/>
    <col min="14595" max="14595" width="13.5703125" style="163" customWidth="1"/>
    <col min="14596" max="14596" width="12.7109375" style="163" customWidth="1"/>
    <col min="14597" max="14597" width="0.28515625" style="163" customWidth="1"/>
    <col min="14598" max="14598" width="13.5703125" style="163" customWidth="1"/>
    <col min="14599" max="14599" width="12.7109375" style="163" customWidth="1"/>
    <col min="14600" max="14601" width="10.5703125" style="163" customWidth="1"/>
    <col min="14602" max="14839" width="1.85546875" style="163"/>
    <col min="14840" max="14840" width="2.28515625" style="163" customWidth="1"/>
    <col min="14841" max="14841" width="14.140625" style="163" bestFit="1" customWidth="1"/>
    <col min="14842" max="14842" width="31.85546875" style="163" bestFit="1" customWidth="1"/>
    <col min="14843" max="14843" width="0" style="163" hidden="1" customWidth="1"/>
    <col min="14844" max="14844" width="0.28515625" style="163" customWidth="1"/>
    <col min="14845" max="14845" width="13.5703125" style="163" customWidth="1"/>
    <col min="14846" max="14846" width="12.7109375" style="163" customWidth="1"/>
    <col min="14847" max="14847" width="0.28515625" style="163" customWidth="1"/>
    <col min="14848" max="14848" width="13.5703125" style="163" customWidth="1"/>
    <col min="14849" max="14849" width="12.7109375" style="163" customWidth="1"/>
    <col min="14850" max="14850" width="0.28515625" style="163" customWidth="1"/>
    <col min="14851" max="14851" width="13.5703125" style="163" customWidth="1"/>
    <col min="14852" max="14852" width="12.7109375" style="163" customWidth="1"/>
    <col min="14853" max="14853" width="0.28515625" style="163" customWidth="1"/>
    <col min="14854" max="14854" width="13.5703125" style="163" customWidth="1"/>
    <col min="14855" max="14855" width="12.7109375" style="163" customWidth="1"/>
    <col min="14856" max="14857" width="10.5703125" style="163" customWidth="1"/>
    <col min="14858" max="15095" width="1.85546875" style="163"/>
    <col min="15096" max="15096" width="2.28515625" style="163" customWidth="1"/>
    <col min="15097" max="15097" width="14.140625" style="163" bestFit="1" customWidth="1"/>
    <col min="15098" max="15098" width="31.85546875" style="163" bestFit="1" customWidth="1"/>
    <col min="15099" max="15099" width="0" style="163" hidden="1" customWidth="1"/>
    <col min="15100" max="15100" width="0.28515625" style="163" customWidth="1"/>
    <col min="15101" max="15101" width="13.5703125" style="163" customWidth="1"/>
    <col min="15102" max="15102" width="12.7109375" style="163" customWidth="1"/>
    <col min="15103" max="15103" width="0.28515625" style="163" customWidth="1"/>
    <col min="15104" max="15104" width="13.5703125" style="163" customWidth="1"/>
    <col min="15105" max="15105" width="12.7109375" style="163" customWidth="1"/>
    <col min="15106" max="15106" width="0.28515625" style="163" customWidth="1"/>
    <col min="15107" max="15107" width="13.5703125" style="163" customWidth="1"/>
    <col min="15108" max="15108" width="12.7109375" style="163" customWidth="1"/>
    <col min="15109" max="15109" width="0.28515625" style="163" customWidth="1"/>
    <col min="15110" max="15110" width="13.5703125" style="163" customWidth="1"/>
    <col min="15111" max="15111" width="12.7109375" style="163" customWidth="1"/>
    <col min="15112" max="15113" width="10.5703125" style="163" customWidth="1"/>
    <col min="15114" max="15351" width="1.85546875" style="163"/>
    <col min="15352" max="15352" width="2.28515625" style="163" customWidth="1"/>
    <col min="15353" max="15353" width="14.140625" style="163" bestFit="1" customWidth="1"/>
    <col min="15354" max="15354" width="31.85546875" style="163" bestFit="1" customWidth="1"/>
    <col min="15355" max="15355" width="0" style="163" hidden="1" customWidth="1"/>
    <col min="15356" max="15356" width="0.28515625" style="163" customWidth="1"/>
    <col min="15357" max="15357" width="13.5703125" style="163" customWidth="1"/>
    <col min="15358" max="15358" width="12.7109375" style="163" customWidth="1"/>
    <col min="15359" max="15359" width="0.28515625" style="163" customWidth="1"/>
    <col min="15360" max="15360" width="13.5703125" style="163" customWidth="1"/>
    <col min="15361" max="15361" width="12.7109375" style="163" customWidth="1"/>
    <col min="15362" max="15362" width="0.28515625" style="163" customWidth="1"/>
    <col min="15363" max="15363" width="13.5703125" style="163" customWidth="1"/>
    <col min="15364" max="15364" width="12.7109375" style="163" customWidth="1"/>
    <col min="15365" max="15365" width="0.28515625" style="163" customWidth="1"/>
    <col min="15366" max="15366" width="13.5703125" style="163" customWidth="1"/>
    <col min="15367" max="15367" width="12.7109375" style="163" customWidth="1"/>
    <col min="15368" max="15369" width="10.5703125" style="163" customWidth="1"/>
    <col min="15370" max="15607" width="1.85546875" style="163"/>
    <col min="15608" max="15608" width="2.28515625" style="163" customWidth="1"/>
    <col min="15609" max="15609" width="14.140625" style="163" bestFit="1" customWidth="1"/>
    <col min="15610" max="15610" width="31.85546875" style="163" bestFit="1" customWidth="1"/>
    <col min="15611" max="15611" width="0" style="163" hidden="1" customWidth="1"/>
    <col min="15612" max="15612" width="0.28515625" style="163" customWidth="1"/>
    <col min="15613" max="15613" width="13.5703125" style="163" customWidth="1"/>
    <col min="15614" max="15614" width="12.7109375" style="163" customWidth="1"/>
    <col min="15615" max="15615" width="0.28515625" style="163" customWidth="1"/>
    <col min="15616" max="15616" width="13.5703125" style="163" customWidth="1"/>
    <col min="15617" max="15617" width="12.7109375" style="163" customWidth="1"/>
    <col min="15618" max="15618" width="0.28515625" style="163" customWidth="1"/>
    <col min="15619" max="15619" width="13.5703125" style="163" customWidth="1"/>
    <col min="15620" max="15620" width="12.7109375" style="163" customWidth="1"/>
    <col min="15621" max="15621" width="0.28515625" style="163" customWidth="1"/>
    <col min="15622" max="15622" width="13.5703125" style="163" customWidth="1"/>
    <col min="15623" max="15623" width="12.7109375" style="163" customWidth="1"/>
    <col min="15624" max="15625" width="10.5703125" style="163" customWidth="1"/>
    <col min="15626" max="15863" width="1.85546875" style="163"/>
    <col min="15864" max="15864" width="2.28515625" style="163" customWidth="1"/>
    <col min="15865" max="15865" width="14.140625" style="163" bestFit="1" customWidth="1"/>
    <col min="15866" max="15866" width="31.85546875" style="163" bestFit="1" customWidth="1"/>
    <col min="15867" max="15867" width="0" style="163" hidden="1" customWidth="1"/>
    <col min="15868" max="15868" width="0.28515625" style="163" customWidth="1"/>
    <col min="15869" max="15869" width="13.5703125" style="163" customWidth="1"/>
    <col min="15870" max="15870" width="12.7109375" style="163" customWidth="1"/>
    <col min="15871" max="15871" width="0.28515625" style="163" customWidth="1"/>
    <col min="15872" max="15872" width="13.5703125" style="163" customWidth="1"/>
    <col min="15873" max="15873" width="12.7109375" style="163" customWidth="1"/>
    <col min="15874" max="15874" width="0.28515625" style="163" customWidth="1"/>
    <col min="15875" max="15875" width="13.5703125" style="163" customWidth="1"/>
    <col min="15876" max="15876" width="12.7109375" style="163" customWidth="1"/>
    <col min="15877" max="15877" width="0.28515625" style="163" customWidth="1"/>
    <col min="15878" max="15878" width="13.5703125" style="163" customWidth="1"/>
    <col min="15879" max="15879" width="12.7109375" style="163" customWidth="1"/>
    <col min="15880" max="15881" width="10.5703125" style="163" customWidth="1"/>
    <col min="15882" max="16119" width="1.85546875" style="163"/>
    <col min="16120" max="16120" width="2.28515625" style="163" customWidth="1"/>
    <col min="16121" max="16121" width="14.140625" style="163" bestFit="1" customWidth="1"/>
    <col min="16122" max="16122" width="31.85546875" style="163" bestFit="1" customWidth="1"/>
    <col min="16123" max="16123" width="0" style="163" hidden="1" customWidth="1"/>
    <col min="16124" max="16124" width="0.28515625" style="163" customWidth="1"/>
    <col min="16125" max="16125" width="13.5703125" style="163" customWidth="1"/>
    <col min="16126" max="16126" width="12.7109375" style="163" customWidth="1"/>
    <col min="16127" max="16127" width="0.28515625" style="163" customWidth="1"/>
    <col min="16128" max="16128" width="13.5703125" style="163" customWidth="1"/>
    <col min="16129" max="16129" width="12.7109375" style="163" customWidth="1"/>
    <col min="16130" max="16130" width="0.28515625" style="163" customWidth="1"/>
    <col min="16131" max="16131" width="13.5703125" style="163" customWidth="1"/>
    <col min="16132" max="16132" width="12.7109375" style="163" customWidth="1"/>
    <col min="16133" max="16133" width="0.28515625" style="163" customWidth="1"/>
    <col min="16134" max="16134" width="13.5703125" style="163" customWidth="1"/>
    <col min="16135" max="16135" width="12.7109375" style="163" customWidth="1"/>
    <col min="16136" max="16137" width="10.5703125" style="163" customWidth="1"/>
    <col min="16138" max="16384" width="1.85546875" style="163"/>
  </cols>
  <sheetData>
    <row r="1" spans="1:9" ht="24" customHeight="1" x14ac:dyDescent="0.35">
      <c r="E1" s="940">
        <v>2018</v>
      </c>
      <c r="G1" s="1007">
        <v>2019</v>
      </c>
    </row>
    <row r="2" spans="1:9" s="712" customFormat="1" ht="60" customHeight="1" x14ac:dyDescent="0.2">
      <c r="A2" s="708" t="s">
        <v>383</v>
      </c>
      <c r="B2" s="708" t="s">
        <v>272</v>
      </c>
      <c r="C2" s="709" t="s">
        <v>1</v>
      </c>
      <c r="D2" s="710"/>
      <c r="E2" s="162" t="s">
        <v>2</v>
      </c>
      <c r="F2" s="710"/>
      <c r="G2" s="162" t="s">
        <v>2</v>
      </c>
      <c r="H2" s="885" t="s">
        <v>340</v>
      </c>
      <c r="I2" s="885" t="s">
        <v>6</v>
      </c>
    </row>
    <row r="3" spans="1:9" s="207" customFormat="1" ht="25.5" customHeight="1" x14ac:dyDescent="0.2">
      <c r="A3" s="431"/>
      <c r="B3" s="203"/>
      <c r="C3" s="204" t="s">
        <v>7</v>
      </c>
      <c r="D3" s="707"/>
      <c r="E3" s="204">
        <f>SUM(E4:E16)</f>
        <v>5976000</v>
      </c>
      <c r="F3" s="707"/>
      <c r="G3" s="204">
        <f>SUM(G4:G16)</f>
        <v>5855999</v>
      </c>
      <c r="H3" s="886"/>
      <c r="I3" s="886"/>
    </row>
    <row r="4" spans="1:9" s="359" customFormat="1" ht="34.5" customHeight="1" x14ac:dyDescent="0.2">
      <c r="A4" s="446"/>
      <c r="B4" s="961" t="s">
        <v>3204</v>
      </c>
      <c r="C4" s="855" t="s">
        <v>3214</v>
      </c>
      <c r="D4" s="707"/>
      <c r="E4" s="47">
        <v>1064789</v>
      </c>
      <c r="F4" s="707"/>
      <c r="G4" s="47">
        <f>500000+460000+40000</f>
        <v>1000000</v>
      </c>
      <c r="H4" s="888" t="s">
        <v>53</v>
      </c>
      <c r="I4" s="888" t="s">
        <v>53</v>
      </c>
    </row>
    <row r="5" spans="1:9" ht="35.25" customHeight="1" x14ac:dyDescent="0.2">
      <c r="A5" s="444">
        <v>7</v>
      </c>
      <c r="B5" s="961" t="s">
        <v>3205</v>
      </c>
      <c r="C5" s="855" t="s">
        <v>3215</v>
      </c>
      <c r="E5" s="47">
        <v>585601</v>
      </c>
      <c r="G5" s="47">
        <v>593894</v>
      </c>
      <c r="H5" s="888" t="s">
        <v>53</v>
      </c>
      <c r="I5" s="888" t="s">
        <v>53</v>
      </c>
    </row>
    <row r="6" spans="1:9" ht="24.75" customHeight="1" x14ac:dyDescent="0.2">
      <c r="A6" s="444">
        <v>9</v>
      </c>
      <c r="B6" s="961" t="s">
        <v>3206</v>
      </c>
      <c r="C6" s="855" t="s">
        <v>3046</v>
      </c>
      <c r="E6" s="47">
        <v>514688</v>
      </c>
      <c r="G6" s="47">
        <v>515677</v>
      </c>
      <c r="H6" s="888" t="s">
        <v>329</v>
      </c>
      <c r="I6" s="888" t="s">
        <v>136</v>
      </c>
    </row>
    <row r="7" spans="1:9" ht="36" customHeight="1" x14ac:dyDescent="0.2">
      <c r="A7" s="444">
        <v>10</v>
      </c>
      <c r="B7" s="961" t="s">
        <v>3207</v>
      </c>
      <c r="C7" s="855" t="s">
        <v>2458</v>
      </c>
      <c r="E7" s="47">
        <v>127500</v>
      </c>
      <c r="G7" s="47">
        <v>176250</v>
      </c>
      <c r="H7" s="888" t="s">
        <v>53</v>
      </c>
      <c r="I7" s="888" t="s">
        <v>53</v>
      </c>
    </row>
    <row r="8" spans="1:9" ht="30.75" customHeight="1" x14ac:dyDescent="0.2">
      <c r="A8" s="444">
        <v>11</v>
      </c>
      <c r="B8" s="961" t="s">
        <v>3208</v>
      </c>
      <c r="C8" s="855" t="s">
        <v>3044</v>
      </c>
      <c r="E8" s="47">
        <v>461000</v>
      </c>
      <c r="G8" s="47">
        <v>444458</v>
      </c>
      <c r="H8" s="888" t="s">
        <v>53</v>
      </c>
      <c r="I8" s="888" t="s">
        <v>53</v>
      </c>
    </row>
    <row r="9" spans="1:9" ht="30.75" customHeight="1" x14ac:dyDescent="0.2">
      <c r="A9" s="450"/>
      <c r="B9" s="961" t="s">
        <v>3209</v>
      </c>
      <c r="C9" s="855" t="s">
        <v>1532</v>
      </c>
      <c r="E9" s="47">
        <v>270000</v>
      </c>
      <c r="G9" s="47"/>
      <c r="H9" s="888" t="s">
        <v>53</v>
      </c>
      <c r="I9" s="888" t="s">
        <v>53</v>
      </c>
    </row>
    <row r="10" spans="1:9" ht="30.75" hidden="1" customHeight="1" x14ac:dyDescent="0.2">
      <c r="A10" s="450"/>
      <c r="B10" s="961" t="s">
        <v>3210</v>
      </c>
      <c r="C10" s="855" t="s">
        <v>1533</v>
      </c>
      <c r="E10" s="47"/>
      <c r="G10" s="47"/>
      <c r="H10" s="888"/>
      <c r="I10" s="888"/>
    </row>
    <row r="11" spans="1:9" ht="26.25" customHeight="1" x14ac:dyDescent="0.2">
      <c r="A11" s="450"/>
      <c r="B11" s="961" t="s">
        <v>3210</v>
      </c>
      <c r="C11" s="855" t="s">
        <v>1533</v>
      </c>
      <c r="E11" s="47">
        <v>920000</v>
      </c>
      <c r="G11" s="47">
        <f>449169+390000+240000</f>
        <v>1079169</v>
      </c>
      <c r="H11" s="888" t="s">
        <v>1534</v>
      </c>
      <c r="I11" s="888" t="s">
        <v>282</v>
      </c>
    </row>
    <row r="12" spans="1:9" ht="30.75" hidden="1" customHeight="1" x14ac:dyDescent="0.2">
      <c r="A12" s="450"/>
      <c r="B12" s="961" t="s">
        <v>3210</v>
      </c>
      <c r="C12" s="855" t="s">
        <v>1533</v>
      </c>
      <c r="E12" s="47"/>
      <c r="G12" s="47"/>
      <c r="H12" s="888"/>
      <c r="I12" s="888"/>
    </row>
    <row r="13" spans="1:9" ht="30.75" customHeight="1" x14ac:dyDescent="0.2">
      <c r="A13" s="450"/>
      <c r="B13" s="961" t="s">
        <v>2953</v>
      </c>
      <c r="C13" s="855" t="s">
        <v>3216</v>
      </c>
      <c r="E13" s="47">
        <v>1262184</v>
      </c>
      <c r="G13" s="47">
        <f>383061+330000+132240+180000+450000</f>
        <v>1475301</v>
      </c>
      <c r="H13" s="888" t="s">
        <v>53</v>
      </c>
      <c r="I13" s="888" t="s">
        <v>53</v>
      </c>
    </row>
    <row r="14" spans="1:9" ht="26.25" customHeight="1" x14ac:dyDescent="0.2">
      <c r="A14" s="450"/>
      <c r="B14" s="961" t="s">
        <v>3211</v>
      </c>
      <c r="C14" s="855" t="s">
        <v>3217</v>
      </c>
      <c r="E14" s="47">
        <v>248988</v>
      </c>
      <c r="G14" s="47">
        <v>350000</v>
      </c>
      <c r="H14" s="888" t="s">
        <v>1551</v>
      </c>
      <c r="I14" s="888" t="s">
        <v>12</v>
      </c>
    </row>
    <row r="15" spans="1:9" ht="26.25" customHeight="1" x14ac:dyDescent="0.2">
      <c r="A15" s="450"/>
      <c r="B15" s="961" t="s">
        <v>3212</v>
      </c>
      <c r="C15" s="855" t="s">
        <v>3218</v>
      </c>
      <c r="E15" s="47">
        <v>300000</v>
      </c>
      <c r="G15" s="47"/>
      <c r="H15" s="888" t="s">
        <v>3220</v>
      </c>
      <c r="I15" s="888" t="s">
        <v>12</v>
      </c>
    </row>
    <row r="16" spans="1:9" ht="26.25" customHeight="1" x14ac:dyDescent="0.2">
      <c r="A16" s="450"/>
      <c r="B16" s="961" t="s">
        <v>3213</v>
      </c>
      <c r="C16" s="855" t="s">
        <v>3219</v>
      </c>
      <c r="E16" s="47">
        <v>221250</v>
      </c>
      <c r="G16" s="47">
        <v>221250</v>
      </c>
      <c r="H16" s="888" t="s">
        <v>1551</v>
      </c>
      <c r="I16" s="888" t="s">
        <v>12</v>
      </c>
    </row>
    <row r="17" spans="8:9" s="719" customFormat="1" x14ac:dyDescent="0.2">
      <c r="H17" s="891"/>
      <c r="I17" s="891"/>
    </row>
    <row r="18" spans="8:9" s="719" customFormat="1" x14ac:dyDescent="0.2">
      <c r="H18" s="891"/>
      <c r="I18" s="891"/>
    </row>
    <row r="19" spans="8:9" s="719" customFormat="1" x14ac:dyDescent="0.2">
      <c r="H19" s="891"/>
      <c r="I19" s="891"/>
    </row>
    <row r="20" spans="8:9" s="719" customFormat="1" x14ac:dyDescent="0.2">
      <c r="H20" s="891"/>
      <c r="I20" s="891"/>
    </row>
    <row r="21" spans="8:9" s="719" customFormat="1" x14ac:dyDescent="0.2">
      <c r="H21" s="891"/>
      <c r="I21" s="891"/>
    </row>
    <row r="22" spans="8:9" s="719" customFormat="1" x14ac:dyDescent="0.2">
      <c r="H22" s="891"/>
      <c r="I22" s="891"/>
    </row>
    <row r="23" spans="8:9" s="719" customFormat="1" x14ac:dyDescent="0.2">
      <c r="H23" s="891"/>
      <c r="I23" s="891"/>
    </row>
    <row r="24" spans="8:9" s="719" customFormat="1" x14ac:dyDescent="0.2">
      <c r="H24" s="891"/>
      <c r="I24" s="891"/>
    </row>
    <row r="25" spans="8:9" s="719" customFormat="1" x14ac:dyDescent="0.2">
      <c r="H25" s="891"/>
      <c r="I25" s="891"/>
    </row>
    <row r="26" spans="8:9" s="719" customFormat="1" x14ac:dyDescent="0.2">
      <c r="H26" s="891"/>
      <c r="I26" s="891"/>
    </row>
  </sheetData>
  <pageMargins left="0.19685039370078741" right="0.78740157480314965" top="1.6141732283464567" bottom="0.39370078740157483" header="0.86614173228346458" footer="0.19685039370078741"/>
  <pageSetup paperSize="9" orientation="portrait" r:id="rId1"/>
  <headerFooter alignWithMargins="0">
    <oddHeader>&amp;L&amp;D&amp;Cמינהל תרבות
&amp;"Arial,מודגש"&amp;11תקציב על שינויו 2018-2019 
 בש"ח בהתאם להחלטת ועדת התמיכות&amp;R&amp;"Arial,מודגש"&amp;14תקנה 42-02-65- תרבות חרדית</oddHeader>
    <oddFooter>&amp;L&amp;F&amp;C&amp;P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1"/>
  <dimension ref="A1:CP9"/>
  <sheetViews>
    <sheetView rightToLeft="1" zoomScale="90" zoomScaleNormal="90" workbookViewId="0">
      <pane ySplit="1" topLeftCell="A2" activePane="bottomLeft" state="frozen"/>
      <selection pane="bottomLeft" activeCell="G10" sqref="G10"/>
    </sheetView>
  </sheetViews>
  <sheetFormatPr defaultRowHeight="14.25" x14ac:dyDescent="0.2"/>
  <cols>
    <col min="1" max="1" width="21.5703125" style="767" customWidth="1"/>
    <col min="2" max="2" width="12.7109375" style="767" customWidth="1"/>
    <col min="3" max="3" width="13" style="768" customWidth="1"/>
    <col min="4" max="4" width="12.140625" style="768" customWidth="1"/>
    <col min="5" max="6" width="10.85546875" style="768" hidden="1" customWidth="1"/>
    <col min="7" max="7" width="10.85546875" style="768" customWidth="1"/>
    <col min="8" max="8" width="11.140625" style="769" customWidth="1"/>
    <col min="9" max="9" width="12.85546875" style="769" bestFit="1" customWidth="1"/>
    <col min="10" max="10" width="34.7109375" style="767" customWidth="1"/>
    <col min="11" max="16384" width="9.140625" style="762"/>
  </cols>
  <sheetData>
    <row r="1" spans="1:94" s="99" customFormat="1" ht="41.25" customHeight="1" x14ac:dyDescent="0.2">
      <c r="A1" s="103" t="s">
        <v>273</v>
      </c>
      <c r="B1" s="103" t="s">
        <v>272</v>
      </c>
      <c r="C1" s="148" t="s">
        <v>2228</v>
      </c>
      <c r="D1" s="148" t="s">
        <v>270</v>
      </c>
      <c r="E1" s="756" t="s">
        <v>378</v>
      </c>
      <c r="F1" s="756" t="s">
        <v>377</v>
      </c>
      <c r="G1" s="104" t="s">
        <v>269</v>
      </c>
      <c r="H1" s="103" t="s">
        <v>268</v>
      </c>
      <c r="I1" s="102" t="s">
        <v>267</v>
      </c>
      <c r="J1" s="146" t="s">
        <v>4</v>
      </c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</row>
    <row r="2" spans="1:94" s="94" customFormat="1" ht="24.75" customHeight="1" x14ac:dyDescent="0.2">
      <c r="A2" s="145" t="s">
        <v>2229</v>
      </c>
      <c r="B2" s="144"/>
      <c r="C2" s="144"/>
      <c r="D2" s="153"/>
      <c r="E2" s="524"/>
      <c r="F2" s="524"/>
      <c r="G2" s="524"/>
      <c r="H2" s="757"/>
      <c r="I2" s="524"/>
      <c r="J2" s="590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</row>
    <row r="3" spans="1:94" ht="39.75" customHeight="1" x14ac:dyDescent="0.2">
      <c r="A3" s="109" t="s">
        <v>2230</v>
      </c>
      <c r="B3" s="758">
        <v>580344182</v>
      </c>
      <c r="C3" s="49">
        <v>1000532703</v>
      </c>
      <c r="D3" s="758">
        <v>40827670</v>
      </c>
      <c r="E3" s="759">
        <v>0</v>
      </c>
      <c r="F3" s="759">
        <v>121440</v>
      </c>
      <c r="G3" s="759">
        <v>121440</v>
      </c>
      <c r="H3" s="759">
        <v>121440</v>
      </c>
      <c r="I3" s="760">
        <f t="shared" ref="I3:I8" si="0">G3-H3</f>
        <v>0</v>
      </c>
      <c r="J3" s="761"/>
    </row>
    <row r="4" spans="1:94" ht="51" x14ac:dyDescent="0.2">
      <c r="A4" s="109" t="s">
        <v>2231</v>
      </c>
      <c r="B4" s="763">
        <v>580282853</v>
      </c>
      <c r="C4" s="49">
        <v>1000549878</v>
      </c>
      <c r="D4" s="763">
        <v>40000648</v>
      </c>
      <c r="E4" s="759">
        <v>0</v>
      </c>
      <c r="F4" s="759">
        <v>60720</v>
      </c>
      <c r="G4" s="759">
        <v>60720</v>
      </c>
      <c r="H4" s="759">
        <v>60720</v>
      </c>
      <c r="I4" s="760">
        <f t="shared" si="0"/>
        <v>0</v>
      </c>
      <c r="J4" s="764"/>
    </row>
    <row r="5" spans="1:94" ht="56.25" customHeight="1" x14ac:dyDescent="0.2">
      <c r="A5" s="109" t="s">
        <v>2232</v>
      </c>
      <c r="B5" s="763">
        <v>580282853</v>
      </c>
      <c r="C5" s="49">
        <v>1000549879</v>
      </c>
      <c r="D5" s="763">
        <v>40000648</v>
      </c>
      <c r="E5" s="759">
        <v>0</v>
      </c>
      <c r="F5" s="759">
        <v>60720</v>
      </c>
      <c r="G5" s="759">
        <v>60720</v>
      </c>
      <c r="H5" s="759">
        <v>60720</v>
      </c>
      <c r="I5" s="760">
        <f t="shared" si="0"/>
        <v>0</v>
      </c>
      <c r="J5" s="764"/>
    </row>
    <row r="6" spans="1:94" ht="43.5" customHeight="1" x14ac:dyDescent="0.2">
      <c r="A6" s="109" t="s">
        <v>2233</v>
      </c>
      <c r="B6" s="758">
        <v>580282853</v>
      </c>
      <c r="C6" s="49">
        <v>1000549907</v>
      </c>
      <c r="D6" s="758">
        <v>40000648</v>
      </c>
      <c r="E6" s="759">
        <v>0</v>
      </c>
      <c r="F6" s="759">
        <v>0</v>
      </c>
      <c r="G6" s="759">
        <v>60720</v>
      </c>
      <c r="H6" s="759">
        <v>60720</v>
      </c>
      <c r="I6" s="760">
        <f t="shared" si="0"/>
        <v>0</v>
      </c>
      <c r="J6" s="764"/>
    </row>
    <row r="7" spans="1:94" ht="43.5" customHeight="1" x14ac:dyDescent="0.2">
      <c r="A7" s="109" t="s">
        <v>2234</v>
      </c>
      <c r="B7" s="758">
        <v>580282853</v>
      </c>
      <c r="C7" s="49">
        <v>1000549936</v>
      </c>
      <c r="D7" s="758">
        <v>40000648</v>
      </c>
      <c r="E7" s="759">
        <v>0</v>
      </c>
      <c r="F7" s="759">
        <v>121440</v>
      </c>
      <c r="G7" s="759">
        <v>121440</v>
      </c>
      <c r="H7" s="759">
        <v>121440</v>
      </c>
      <c r="I7" s="760">
        <f t="shared" si="0"/>
        <v>0</v>
      </c>
      <c r="J7" s="761"/>
    </row>
    <row r="8" spans="1:94" ht="37.5" customHeight="1" x14ac:dyDescent="0.2">
      <c r="A8" s="765" t="s">
        <v>2235</v>
      </c>
      <c r="B8" s="758">
        <v>580505253</v>
      </c>
      <c r="C8" s="49">
        <v>1000543558</v>
      </c>
      <c r="D8" s="758">
        <v>40828015</v>
      </c>
      <c r="E8" s="759">
        <v>121440</v>
      </c>
      <c r="F8" s="759">
        <v>121440</v>
      </c>
      <c r="G8" s="759">
        <v>121440</v>
      </c>
      <c r="H8" s="759">
        <v>121440</v>
      </c>
      <c r="I8" s="760">
        <f t="shared" si="0"/>
        <v>0</v>
      </c>
      <c r="J8" s="766"/>
    </row>
    <row r="9" spans="1:94" x14ac:dyDescent="0.2">
      <c r="A9" s="762"/>
      <c r="G9" s="781">
        <f>SUM(G3:G8)</f>
        <v>546480</v>
      </c>
    </row>
  </sheetData>
  <pageMargins left="0.31496062992125984" right="0.31496062992125984" top="0.74803149606299213" bottom="0.15748031496062992" header="0.31496062992125984" footer="0.31496062992125984"/>
  <pageSetup paperSize="9" scale="95" orientation="landscape" r:id="rId1"/>
  <headerFooter>
    <oddHeader>&amp;C&amp;"Guttman Yad-Brush,מודגש"תקנת פעילות רוחנית-תרבותית בקהילה יהודית שאינה אורתודוכסית 42-02-29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41</vt:i4>
      </vt:variant>
      <vt:variant>
        <vt:lpstr>טווחים בעלי שם</vt:lpstr>
      </vt:variant>
      <vt:variant>
        <vt:i4>65</vt:i4>
      </vt:variant>
    </vt:vector>
  </HeadingPairs>
  <TitlesOfParts>
    <vt:vector size="106" baseType="lpstr">
      <vt:lpstr>42-02-14 מחקר, 42-02-60</vt:lpstr>
      <vt:lpstr>42-02-07, 42-02-15 תיאטרון</vt:lpstr>
      <vt:lpstr>,42-02-59,42-02-16 מוסיקה</vt:lpstr>
      <vt:lpstr>42-02-18 מוזיאונים</vt:lpstr>
      <vt:lpstr>42-02-20 מחול</vt:lpstr>
      <vt:lpstr>42-02-21 אופרות</vt:lpstr>
      <vt:lpstr> ,69,42-02-68,42-02-22 ספרות </vt:lpstr>
      <vt:lpstr>42-02-24 אמ פלסטית</vt:lpstr>
      <vt:lpstr>42-02-26 פסטיבלים</vt:lpstr>
      <vt:lpstr>תאגידים </vt:lpstr>
      <vt:lpstr>42-02-28 קולנוע</vt:lpstr>
      <vt:lpstr>42-02-31 תרבות בקהילה</vt:lpstr>
      <vt:lpstr>42-02-32 מורשת </vt:lpstr>
      <vt:lpstr>42-02-33 תרבות ערבית</vt:lpstr>
      <vt:lpstr>תרבות ערבית</vt:lpstr>
      <vt:lpstr>מחקר  </vt:lpstr>
      <vt:lpstr>42-02-34 מוסדות מחקר תורניים</vt:lpstr>
      <vt:lpstr>, 42-02-66,42-02-36 בתי"ס</vt:lpstr>
      <vt:lpstr>42-02-23 ספריות</vt:lpstr>
      <vt:lpstr>ספריות</vt:lpstr>
      <vt:lpstr>תיאטרון</vt:lpstr>
      <vt:lpstr>פסטיבלים </vt:lpstr>
      <vt:lpstr>אופרה</vt:lpstr>
      <vt:lpstr>מוסיקה</vt:lpstr>
      <vt:lpstr>מוזיאונים  </vt:lpstr>
      <vt:lpstr>מחול </vt:lpstr>
      <vt:lpstr>א. פלסטית</vt:lpstr>
      <vt:lpstr>ספרות </vt:lpstr>
      <vt:lpstr>קולנוע</vt:lpstr>
      <vt:lpstr>תרבות בקהילה</vt:lpstr>
      <vt:lpstr>מורשת</vt:lpstr>
      <vt:lpstr>מחקר תורני</vt:lpstr>
      <vt:lpstr>בתי"ס </vt:lpstr>
      <vt:lpstr>42-02-45 שימור אתרי התיישבו</vt:lpstr>
      <vt:lpstr>שימור אתרים</vt:lpstr>
      <vt:lpstr>42-02-49 תרבות דרוזית</vt:lpstr>
      <vt:lpstr>דרוזים </vt:lpstr>
      <vt:lpstr>תמיכה בקהילות היהדות 42-02-54</vt:lpstr>
      <vt:lpstr>סל"ע 42-02-56</vt:lpstr>
      <vt:lpstr>תרבות חרדית 42-02-65</vt:lpstr>
      <vt:lpstr>רפורמים </vt:lpstr>
      <vt:lpstr>' ,69,42-02-68,42-02-22 ספרות '!WPrint_Area_W</vt:lpstr>
      <vt:lpstr>', 42-02-66,42-02-36 בתי"ס'!WPrint_Area_W</vt:lpstr>
      <vt:lpstr>',42-02-59,42-02-16 מוסיקה'!WPrint_Area_W</vt:lpstr>
      <vt:lpstr>'42-02-07, 42-02-15 תיאטרון'!WPrint_Area_W</vt:lpstr>
      <vt:lpstr>'42-02-14 מחקר, 42-02-60'!WPrint_Area_W</vt:lpstr>
      <vt:lpstr>'42-02-18 מוזיאונים'!WPrint_Area_W</vt:lpstr>
      <vt:lpstr>'42-02-20 מחול'!WPrint_Area_W</vt:lpstr>
      <vt:lpstr>'42-02-21 אופרות'!WPrint_Area_W</vt:lpstr>
      <vt:lpstr>'42-02-23 ספריות'!WPrint_Area_W</vt:lpstr>
      <vt:lpstr>'42-02-24 אמ פלסטית'!WPrint_Area_W</vt:lpstr>
      <vt:lpstr>'42-02-26 פסטיבלים'!WPrint_Area_W</vt:lpstr>
      <vt:lpstr>'42-02-28 קולנוע'!WPrint_Area_W</vt:lpstr>
      <vt:lpstr>'42-02-31 תרבות בקהילה'!WPrint_Area_W</vt:lpstr>
      <vt:lpstr>'42-02-32 מורשת '!WPrint_Area_W</vt:lpstr>
      <vt:lpstr>'42-02-33 תרבות ערבית'!WPrint_Area_W</vt:lpstr>
      <vt:lpstr>'42-02-34 מוסדות מחקר תורניים'!WPrint_Area_W</vt:lpstr>
      <vt:lpstr>'42-02-45 שימור אתרי התיישבו'!WPrint_Area_W</vt:lpstr>
      <vt:lpstr>'42-02-49 תרבות דרוזית'!WPrint_Area_W</vt:lpstr>
      <vt:lpstr>'א. פלסטית'!WPrint_Area_W</vt:lpstr>
      <vt:lpstr>אופרה!WPrint_Area_W</vt:lpstr>
      <vt:lpstr>'בתי"ס '!WPrint_Area_W</vt:lpstr>
      <vt:lpstr>'דרוזים '!WPrint_Area_W</vt:lpstr>
      <vt:lpstr>'מוזיאונים  '!WPrint_Area_W</vt:lpstr>
      <vt:lpstr>מוסיקה!WPrint_Area_W</vt:lpstr>
      <vt:lpstr>מורשת!WPrint_Area_W</vt:lpstr>
      <vt:lpstr>'מחול '!WPrint_Area_W</vt:lpstr>
      <vt:lpstr>'מחקר  '!WPrint_Area_W</vt:lpstr>
      <vt:lpstr>'מחקר תורני'!WPrint_Area_W</vt:lpstr>
      <vt:lpstr>'סל"ע 42-02-56'!WPrint_Area_W</vt:lpstr>
      <vt:lpstr>'ספרות '!WPrint_Area_W</vt:lpstr>
      <vt:lpstr>ספריות!WPrint_Area_W</vt:lpstr>
      <vt:lpstr>'פסטיבלים '!WPrint_Area_W</vt:lpstr>
      <vt:lpstr>'רפורמים '!WPrint_Area_W</vt:lpstr>
      <vt:lpstr>'שימור אתרים'!WPrint_Area_W</vt:lpstr>
      <vt:lpstr>'תאגידים '!WPrint_Area_W</vt:lpstr>
      <vt:lpstr>תיאטרון!WPrint_Area_W</vt:lpstr>
      <vt:lpstr>'תמיכה בקהילות היהדות 42-02-54'!WPrint_Area_W</vt:lpstr>
      <vt:lpstr>'תרבות בקהילה'!WPrint_Area_W</vt:lpstr>
      <vt:lpstr>'תרבות חרדית 42-02-65'!WPrint_Area_W</vt:lpstr>
      <vt:lpstr>'תרבות ערבית'!WPrint_Area_W</vt:lpstr>
      <vt:lpstr>' ,69,42-02-68,42-02-22 ספרות '!WPrint_TitlesW</vt:lpstr>
      <vt:lpstr>', 42-02-66,42-02-36 בתי"ס'!WPrint_TitlesW</vt:lpstr>
      <vt:lpstr>',42-02-59,42-02-16 מוסיקה'!WPrint_TitlesW</vt:lpstr>
      <vt:lpstr>'42-02-07, 42-02-15 תיאטרון'!WPrint_TitlesW</vt:lpstr>
      <vt:lpstr>'42-02-14 מחקר, 42-02-60'!WPrint_TitlesW</vt:lpstr>
      <vt:lpstr>'42-02-18 מוזיאונים'!WPrint_TitlesW</vt:lpstr>
      <vt:lpstr>'42-02-20 מחול'!WPrint_TitlesW</vt:lpstr>
      <vt:lpstr>'42-02-23 ספריות'!WPrint_TitlesW</vt:lpstr>
      <vt:lpstr>'42-02-24 אמ פלסטית'!WPrint_TitlesW</vt:lpstr>
      <vt:lpstr>'42-02-26 פסטיבלים'!WPrint_TitlesW</vt:lpstr>
      <vt:lpstr>'42-02-28 קולנוע'!WPrint_TitlesW</vt:lpstr>
      <vt:lpstr>'42-02-31 תרבות בקהילה'!WPrint_TitlesW</vt:lpstr>
      <vt:lpstr>'42-02-32 מורשת '!WPrint_TitlesW</vt:lpstr>
      <vt:lpstr>'42-02-33 תרבות ערבית'!WPrint_TitlesW</vt:lpstr>
      <vt:lpstr>'42-02-34 מוסדות מחקר תורניים'!WPrint_TitlesW</vt:lpstr>
      <vt:lpstr>'42-02-45 שימור אתרי התיישבו'!WPrint_TitlesW</vt:lpstr>
      <vt:lpstr>'42-02-49 תרבות דרוזית'!WPrint_TitlesW</vt:lpstr>
      <vt:lpstr>מוסיקה!WPrint_TitlesW</vt:lpstr>
      <vt:lpstr>'סל"ע 42-02-56'!WPrint_TitlesW</vt:lpstr>
      <vt:lpstr>ספריות!WPrint_TitlesW</vt:lpstr>
      <vt:lpstr>'רפורמים '!WPrint_TitlesW</vt:lpstr>
      <vt:lpstr>'שימור אתרים'!WPrint_TitlesW</vt:lpstr>
      <vt:lpstr>תיאטרון!WPrint_TitlesW</vt:lpstr>
      <vt:lpstr>'תמיכה בקהילות היהדות 42-02-54'!WPrint_TitlesW</vt:lpstr>
      <vt:lpstr>'תרבות חרדית 42-02-65'!WPrint_TitlesW</vt:lpstr>
    </vt:vector>
  </TitlesOfParts>
  <Company>MoST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Lulko</dc:creator>
  <cp:lastModifiedBy>Elena Lulko</cp:lastModifiedBy>
  <cp:lastPrinted>2020-05-31T09:16:21Z</cp:lastPrinted>
  <dcterms:created xsi:type="dcterms:W3CDTF">2015-01-11T09:50:19Z</dcterms:created>
  <dcterms:modified xsi:type="dcterms:W3CDTF">2020-06-30T12:19:52Z</dcterms:modified>
</cp:coreProperties>
</file>