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other" sheetId="1" state="visible" r:id="rId1"/>
    <sheet name="interface" sheetId="2" state="visible" r:id="rId2"/>
    <sheet name="term" sheetId="3" state="visible" r:id="rId3"/>
    <sheet name="tooltip" sheetId="4" state="visible" r:id="rId4"/>
    <sheet name="proper noun" sheetId="5" state="visible" r:id="rId5"/>
    <sheet name="event" sheetId="6" state="visible" r:id="rId6"/>
    <sheet name="proper nown (bulk)" sheetId="7" state="visible" r:id="rId7"/>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horizontal="general"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4"/>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s>
  <sheetData>
    <row r="1">
      <c r="A1" t="inlineStr">
        <is>
          <t>number</t>
        </is>
      </c>
      <c r="B1" t="inlineStr">
        <is>
          <t>title</t>
        </is>
      </c>
      <c r="C1" t="inlineStr">
        <is>
          <t xml:space="preserve"> スクリーンショット</t>
        </is>
      </c>
      <c r="D1" t="inlineStr">
        <is>
          <t xml:space="preserve"> 問題のあるインターフェイス</t>
        </is>
      </c>
      <c r="E1" t="inlineStr">
        <is>
          <t xml:space="preserve"> 問題のテキスト</t>
        </is>
      </c>
      <c r="F1" t="inlineStr">
        <is>
          <t xml:space="preserve"> 希望する変更</t>
        </is>
      </c>
      <c r="G1" t="inlineStr">
        <is>
          <t xml:space="preserve"> 変更の理由</t>
        </is>
      </c>
      <c r="H1" t="inlineStr">
        <is>
          <t xml:space="preserve"> ゲームバージョン</t>
        </is>
      </c>
      <c r="I1" t="inlineStr">
        <is>
          <t xml:space="preserve"> DLCの有無</t>
        </is>
      </c>
      <c r="J1" t="inlineStr">
        <is>
          <t xml:space="preserve"> MODの有無</t>
        </is>
      </c>
    </row>
    <row r="2" ht="90" customHeight="1">
      <c r="A2">
        <f>HYPERLINK("https://github.com/matanki-saito/vic3jpadvmod/issues/425",425)</f>
        <v/>
      </c>
      <c r="B2" s="1" t="inlineStr">
        <is>
          <t>禁輸開始フィードの説明文（issue#328での修正分）</t>
        </is>
      </c>
      <c r="C2" s="1">
        <f>HYPERLINK("https://user-images.githubusercontent.com/42710893/201083655-e1b544c6-b0ab-43e8-9c5d-c4fb8d109eec.jpg","screenshot")
</f>
        <v/>
      </c>
      <c r="D2" s="1" t="inlineStr">
        <is>
          <t xml:space="preserve">禁輸開始フィード
</t>
        </is>
      </c>
      <c r="E2" s="1" t="inlineStr">
        <is>
          <t xml:space="preserve">
[国A]が[禁輸]に対して[国B]を開始しました。
</t>
        </is>
      </c>
      <c r="F2" s="1" t="inlineStr">
        <is>
          <t xml:space="preserve">
[国A]が[国B]に対して[禁輸]を開始しました。
</t>
        </is>
      </c>
      <c r="G2" s="1" t="inlineStr">
        <is>
          <t xml:space="preserve">issue#328で翻訳が修正された分ですが、[TARGET_COUNTRY.GetName]と[Concept('concept_embargo', '$concept_embargoing$')]の位置が逆になっていると思われます
</t>
        </is>
      </c>
      <c r="H2" s="1" t="inlineStr">
        <is>
          <t xml:space="preserve">1.0.5
</t>
        </is>
      </c>
      <c r="I2" s="1" t="inlineStr">
        <is>
          <t xml:space="preserve">なし
</t>
        </is>
      </c>
      <c r="J2" s="1" t="inlineStr">
        <is>
          <t xml:space="preserve">日本語改善MOD
フォントMOD
</t>
        </is>
      </c>
    </row>
    <row r="3" ht="120" customHeight="1">
      <c r="A3">
        <f>HYPERLINK("https://github.com/matanki-saito/vic3jpadvmod/issues/377",377)</f>
        <v/>
      </c>
      <c r="B3" s="1" t="inlineStr">
        <is>
          <t>大清「で」後継者</t>
        </is>
      </c>
      <c r="C3" s="1">
        <f>HYPERLINK("https://user-images.githubusercontent.com/50406316/200176810-f599c8e7-b7f4-4a42-9516-6791e92a6f6a.png","screenshot")
</f>
        <v/>
      </c>
      <c r="D3" s="1" t="inlineStr">
        <is>
          <t xml:space="preserve">将軍や後継者などの人物画面
</t>
        </is>
      </c>
      <c r="E3" s="1" t="inlineStr">
        <is>
          <t xml:space="preserve">
大清「で」後継者
</t>
        </is>
      </c>
      <c r="F3" s="1" t="inlineStr">
        <is>
          <t xml:space="preserve">
大清「の」後継者
</t>
        </is>
      </c>
      <c r="G3" s="1" t="inlineStr">
        <is>
          <t xml:space="preserve">助詞の訂正。
英語では[SelectLocalization(Character.IsRuler, 'of','in')]で、対象が君主かそれ以外かでofとinを使い分け、Emperor of JapanとGeneral in Japanのように使い分けているが、日本語で使い分ける必要はなく、どっちも「の」で済むため。
</t>
        </is>
      </c>
      <c r="H3" s="1" t="inlineStr">
        <is>
          <t xml:space="preserve">1.0.5
</t>
        </is>
      </c>
      <c r="I3" s="1" t="inlineStr">
        <is>
          <t xml:space="preserve">なし
</t>
        </is>
      </c>
      <c r="J3" s="1" t="inlineStr">
        <is>
          <t xml:space="preserve">翻訳改善MOD
</t>
        </is>
      </c>
    </row>
    <row r="4" ht="90" customHeight="1">
      <c r="A4">
        <f>HYPERLINK("https://github.com/matanki-saito/vic3jpadvmod/issues/373",373)</f>
        <v/>
      </c>
      <c r="B4" s="1" t="inlineStr">
        <is>
          <t>利益団体の特性が発動・解除されたときの通知</t>
        </is>
      </c>
      <c r="C4" s="1">
        <f>HYPERLINK("https://user-images.githubusercontent.com/42687608/200162366-2fc7988f-c800-4dea-b781-bd21f299bd7d.jpg","screenshot")
</f>
        <v/>
      </c>
      <c r="D4" s="1" t="inlineStr">
        <is>
          <t xml:space="preserve">利益団体の特性が発動・解除されたときの通知
</t>
        </is>
      </c>
      <c r="E4" s="1" t="inlineStr">
        <is>
          <t xml:space="preserve">
（特性名）が発動しました
（特性名）の発動が解除されました
</t>
        </is>
      </c>
      <c r="F4" s="1" t="inlineStr">
        <is>
          <t xml:space="preserve">
（特性名）発動
（特性名）解除
</t>
        </is>
      </c>
      <c r="G4" s="1" t="inlineStr">
        <is>
          <t xml:space="preserve">発動されたのか解除されたのかわかりにくいため。解除の方は長すぎて見切れている。
原文は単にdeactivatedであり、わざわざ「発動が解除されました」と翻訳する必要はない。
</t>
        </is>
      </c>
      <c r="H4" s="1" t="inlineStr">
        <is>
          <t xml:space="preserve">1.0.4
</t>
        </is>
      </c>
      <c r="I4" s="1" t="inlineStr">
        <is>
          <t xml:space="preserve">- Victoria II Remastered Soundtrack
- American Buildings Pack
</t>
        </is>
      </c>
      <c r="J4" s="1" t="inlineStr">
        <is>
          <t xml:space="preserve">- 自作Mod多数
</t>
        </is>
      </c>
    </row>
    <row r="5" ht="510" customHeight="1">
      <c r="A5">
        <f>HYPERLINK("https://github.com/matanki-saito/vic3jpadvmod/issues/360",360)</f>
        <v/>
      </c>
      <c r="B5" s="1" t="inlineStr">
        <is>
          <t>チュートリアル「利益団体とは？」9/9</t>
        </is>
      </c>
      <c r="C5" s="1">
        <f>HYPERLINK("https://user-images.githubusercontent.com/52348271/200121561-a08c5d6f-3fc8-47b5-a5ab-46c6a8ca3dd2.jpg","screenshot")
</f>
        <v/>
      </c>
      <c r="D5" s="1" t="inlineStr">
        <is>
          <t xml:space="preserve">ゲームコンセプト「利益団体」をホバーして「ガイド」
→「利益団体とは？」9/9
</t>
        </is>
      </c>
      <c r="E5" s="1" t="inlineStr">
        <is>
          <t xml:space="preserve">1) 日本語表示
利益団体が支持する法律も一覧を希望順に並べ替えることで確認できます。enactボタンにカーソルを合わせると、この利益団体や国内のその他の利益団体による承認の効力を明確化することができます。
2) 日本語テキストデータ
tutorial_l_japanese.yml =&gt; lesson_interest_group_9_desc
[concept_interest_group]が支持する[Concept('concept_law', '$concept_laws$')]も一覧を希望順に並べ替えることで確認できます。$enact$ボタンにカーソルを合わせると、この利益団体や国内のその他の$concept_interest_groups$による[concept_approval]の効力を明確化することができます。
3) 英語テキストデータ
[Concept('concept_law', '$concept_laws$')] the [concept_interest_group] supports are also available in list form sorted in order of most to least desired. Hovering the $enact$ button will clarify the [concept_approval] effects of the $concept_law$ on this and other $concept_interest_groups$ in the country.
</t>
        </is>
      </c>
      <c r="F5" s="1" t="inlineStr">
        <is>
          <t xml:space="preserve">1) 変更後日本語表示
この利益団体が支持する法律を希望順に並べた一覧も用意されています。制定ボタンにカーソルを合わせると、この法律が国内の利益団体の承認に対して及ぼす効力を確認することができます。
2) 変更後日本語テキストデータ
この[concept_interest_group]が支持する[Concept('concept_law', '$concept_laws$')]を希望順に並べた一覧も用意されています。$concept_enactment_of_laws_enact$ボタンにカーソルを合わせると、この$concept_law$が国内の$concept_interest_groups$の[concept_approval]に対して及ぼす効力を確認することができます。
</t>
        </is>
      </c>
      <c r="G5" s="1" t="inlineStr">
        <is>
          <t xml:space="preserve">- 誤訳のため、わかりにくい表現になっている
  - 「希望順に並べ替えることで確認できる」ではなく、並べ替えられた状態で表示されているので確認しやすいという意味
  - 制定ボタンをホバーして確認できるのは「法律の効力」であり、その対象は「利益団体の承認」に対して
- 「enactボタン」が未訳（定数$enact$が存在しないため。英語版から元々あったバグ？）
</t>
        </is>
      </c>
      <c r="H5" s="1" t="inlineStr">
        <is>
          <t xml:space="preserve">1.0.5
</t>
        </is>
      </c>
      <c r="I5" s="1" t="inlineStr">
        <is>
          <t xml:space="preserve">なし
</t>
        </is>
      </c>
      <c r="J5" s="1" t="inlineStr">
        <is>
          <t xml:space="preserve">日本語改善MOD
Switch Languages
</t>
        </is>
      </c>
    </row>
    <row r="6" ht="90" customHeight="1">
      <c r="A6">
        <f>HYPERLINK("https://github.com/matanki-saito/vic3jpadvmod/issues/351",351)</f>
        <v/>
      </c>
      <c r="B6" s="1" t="inlineStr">
        <is>
          <t xml:space="preserve"> ...とさらに$COUNT$のアイテム</t>
        </is>
      </c>
      <c r="C6" s="1">
        <f>HYPERLINK("https://user-images.githubusercontent.com/37979626/200111901-3b6f13d4-bb2a-48df-9539-56c5c6249061.png","screenshot")
</f>
        <v/>
      </c>
      <c r="D6" s="1" t="inlineStr">
        <is>
          <t xml:space="preserve">買い注文の内訳のようなリストで表示しきれないポップアップの下部
</t>
        </is>
      </c>
      <c r="E6" s="1" t="inlineStr">
        <is>
          <t xml:space="preserve">MORE_ITEMS
 ...とさらに$COUNT$のアイテム
MORE_ITEMS_TOOLTIPPABLE
#tooltippable #tooltip:$TAG$ ... とさらに$COUNT$のアイテム#!#!
</t>
        </is>
      </c>
      <c r="F6" s="1" t="inlineStr">
        <is>
          <t xml:space="preserve">
 ...他$COUNT$件
#tooltippable #tooltip:$TAG$ ...他$COUNT$件#!#!
</t>
        </is>
      </c>
      <c r="G6" s="1" t="inlineStr">
        <is>
          <t xml:space="preserve">冗長であるため
</t>
        </is>
      </c>
      <c r="H6" s="1" t="inlineStr">
        <is>
          <t xml:space="preserve">1.0.4
</t>
        </is>
      </c>
      <c r="I6" s="1" t="inlineStr">
        <is>
          <t xml:space="preserve">なし
</t>
        </is>
      </c>
      <c r="J6" s="1" t="inlineStr">
        <is>
          <t xml:space="preserve">なし
</t>
        </is>
      </c>
    </row>
    <row r="7" ht="405" customHeight="1">
      <c r="A7">
        <f>HYPERLINK("https://github.com/matanki-saito/vic3jpadvmod/issues/341",341)</f>
        <v/>
      </c>
      <c r="B7" s="1" t="inlineStr">
        <is>
          <t>施設建設・拡張時の収入予測ポップアップ</t>
        </is>
      </c>
      <c r="C7" s="1">
        <f>HYPERLINK("https://user-images.githubusercontent.com/37979626/200023862-bae2ff0b-d0eb-4229-a327-dbe6f4f2723a.png","screenshot")
</f>
        <v/>
      </c>
      <c r="D7" s="1" t="inlineStr">
        <is>
          <t xml:space="preserve">施設建設・拡張時の収入予測ポップアップ
</t>
        </is>
      </c>
      <c r="E7" s="1" t="inlineStr">
        <is>
          <t xml:space="preserve">EXPANSION_PROFIT_IMPACT
拡張による利益影響予測
@money!$VAL|K+=$#!収入予測 / 週
--------------------
$IMPACT_DETAILS$
GOODS_PROFIT_CONSUMPTION
$品物増加数$ [品物アイコン] [品物名]（$現価格アイコン$→$新価格アイコン$）は@money!$IMPACT|K+=$
GOODS_PROFIT_CONSUMPTION_AFTER_SUBSTITUTION
$品物増加数$ [品物アイコン] [品物名] （[コンセプト（商品代替）]後の$現価格アイコン$→$新価格アイコン$）は@money!$IMPACT|K+=$
GOODS_PROFIT_PRODUCTION
$品物増加数$ [品物アイコン] [品物名] （$現価格アイコン$→$新価格アイコン$）は@money!$IMPACT|K+=$
GOODS_PROFIT_PRODUCTION_AFTER_SUBSTITUTION
$品物増加数$ [品物アイコン] [品物名]（$現価格アイコン$→$新価格アイコン$ after [コンセプト（商品代替）]）は@money!$IMPACT|K+=$
</t>
        </is>
      </c>
      <c r="F7" s="1" t="inlineStr">
        <is>
          <t xml:space="preserve">
拡張による利益影響予測
@money!$VAL|K+=$#!予想収入/週
--------------------
$IMPACT_DETAILS$
$品物増加数$[Nbsp][品物アイコン][Nbsp][品物名]により@money!$IMPACT|K+=$（$現価格アイコン$→$新価格アイコン$）
$品物増加数$[Nbsp][品物アイコン][Nbsp][品物名]により@money!$IMPACT|K+=$（[コンセプト（商品代替）]後$現価格アイコン$→$新価格アイコン$）
$品物増加数$[Nbsp][品物アイコン][Nbsp][品物名]により@money!$IMPACT|K+=$（$現価格アイコン$→$新価格アイコン$）
$品物増加数$[Nbsp][品物アイコン][Nbsp][品物名]により@money!$IMPACT|K+=$（$現価格アイコン$→[コンセプト（商品代替）]後$新価格アイコン$）
</t>
        </is>
      </c>
      <c r="G7" s="1" t="inlineStr">
        <is>
          <t xml:space="preserve">変数に対応できていないため
</t>
        </is>
      </c>
      <c r="H7" s="1" t="inlineStr">
        <is>
          <t xml:space="preserve">1.0.4
</t>
        </is>
      </c>
      <c r="I7" s="1" t="inlineStr">
        <is>
          <t xml:space="preserve">なし
</t>
        </is>
      </c>
      <c r="J7" s="1" t="inlineStr">
        <is>
          <t xml:space="preserve">なし
</t>
        </is>
      </c>
    </row>
    <row r="8" ht="465" customHeight="1">
      <c r="A8">
        <f>HYPERLINK("https://github.com/matanki-saito/vic3jpadvmod/issues/339",339)</f>
        <v/>
      </c>
      <c r="B8" s="1" t="inlineStr">
        <is>
          <t>施設拡張時のポップアップ一括修正</t>
        </is>
      </c>
      <c r="C8" s="1">
        <f>HYPERLINK("https://user-images.githubusercontent.com/37979626/200013490-a09b45cd-a5aa-455c-81f8-e737bd459bd9.png","screenshot")
</f>
        <v/>
      </c>
      <c r="D8" s="1" t="inlineStr">
        <is>
          <t xml:space="preserve">施設拡張時のポップアップ
</t>
        </is>
      </c>
      <c r="E8" s="1" t="inlineStr">
        <is>
          <t xml:space="preserve">CAN_EXPAND_BUILDING_TOOLTIP
$建設or拡張$[ステート名]の[施設名]（サイズ: [現在/最大])
@money!$予想収入額$収入予測 / 週
[資格取得の判定]
-----------------------
@construction! $必要建設数$ [コンセプト（建設）] ($CONSTRUCTION_COST_CHANGE$)
[投資プールの判定]
[ステートのインフラ状況]
使用可能な労働者: [peasants数] [POP名peasants] [失業者判定][軍事関連かの判定][港関連かの判定]
$操作キー$
失業者判定→AND_UNEMPLOYED
および[失業者数][コンセプト（失業者）]
`$CONSTRUCTION_COST_CHANGE$`→CONSTRUCTION_TOTAL_COST_IMPACTまたはCONSTRUCTION_WEEKLY_COST_IMPACT
@money!$COST|K-$#![コンセプト（建設商品）]で予測される合計コスト：
@money!$COST|K-=$#![コンセプト（建設商品）]の毎週のコスト
投資プールの判定→CONSTRUCTION_CAN_BE_FUNDED_BY_INVESTMENT_POOL
[コンセプト（建設商品）] は[コンセプト（投資プール）]から捻出可能です (現在 @money![投資プール額])
</t>
        </is>
      </c>
      <c r="F8" s="1" t="inlineStr">
        <is>
          <t xml:space="preserve">
[ステート名]の[施設名]$建設or拡張$（規模：[現在/最大]）
@money!$予想収入額$予想収入/週
[資格取得の判定]
-----------------------
@construction![Nbsp]$必要建設数$[コンセプト（建設）]（$CONSTRUCTION_COST_CHANGE$）
[投資プールの判定]
[ステートのインフラ状況]
使用可能な労働者：[peasants数][POP名peasants][失業者判定][軍事関連かの判定][港関連かの判定]
$操作キー$
失業者判定
および[失業者数][コンセプト（失業者）]
`$CONSTRUCTION_COST_CHANGE$`
@money!$コスト額$予想される合計[コンセプト（建設商品）]コスト：
@money!$コスト額$毎週の[コンセプト（建設商品）]コスト
投資プールの判定
[コンセプト（建設商品）]は[コンセプト（投資プール）]から捻出可能です（現在@money![投資プール額]）
</t>
        </is>
      </c>
      <c r="G8" s="1" t="inlineStr">
        <is>
          <t xml:space="preserve">変数に対応できていないため
</t>
        </is>
      </c>
      <c r="H8" s="1" t="inlineStr">
        <is>
          <t xml:space="preserve">1.0.4
</t>
        </is>
      </c>
      <c r="I8" s="1" t="inlineStr">
        <is>
          <t xml:space="preserve">なし
</t>
        </is>
      </c>
      <c r="J8" s="1" t="inlineStr">
        <is>
          <t xml:space="preserve">なし
</t>
        </is>
      </c>
    </row>
    <row r="9" ht="90" customHeight="1">
      <c r="A9">
        <f>HYPERLINK("https://github.com/matanki-saito/vic3jpadvmod/issues/335",335)</f>
        <v/>
      </c>
      <c r="B9" s="1" t="inlineStr">
        <is>
          <t>【修正提案】政治運動発足のフィード</t>
        </is>
      </c>
      <c r="C9" s="1">
        <f>HYPERLINK("https://user-images.githubusercontent.com/42710893/199979427-c8325820-21e1-45f3-8906-3dec99958453.jpg","screenshot")
</f>
        <v/>
      </c>
      <c r="D9" s="1" t="inlineStr">
        <is>
          <t xml:space="preserve">政治運動発足時のフィード
</t>
        </is>
      </c>
      <c r="E9" s="1" t="inlineStr">
        <is>
          <t xml:space="preserve">
スクショでは
農本主義を制定 政治運動
</t>
        </is>
      </c>
      <c r="F9" s="1" t="inlineStr">
        <is>
          <t xml:space="preserve">
農本主義を制定に向けた政治運動が発足
少し長いようなら簡潔に
政治運動が発足：農本主義を制定
等でも良いと思います。
</t>
        </is>
      </c>
      <c r="G9" s="1" t="inlineStr">
        <is>
          <t xml:space="preserve">日本語として自然なタイトルにするため。
</t>
        </is>
      </c>
      <c r="H9" s="1" t="inlineStr">
        <is>
          <t xml:space="preserve">（例）1.0.5
</t>
        </is>
      </c>
      <c r="I9" s="1" t="inlineStr">
        <is>
          <t xml:space="preserve">なし
</t>
        </is>
      </c>
      <c r="J9" s="1" t="inlineStr">
        <is>
          <t xml:space="preserve">日本語改善MOD
</t>
        </is>
      </c>
    </row>
    <row r="10" ht="90" customHeight="1">
      <c r="A10">
        <f>HYPERLINK("https://github.com/matanki-saito/vic3jpadvmod/issues/330",330)</f>
        <v/>
      </c>
      <c r="B10" s="1" t="inlineStr">
        <is>
          <t>場所を交替する</t>
        </is>
      </c>
      <c r="C10" s="1">
        <f>HYPERLINK("https://user-images.githubusercontent.com/29382778/199908614-7ecf439c-c38c-45c1-953f-c8f515f59e67.png","screenshot")
</f>
        <v/>
      </c>
      <c r="D10" s="1" t="inlineStr">
        <is>
          <t xml:space="preserve">外交戦ウインドウ
</t>
        </is>
      </c>
      <c r="E10" s="1" t="inlineStr">
        <is>
          <t xml:space="preserve">
場所を交替する
</t>
        </is>
      </c>
      <c r="F10" s="1" t="inlineStr">
        <is>
          <t xml:space="preserve">
相手国側でプレイ
</t>
        </is>
      </c>
      <c r="G10" s="1" t="inlineStr">
        <is>
          <t xml:space="preserve">一見して意味が取れないため
</t>
        </is>
      </c>
      <c r="H10" s="1" t="inlineStr">
        <is>
          <t xml:space="preserve">1.0.4
</t>
        </is>
      </c>
      <c r="I10" s="1" t="n"/>
      <c r="J10" s="1" t="n"/>
    </row>
    <row r="11" ht="210" customHeight="1">
      <c r="A11">
        <f>HYPERLINK("https://github.com/matanki-saito/vic3jpadvmod/issues/328",328)</f>
        <v/>
      </c>
      <c r="B11" s="1" t="inlineStr">
        <is>
          <t>【修正提案】禁輸開始フィード</t>
        </is>
      </c>
      <c r="C11" s="1">
        <f>HYPERLINK("https://user-images.githubusercontent.com/42710893/199743554-f6f10b8c-704a-432e-a23e-89a10ec54190.jpg","screenshot")
</f>
        <v/>
      </c>
      <c r="D11" s="1" t="inlineStr">
        <is>
          <t xml:space="preserve">禁輸開始フィード
</t>
        </is>
      </c>
      <c r="E11" s="1" t="inlineStr">
        <is>
          <t xml:space="preserve">
embargo_action_notification_third_party_desc:0 "[INITIATOR_COUNTRY.GetName]が[Concept('concept_embargo', '$concept_embargoing$')] [TARGET_COUNTRY.GetName]を開始しました。"
英語
"[INITIATOR_COUNTRY.GetName] began [Concept('concept_embargo', '$concept_embargoing$')] [TARGET_COUNTRY.GetName]."
</t>
        </is>
      </c>
      <c r="F11" s="1" t="inlineStr">
        <is>
          <t xml:space="preserve">
[INITIATOR_COUNTRY.GetName]が[TARGET_COUNTRY.GetName]に対する[Concept('concept_embargo', '$concept_embargoing$')]を開始しました。
concept_embargoingの訳が「禁輸中」となっているのを「禁輸」に変える必要があると思いますが、他に影響しないか要検討
</t>
        </is>
      </c>
      <c r="G11" s="1" t="inlineStr">
        <is>
          <t xml:space="preserve">日本語として不自然なため。
</t>
        </is>
      </c>
      <c r="H11" s="1" t="inlineStr">
        <is>
          <t xml:space="preserve">1.0.4
</t>
        </is>
      </c>
      <c r="I11" s="1" t="inlineStr">
        <is>
          <t xml:space="preserve">なし
</t>
        </is>
      </c>
      <c r="J11" s="1" t="inlineStr">
        <is>
          <t xml:space="preserve">日本語改善MOD
</t>
        </is>
      </c>
    </row>
    <row r="12" ht="300" customHeight="1">
      <c r="A12">
        <f>HYPERLINK("https://github.com/matanki-saito/vic3jpadvmod/issues/317",317)</f>
        <v/>
      </c>
      <c r="B12" s="1" t="inlineStr">
        <is>
          <t>【改善提案】制定（180日ごとに16%の確率）</t>
        </is>
      </c>
      <c r="C12" s="1">
        <f>HYPERLINK("https://user-images.githubusercontent.com/29177147/199673601-32ebae09-6269-4e29-be1a-b54b0f898da1.png","screenshot")
</f>
        <v/>
      </c>
      <c r="D12" s="1" t="inlineStr">
        <is>
          <t xml:space="preserve">政策ウィンドウ＞法律タブ＞（政府の原則や経済システム等の選択）
</t>
        </is>
      </c>
      <c r="E12" s="1" t="inlineStr">
        <is>
          <t xml:space="preserve">
制定（180日ごとに16%の確率）
</t>
        </is>
      </c>
      <c r="F12" s="1" t="inlineStr">
        <is>
          <t xml:space="preserve">
制定（成功率16％：180日ごとに判定）
</t>
        </is>
      </c>
      <c r="G12" s="1">
        <f>HYPERLINK("https://user-images.githubusercontent.com/29177147/199675700-f011f930-6a5a-4b4a-ab94-19e1acda7d6b.png","screenshot")
英語の場合と同様に、文中の「制定」と「成功率」の位置を近づけることで、制定の成功率を示したものだとより端的に示したい。
加えて、（他で起票するが）成功率が０％の場合に表示される文章中の文言（The chance that ...)と訳を揃えて同じ用語「制定成功率」を指していることを示したい。
=HYPERLINK("https://user-images.githubusercontent.com/29177147/199683683-58abe4e5-2855-499a-9342-9ecb2ee2398e.png","screenshot")
</f>
        <v/>
      </c>
      <c r="H12" s="1" t="inlineStr">
        <is>
          <t xml:space="preserve">1.0.4
</t>
        </is>
      </c>
      <c r="I12" s="1" t="inlineStr">
        <is>
          <t xml:space="preserve">なし
</t>
        </is>
      </c>
      <c r="J12" s="1" t="inlineStr">
        <is>
          <t xml:space="preserve">日本語改善MOD
Switch Languages
</t>
        </is>
      </c>
    </row>
    <row r="13" ht="90" customHeight="1">
      <c r="A13">
        <f>HYPERLINK("https://github.com/matanki-saito/vic3jpadvmod/issues/316",316)</f>
        <v/>
      </c>
      <c r="B13" s="1" t="inlineStr">
        <is>
          <t>左派 - ○○を制定</t>
        </is>
      </c>
      <c r="C13" s="1">
        <f>HYPERLINK("https://user-images.githubusercontent.com/29382778/199680240-77612700-8900-421e-b745-340790df6d00.png","screenshot")
</f>
        <v/>
      </c>
      <c r="D13" s="1" t="inlineStr">
        <is>
          <t xml:space="preserve">フィード
</t>
        </is>
      </c>
      <c r="E13" s="1" t="inlineStr">
        <is>
          <t xml:space="preserve">
[利益集団] - 左派 [法律名]を制定（「[法律名]を制定」部分は「[法律名]の制定」に修正見込み）
</t>
        </is>
      </c>
      <c r="F13" s="1" t="inlineStr">
        <is>
          <t xml:space="preserve">
[利益集団] - [法律名]の制定運動から離脱
</t>
        </is>
      </c>
      <c r="G13" s="1" t="inlineStr">
        <is>
          <t xml:space="preserve">誤訳のため
</t>
        </is>
      </c>
      <c r="H13" s="1" t="inlineStr">
        <is>
          <t xml:space="preserve">1.0.4
</t>
        </is>
      </c>
      <c r="I13" s="1" t="n"/>
      <c r="J13" s="1" t="n"/>
    </row>
    <row r="14" ht="180" customHeight="1">
      <c r="A14">
        <f>HYPERLINK("https://github.com/matanki-saito/vic3jpadvmod/issues/311",311)</f>
        <v/>
      </c>
      <c r="B14" s="1" t="inlineStr">
        <is>
          <t>【修正提案】雇用する将軍/提督の選択画面の「司令する」</t>
        </is>
      </c>
      <c r="C14" s="1">
        <f>HYPERLINK("https://user-images.githubusercontent.com/42710893/199666503-4c18050f-b4ad-45e8-b2e6-468c7dec1261.jpg","screenshot")
=HYPERLINK("https://user-images.githubusercontent.com/42710893/199667384-8292195d-ed03-4969-a21b-6331d341f115.jpg","screenshot")
</f>
        <v/>
      </c>
      <c r="D14" s="1" t="inlineStr">
        <is>
          <t xml:space="preserve">雇用する将軍/提督の選択画面
</t>
        </is>
      </c>
      <c r="E14" s="1" t="inlineStr">
        <is>
          <t xml:space="preserve">
RECRUIT_COMMANDERS_CHARACTERS_POPUP:0 "司令する$DESC$"
英語版：RECRUIT_COMMANDERS_CHARACTERS_POPUP:0 "Will Command $DESC$"
</t>
        </is>
      </c>
      <c r="F14" s="1" t="inlineStr">
        <is>
          <t xml:space="preserve">
"$DESC$を指揮予定"　等
</t>
        </is>
      </c>
      <c r="G14" s="1" t="inlineStr">
        <is>
          <t xml:space="preserve">英語表記を見る限り、雇用した場合に指揮する大隊/艦艇の数を示していると思われますが
現状では意味がわかりにくいです。
</t>
        </is>
      </c>
      <c r="H14" s="1" t="inlineStr">
        <is>
          <t xml:space="preserve">1.0.4
</t>
        </is>
      </c>
      <c r="I14" s="1" t="inlineStr">
        <is>
          <t xml:space="preserve">なし
</t>
        </is>
      </c>
      <c r="J14" s="1" t="inlineStr">
        <is>
          <t xml:space="preserve">日本語改善MOD
</t>
        </is>
      </c>
    </row>
    <row r="15" ht="225" customHeight="1">
      <c r="A15">
        <f>HYPERLINK("https://github.com/matanki-saito/vic3jpadvmod/issues/310",310)</f>
        <v/>
      </c>
      <c r="B15" s="1" t="inlineStr">
        <is>
          <t>【修正提案】関心発動フィード</t>
        </is>
      </c>
      <c r="C15" s="1">
        <f>HYPERLINK("https://user-images.githubusercontent.com/42710893/199665195-802af377-1811-4667-8921-70751c7029c3.jpg","screenshot")
</f>
        <v/>
      </c>
      <c r="D15" s="1" t="inlineStr">
        <is>
          <t xml:space="preserve">関心発動時のフィード
</t>
        </is>
      </c>
      <c r="E15" s="1" t="inlineStr">
        <is>
          <t xml:space="preserve">
notification_interest_activated_third_party_name:0 "[SCOPE.sCountry('actor').GetAdjective] [SCOPE.GetRootScope.GetInterest.GetStrategicRegion.GetName] [concept_interest]が発動しました"
英語：notification_interest_activated_name:0 "[SCOPE.GetRootScope.GetInterest.GetStrategicRegion.GetName] [concept_interest] activated
</t>
        </is>
      </c>
      <c r="F15" s="1" t="inlineStr">
        <is>
          <t xml:space="preserve">
"[SCOPE.sCountry('actor').GetAdjective]が[SCOPE.GetRootScope.GetInterest.GetStrategicRegion.GetName]に対する[concept_interest]を発動"　等
自国が発動した場合（notification_interest_activated_name:0）も同様に修正が必要
「発動」という訳も適当かどうか要検討と思われる
</t>
        </is>
      </c>
      <c r="G15" s="1" t="inlineStr">
        <is>
          <t xml:space="preserve">日本語として自然な表現にするため。
</t>
        </is>
      </c>
      <c r="H15" s="1" t="inlineStr">
        <is>
          <t xml:space="preserve">1.0.4
</t>
        </is>
      </c>
      <c r="I15" s="1" t="inlineStr">
        <is>
          <t xml:space="preserve">なし
</t>
        </is>
      </c>
      <c r="J15" s="1" t="inlineStr">
        <is>
          <t xml:space="preserve">日本語改善MOD
</t>
        </is>
      </c>
    </row>
    <row r="16" ht="90" customHeight="1">
      <c r="A16">
        <f>HYPERLINK("https://github.com/matanki-saito/vic3jpadvmod/issues/297",297)</f>
        <v/>
      </c>
      <c r="B16" s="1" t="inlineStr">
        <is>
          <t>【修正提案】運動</t>
        </is>
      </c>
      <c r="C16" s="1">
        <f>HYPERLINK("https://user-images.githubusercontent.com/29382778/199570912-450b9a0c-6670-4f73-ad01-24bf66a16c39.png","screenshot")
</f>
        <v/>
      </c>
      <c r="D16" s="1" t="inlineStr">
        <is>
          <t xml:space="preserve">選挙ウインドウ
</t>
        </is>
      </c>
      <c r="E16" s="1" t="inlineStr">
        <is>
          <t xml:space="preserve">
[西暦年]運動
</t>
        </is>
      </c>
      <c r="F16" s="1" t="inlineStr">
        <is>
          <t xml:space="preserve">
[西暦]年選挙戦
</t>
        </is>
      </c>
      <c r="G16" s="1" t="inlineStr">
        <is>
          <t xml:space="preserve">誤訳のため
</t>
        </is>
      </c>
      <c r="H16" s="1" t="inlineStr">
        <is>
          <t xml:space="preserve">1.0.4
</t>
        </is>
      </c>
      <c r="I16" s="1" t="n"/>
      <c r="J16" s="1" t="n"/>
    </row>
    <row r="17" ht="285" customHeight="1">
      <c r="A17">
        <f>HYPERLINK("https://github.com/matanki-saito/vic3jpadvmod/issues/295",295)</f>
        <v/>
      </c>
      <c r="B17" s="1" t="inlineStr">
        <is>
          <t>「スプリット」問題</t>
        </is>
      </c>
      <c r="C17" s="1">
        <f>HYPERLINK("https://user-images.githubusercontent.com/37979626/199553649-b4dad697-f56c-4650-a906-e22a264b6925.png","screenshot")
=HYPERLINK("https://user-images.githubusercontent.com/37979626/199553686-e67ac77f-981a-4a4c-b10d-d001ca729fae.png","screenshot")
=HYPERLINK("https://user-images.githubusercontent.com/37979626/199553725-fcdb7573-8c79-4892-8690-c4f572052799.png","screenshot")
</f>
        <v/>
      </c>
      <c r="D17" s="1" t="inlineStr">
        <is>
          <t xml:space="preserve">文化&gt;国家形成＞形成に必要な州の一覧
</t>
        </is>
      </c>
      <c r="E17" s="1" t="inlineStr">
        <is>
          <t xml:space="preserve">スプリット
</t>
        </is>
      </c>
      <c r="F17" s="1" t="inlineStr">
        <is>
          <t xml:space="preserve">分割 / 分裂
</t>
        </is>
      </c>
      <c r="G17" s="1" t="inlineStr">
        <is>
          <t xml:space="preserve">そもそもここの仕組みがかなりの力技で、国旗の下にもconcept_split_state_shortキーでSplitが入っている。それを別の判定で分裂状態でない場合は、領有国の国旗が上に重なるよう配置されるようになっている。そのため、「スプリット」という字が国旗の下に入り込んでいる。
これを解消するには全角2文字以内に収め、英語版同様、国旗の下に収まるようにしなければならないため、コンセプト名である「分割州」ではなく「分割」または「分裂」を使用しなくてならない。
</t>
        </is>
      </c>
      <c r="H17" s="1" t="inlineStr">
        <is>
          <t xml:space="preserve">1.0.4
</t>
        </is>
      </c>
      <c r="I17" s="1" t="inlineStr">
        <is>
          <t xml:space="preserve">なし
</t>
        </is>
      </c>
      <c r="J17" s="1" t="inlineStr">
        <is>
          <t xml:space="preserve">なし
</t>
        </is>
      </c>
    </row>
    <row r="18" ht="390" customHeight="1">
      <c r="A18">
        <f>HYPERLINK("https://github.com/matanki-saito/vic3jpadvmod/issues/293",293)</f>
        <v/>
      </c>
      <c r="B18" s="1" t="inlineStr">
        <is>
          <t>国家形成（大国の統一）のツールチップ一括修正</t>
        </is>
      </c>
      <c r="C18" s="1">
        <f>HYPERLINK("https://user-images.githubusercontent.com/37979626/199537548-609cfa32-446d-40b1-8b11-bfa4f364763b.png","screenshot")
=HYPERLINK("https://user-images.githubusercontent.com/37979626/199539352-8849b0d6-6145-48d5-8df3-f02410d35854.png","screenshot")
</f>
        <v/>
      </c>
      <c r="D18" s="1" t="inlineStr">
        <is>
          <t xml:space="preserve">国家形成（大国の統一）のツールチップ
</t>
        </is>
      </c>
      <c r="E18" s="1" t="inlineStr">
        <is>
          <t xml:space="preserve">FORM_COUNTRY_LAUNCH_UNIFICATION_PLAY[コンセプト（プレイ）]統合の発足
FORM_COUNTRY_CULTURE_COUNTRIES_HEADER[対象文化圏] [コンセプト（国）]
FORM_COUNTRY_STATE_REGIONS_HEADER#v [必要数]#!の[形成国家名] [コンセプト（州地域）]中#v [現在数]#!を制圧しています
FORM_COUNTRY_STATE_REGIONS_REQUIRED[必要数]に支配されている[コンセプト（州地域）]が[形成国名]を築く必要があります
CANNOT_FORM_COUNTRY_NOT_ENOUGH_STATES#v [形成国家名]#!の形成に必要な[コンセプト（州地域）] #v [必要数]#!つのうち#v [現在数]#!のみを制圧しています:\n[必要州リスト]
CAN_FORM_COUNTRY_DESC#v [形成国家名]#!の形成に必要な[コンセプト（州地域）] #v [必要数]#!つのうち全#v [現在数]#!州を制圧しています:\n[必要州リスト]
※[コンセプト（プレイ）]はconcept_diplomatic_play_short参照
</t>
        </is>
      </c>
      <c r="F18" s="1" t="inlineStr">
        <is>
          <t xml:space="preserve">統一[プレイ]の開始
[対象文化圏]の[コンセプト（国）]
[形成国家名]の[コンセプト（州地域）]の#v [現在数]#!/#v [必要数]#!を支配しています
[形成国名]形成には[必要数]の[コンセプト（州地域）]を支配する必要があります
#v [形成国家名]#!形成に必要な[コンセプト（州地域）]#v [必要数]#!州の内#v [現在数]#!州のみ支配している：\n[必要州リスト]
#v [形成国家名]#!形成に必要な[コンセプト（州地域）]#v [必要数]#!州の内#v [現在数]#!州を完全に支配している：\n[必要州リスト]
</t>
        </is>
      </c>
      <c r="G18" s="1" t="inlineStr">
        <is>
          <t xml:space="preserve">変数をうまく落とし込めていないため
</t>
        </is>
      </c>
      <c r="H18" s="1" t="inlineStr">
        <is>
          <t xml:space="preserve">1.0.4
</t>
        </is>
      </c>
      <c r="I18" s="1" t="inlineStr">
        <is>
          <t xml:space="preserve">なし
</t>
        </is>
      </c>
      <c r="J18" s="1" t="inlineStr">
        <is>
          <t xml:space="preserve">なし
</t>
        </is>
      </c>
    </row>
    <row r="19" ht="120" customHeight="1">
      <c r="A19">
        <f>HYPERLINK("https://github.com/matanki-saito/vic3jpadvmod/issues/291",291)</f>
        <v/>
      </c>
      <c r="B19" s="1" t="inlineStr">
        <is>
          <t>外交プレイの戦略に関するポップアップ</t>
        </is>
      </c>
      <c r="C19" s="1">
        <f>HYPERLINK("https://user-images.githubusercontent.com/37979626/199533086-6e0f86ce-4303-4087-ac35-ca55d2c0de2c.png","screenshot")
</f>
        <v/>
      </c>
      <c r="D19" s="1" t="inlineStr">
        <is>
          <t xml:space="preserve">外交プレイ時の戦略アイコンのポップアップ
</t>
        </is>
      </c>
      <c r="E19" s="1" t="inlineStr">
        <is>
          <t xml:space="preserve">DIPLO_PLAY_MANEUVERS_INITIATOR_TOOLTIP#header 先制国[戦略]#!\n[先制国名]に残された[戦略]は[数値]回です。
DIPLO_PLAY_MANEUVERS_TARGET_TOOLTIP#header 標的国[戦略]#!\n[標的国名]に残された[戦略]は[数値] 回です。
</t>
        </is>
      </c>
      <c r="F19" s="1" t="inlineStr">
        <is>
          <t xml:space="preserve">#header 先制国の[戦略]#!\n[先制国名]の[戦略]は残り[数値]です。
#header 標的国の[戦略]#!\n[標的国名]の[戦略]は残り[数値]です。
</t>
        </is>
      </c>
      <c r="G19" s="1" t="inlineStr">
        <is>
          <t xml:space="preserve">数値なのに「回数」になってしまっているため
</t>
        </is>
      </c>
      <c r="H19" s="1" t="inlineStr">
        <is>
          <t xml:space="preserve">1.0.4
</t>
        </is>
      </c>
      <c r="I19" s="1" t="inlineStr">
        <is>
          <t xml:space="preserve">なし
</t>
        </is>
      </c>
      <c r="J19" s="1" t="inlineStr">
        <is>
          <t xml:space="preserve">なし
</t>
        </is>
      </c>
    </row>
    <row r="20" ht="105" customHeight="1">
      <c r="A20">
        <f>HYPERLINK("https://github.com/matanki-saito/vic3jpadvmod/issues/260",260)</f>
        <v/>
      </c>
      <c r="B20" s="1" t="inlineStr">
        <is>
          <t>【修正提案】徴兵制を開始しました（通知）</t>
        </is>
      </c>
      <c r="C20" s="1">
        <f>HYPERLINK("https://user-images.githubusercontent.com/42687608/199380964-9a4a923a-da73-4559-a5f6-271127303732.jpg","screenshot")
</f>
        <v/>
      </c>
      <c r="D20" s="1" t="inlineStr">
        <is>
          <t xml:space="preserve">徴兵を開始したときに表示される通知
</t>
        </is>
      </c>
      <c r="E20" s="1" t="inlineStr">
        <is>
          <t xml:space="preserve">
徴兵制を開始しました
</t>
        </is>
      </c>
      <c r="F20" s="1" t="inlineStr">
        <is>
          <t xml:space="preserve">
徴兵を開始しました
</t>
        </is>
      </c>
      <c r="G20" s="1" t="inlineStr">
        <is>
          <t xml:space="preserve">この場合のConscriptionは「徴兵制」ではなく「徴兵」と訳すべきだから。
関連するキーはconcept_conscription_center_conscriptionとnotification_country_conscription_nameで、他の場所では使われていない。
</t>
        </is>
      </c>
      <c r="H20" s="1" t="inlineStr">
        <is>
          <t xml:space="preserve">1.0.3
</t>
        </is>
      </c>
      <c r="I20" s="1" t="inlineStr">
        <is>
          <t xml:space="preserve">- Victoria II Remastered Soundtrack
- American Buildings Pack
</t>
        </is>
      </c>
      <c r="J20" s="1" t="inlineStr">
        <is>
          <t xml:space="preserve">- 自作Mod多数
</t>
        </is>
      </c>
    </row>
    <row r="21" ht="90" customHeight="1">
      <c r="A21">
        <f>HYPERLINK("https://github.com/matanki-saito/vic3jpadvmod/issues/259",259)</f>
        <v/>
      </c>
      <c r="B21" s="1" t="inlineStr">
        <is>
          <t>法律制定時の効果説明文・「抑圧の影響です」など</t>
        </is>
      </c>
      <c r="C21" s="1">
        <f>HYPERLINK("https://user-images.githubusercontent.com/54560025/199359583-d3a0b975-7268-4387-bac3-fde507d6b564.png","screenshot")
</f>
        <v/>
      </c>
      <c r="D21" s="1" t="inlineStr">
        <is>
          <t xml:space="preserve">法律制定時のポップアップ・法律の効果の説明文
</t>
        </is>
      </c>
      <c r="E21" s="1" t="inlineStr">
        <is>
          <t xml:space="preserve">
~
利益団体の求心力における抑圧の影響です：-30%
利益団体の求心力における強化の影響です：+30%
インテリゲンチャ(27.5%)は、昨今における検閲から集会の権利への変更を賛成: +5
~
</t>
        </is>
      </c>
      <c r="F21" s="1" t="inlineStr">
        <is>
          <t xml:space="preserve">
利益団体の求心力に対する抑圧の影響: -30%
利益団体の求心力に対する強化の影響: +30%
インテリゲンチャ(27.5%)は、昨今における検閲から集会の権利への変更に賛成: +5
</t>
        </is>
      </c>
      <c r="G21" s="1" t="inlineStr">
        <is>
          <t xml:space="preserve">効果を示すところを体言止めに、またコロンが全角のようなので半角にする。日本語として不自然なところを修正したい。
</t>
        </is>
      </c>
      <c r="H21" s="1" t="inlineStr">
        <is>
          <t xml:space="preserve">1.0.3
</t>
        </is>
      </c>
      <c r="I21" s="1" t="inlineStr">
        <is>
          <t xml:space="preserve">Victoria II Remastered Soundtrack
American Buildings Pack
</t>
        </is>
      </c>
      <c r="J21" s="1" t="inlineStr">
        <is>
          <t xml:space="preserve">JapaneseLanguageAdvancedMod
</t>
        </is>
      </c>
    </row>
    <row r="22" ht="270" customHeight="1">
      <c r="A22">
        <f>HYPERLINK("https://github.com/matanki-saito/vic3jpadvmod/issues/253",253)</f>
        <v/>
      </c>
      <c r="B22" s="1" t="inlineStr">
        <is>
          <t>輸出入ルートの開廃フィード</t>
        </is>
      </c>
      <c r="C22" s="1">
        <f>HYPERLINK("https://user-images.githubusercontent.com/37979626/199248593-b1585864-0019-4875-a5bc-31c3463f69c2.png","screenshot")
=HYPERLINK("https://user-images.githubusercontent.com/37979626/199251376-d27104b6-721a-44ab-91c1-8c81496f02dd.png","screenshot")
</f>
        <v/>
      </c>
      <c r="D22" s="1" t="inlineStr">
        <is>
          <t xml:space="preserve">輸入・輸出開始時のフィード
</t>
        </is>
      </c>
      <c r="E22" s="1" t="inlineStr">
        <is>
          <t xml:space="preserve">notification_new_trade_route_name: [資源アイコン] [資源アイコン]が対象の[国旗] [輸出or輸入]ルート
notification_new_trade_route_desc: [国旗付き国家]は[資源アイコン][資源]のための[輸出元]から[輸入先]までの[輸出or輸入]ルートを開始しました。[レベル予測に関する文]
notification_canceled_trade_route_name: [国旗] [輸出or輸入] [資源アイコン] [[資源] のルートが廃止されました
notification_canceled_trade_route_desc: [国旗付き国家]は[資源アイコン][資源]のための[輸出元]から[輸入先]までの[輸出or輸入]ルートを廃止しました。
</t>
        </is>
      </c>
      <c r="F22" s="1" t="inlineStr">
        <is>
          <t xml:space="preserve">[資源アイコン][資源アイコン]の[国旗][Nbsp][輸出or輸入]ルート
[国旗付き国家]が[資源アイコン][資源]の[輸出or輸入]ルートを[輸出元]～[輸入先]間で開始しました。[レベル予測に関する文]
[資源アイコン][資源アイコン]の[国旗][Nbsp][輸出or輸入]ルートが廃止
[国旗付き国家]は[資源アイコン][資源]の[輸出元]～[輸入先]間[輸出or輸入]ルートを廃止しました。
※国旗の変数のうしろはスペースを空けた方が良いので、ノーブレークスペースを挿入する（半角スペースだと誤って消えてしまう可能性があるため）
</t>
        </is>
      </c>
      <c r="G22" s="1" t="inlineStr">
        <is>
          <t xml:space="preserve">自然な表現にするため
</t>
        </is>
      </c>
      <c r="H22" s="1" t="inlineStr">
        <is>
          <t xml:space="preserve">1.0.2
</t>
        </is>
      </c>
      <c r="I22" s="1" t="inlineStr">
        <is>
          <t xml:space="preserve">なし
</t>
        </is>
      </c>
      <c r="J22" s="1" t="inlineStr">
        <is>
          <t xml:space="preserve">なし
</t>
        </is>
      </c>
    </row>
    <row r="23" ht="90" customHeight="1">
      <c r="A23">
        <f>HYPERLINK("https://github.com/matanki-saito/vic3jpadvmod/issues/249",249)</f>
        <v/>
      </c>
      <c r="B23" s="1" t="inlineStr">
        <is>
          <t>【修正提案】市場の月間価格報告フィード</t>
        </is>
      </c>
      <c r="C23" s="1">
        <f>HYPERLINK("https://user-images.githubusercontent.com/42710893/199245859-c61f5b17-6c2f-499e-86aa-452231a4e4a6.jpg","screenshot")
</f>
        <v/>
      </c>
      <c r="D23" s="1" t="inlineStr">
        <is>
          <t xml:space="preserve">市場の月間価格報告フィード
</t>
        </is>
      </c>
      <c r="E23" s="1" t="inlineStr">
        <is>
          <t xml:space="preserve">
スクショの一番上の爆発物を例に取ると
△(アイコン)52.2→爆発物の58.9
</t>
        </is>
      </c>
      <c r="F23" s="1" t="inlineStr">
        <is>
          <t xml:space="preserve">
△(アイコン)爆発物：52.2→58.9
</t>
        </is>
      </c>
      <c r="G23" s="1" t="inlineStr">
        <is>
          <t xml:space="preserve">商品名が変な位置に入ってしまっているため。
</t>
        </is>
      </c>
      <c r="H23" s="1" t="inlineStr">
        <is>
          <t xml:space="preserve">1.0.3
</t>
        </is>
      </c>
      <c r="I23" s="1" t="inlineStr">
        <is>
          <t xml:space="preserve">なし
</t>
        </is>
      </c>
      <c r="J23" s="1" t="inlineStr">
        <is>
          <t xml:space="preserve">なし
</t>
        </is>
      </c>
    </row>
    <row r="24" ht="75" customHeight="1">
      <c r="A24">
        <f>HYPERLINK("https://github.com/matanki-saito/vic3jpadvmod/issues/248",248)</f>
        <v/>
      </c>
      <c r="B24" s="1" t="inlineStr">
        <is>
          <t>[concept_rivalry]関係の終了のフィード</t>
        </is>
      </c>
      <c r="C24" s="1" t="inlineStr">
        <is>
          <t xml:space="preserve">割愛
</t>
        </is>
      </c>
      <c r="D24" s="1" t="inlineStr">
        <is>
          <t xml:space="preserve">ライバル宣言終了時の通知タイトル
</t>
        </is>
      </c>
      <c r="E24" s="1" t="inlineStr">
        <is>
          <t xml:space="preserve">
[INITIATOR_COUNTRY.GetAdjectiveNoFormatting]-[TARGET_COUNTRY.GetAdjectiveNoFormatting] [concept_rivalry]が終了しました
</t>
        </is>
      </c>
      <c r="F24" s="1" t="inlineStr">
        <is>
          <t xml:space="preserve">
[INITIATOR_COUNTRY.GetAdjectiveNoFormatting]・[TARGET_COUNTRY.GetAdjectiveNoFormatting]間の[concept_rivalry]宣言が終了
</t>
        </is>
      </c>
      <c r="G24" s="1" t="inlineStr">
        <is>
          <t xml:space="preserve">https://github.com/matanki-saito/vic3jpadvmod/issues/180
にて修正されたエントリの対になるものであるため
</t>
        </is>
      </c>
      <c r="H24" s="1" t="inlineStr">
        <is>
          <t xml:space="preserve">1.0.2
</t>
        </is>
      </c>
      <c r="I24" s="1" t="inlineStr">
        <is>
          <t xml:space="preserve">なし
</t>
        </is>
      </c>
      <c r="J24" s="1" t="inlineStr">
        <is>
          <t xml:space="preserve">なし
</t>
        </is>
      </c>
    </row>
    <row r="25" ht="90" customHeight="1">
      <c r="A25">
        <f>HYPERLINK("https://github.com/matanki-saito/vic3jpadvmod/issues/247",247)</f>
        <v/>
      </c>
      <c r="B25" s="1" t="inlineStr">
        <is>
          <t>【修正提案】信条（Allegiances、外交戦インターフェイス）</t>
        </is>
      </c>
      <c r="C25" s="1">
        <f>HYPERLINK("https://user-images.githubusercontent.com/42687608/199238534-65ad8df9-a013-4e70-aaae-bfdfe4da4086.jpg","screenshot")
</f>
        <v/>
      </c>
      <c r="D25" s="1" t="inlineStr">
        <is>
          <t xml:space="preserve">外交戦インターフェイスのタブ
</t>
        </is>
      </c>
      <c r="E25" s="1" t="inlineStr">
        <is>
          <t xml:space="preserve">
信条
</t>
        </is>
      </c>
      <c r="F25" s="1" t="inlineStr">
        <is>
          <t xml:space="preserve">
支持
</t>
        </is>
      </c>
      <c r="G25" s="1" t="inlineStr">
        <is>
          <t xml:space="preserve">文脈から誤訳の可能性が高いため。
原文はAllegiancesで「忠誠」「支持」などの意味がある。
switch one's allegianceで「寝返る」という意味になるので、この文脈ではそのニュアンスで使われているのではないか。
</t>
        </is>
      </c>
      <c r="H25" s="1" t="inlineStr">
        <is>
          <t xml:space="preserve">1.0.3
</t>
        </is>
      </c>
      <c r="I25" s="1" t="inlineStr">
        <is>
          <t xml:space="preserve">- Victoria II Remastered Soundtrack
- American Buildings Pack
</t>
        </is>
      </c>
      <c r="J25" s="1" t="inlineStr">
        <is>
          <t xml:space="preserve">- 自作Mod多数
</t>
        </is>
      </c>
    </row>
    <row r="26" ht="90" customHeight="1">
      <c r="A26">
        <f>HYPERLINK("https://github.com/matanki-saito/vic3jpadvmod/issues/246",246)</f>
        <v/>
      </c>
      <c r="B26" s="1" t="inlineStr">
        <is>
          <t>【修正提案】移民発生時のトースト</t>
        </is>
      </c>
      <c r="C26" s="1">
        <f>HYPERLINK("https://user-images.githubusercontent.com/42687608/199231434-3d7b3e4f-bb09-4077-9924-76bbd4ddb694.jpg","screenshot")
</f>
        <v/>
      </c>
      <c r="D26" s="1" t="inlineStr">
        <is>
          <t xml:space="preserve">移民発生時のトースト（画面上部のポップアップ）
</t>
        </is>
      </c>
      <c r="E26" s="1" t="inlineStr">
        <is>
          <t xml:space="preserve">
「（文化名）である人々の大多数が〜」
</t>
        </is>
      </c>
      <c r="F26" s="1" t="inlineStr">
        <is>
          <t xml:space="preserve">
「大多数の（文化名）人が〜」あるいは「（文化名）文化の人々の大多数が〜」
</t>
        </is>
      </c>
      <c r="G26" s="1" t="inlineStr">
        <is>
          <t xml:space="preserve">変数部分が文化名であることが考慮されていないため。
</t>
        </is>
      </c>
      <c r="H26" s="1" t="inlineStr">
        <is>
          <t xml:space="preserve">1.0.3
</t>
        </is>
      </c>
      <c r="I26" s="1" t="inlineStr">
        <is>
          <t xml:space="preserve">- Victoria II Remastered Soundtrack
- American Buildings Pack
</t>
        </is>
      </c>
      <c r="J26" s="1" t="inlineStr">
        <is>
          <t xml:space="preserve">- 自作Mod多数
</t>
        </is>
      </c>
    </row>
    <row r="27" ht="210" customHeight="1">
      <c r="A27">
        <f>HYPERLINK("https://github.com/matanki-saito/vic3jpadvmod/issues/236",236)</f>
        <v/>
      </c>
      <c r="B27" s="1" t="inlineStr">
        <is>
          <t>他国から外交戦：揺さぶりをかける　を受けた時のポップアップの文章</t>
        </is>
      </c>
      <c r="C27" s="1">
        <f>HYPERLINK("https://user-images.githubusercontent.com/54560025/199186225-d26c3310-d1f8-480d-a0eb-05d199a320ab.png","screenshot")
</f>
        <v/>
      </c>
      <c r="D27" s="1" t="inlineStr">
        <is>
          <t xml:space="preserve">他国からの外交戦：揺さぶりをかけるを受けた時のポップアップ
</t>
        </is>
      </c>
      <c r="E27" s="1" t="inlineStr">
        <is>
          <t xml:space="preserve">[国旗]イギリスは、進行中の外交戦において、我が国が加勢することを条件に清戦争賠償金に向けた戦争目標を申し出ています。
</t>
        </is>
      </c>
      <c r="F27" s="1" t="inlineStr">
        <is>
          <t xml:space="preserve">[国旗]イギリスは、清に対して進行中の外交戦において我が国が加勢するならば、戦争賠償金の戦争目標を提供すると申し出ています。(要検証)
</t>
        </is>
      </c>
      <c r="G27" s="1" t="inlineStr">
        <is>
          <t xml:space="preserve">清を指す変数後にスペースがなく文が一部消えているようだ。また文章としてよく意味が通らないので通るように修正する。
英語原文：[Proposal.GetActor.GetName] offers us a [concept_war_goal] to #variable [Proposal.GetDiplomaticPlay.GetSwayOfferWarGoal(Proposal.GetActor.Self).GetName]#! if we will back them in the ongoing [concept_diplomatic_play].
</t>
        </is>
      </c>
      <c r="H27" s="1" t="inlineStr">
        <is>
          <t xml:space="preserve">1.0.3
</t>
        </is>
      </c>
      <c r="I27" s="1" t="inlineStr">
        <is>
          <t xml:space="preserve">Victoria II Remastered Soundtrack
American Buildings Pack
</t>
        </is>
      </c>
      <c r="J27" s="1" t="inlineStr">
        <is>
          <t xml:space="preserve">JapaneseLanguageAdvancedMod
</t>
        </is>
      </c>
    </row>
    <row r="28" ht="90" customHeight="1">
      <c r="A28">
        <f>HYPERLINK("https://github.com/matanki-saito/vic3jpadvmod/issues/227",227)</f>
        <v/>
      </c>
      <c r="B28" s="1" t="inlineStr">
        <is>
          <t>【修正提案】 利益団体の補正(Modifier)タブ</t>
        </is>
      </c>
      <c r="C28" s="1">
        <f>HYPERLINK("https://user-images.githubusercontent.com/117048815/199093747-f91db140-2192-4834-b367-746b4fa59668.jpg","screenshot")
</f>
        <v/>
      </c>
      <c r="D28" s="1" t="inlineStr">
        <is>
          <t xml:space="preserve">利益団体の補正(Modifier)タブ
</t>
        </is>
      </c>
      <c r="E28" s="1" t="inlineStr">
        <is>
          <t xml:space="preserve">時限補正(Timed Modifier)
補正記事(Modifier Entry)
</t>
        </is>
      </c>
      <c r="F28" s="1" t="inlineStr">
        <is>
          <t xml:space="preserve">一時的な補正
補正一覧/補正
</t>
        </is>
      </c>
      <c r="G28" s="1" t="inlineStr">
        <is>
          <t xml:space="preserve">日本語として自然ではないため。
</t>
        </is>
      </c>
      <c r="H28" s="1" t="inlineStr">
        <is>
          <t xml:space="preserve">1.0.3
</t>
        </is>
      </c>
      <c r="I28" s="1" t="inlineStr">
        <is>
          <t xml:space="preserve">なし
</t>
        </is>
      </c>
      <c r="J28" s="1" t="inlineStr">
        <is>
          <t xml:space="preserve">日本語改善MOD
</t>
        </is>
      </c>
    </row>
    <row r="29" ht="90" customHeight="1">
      <c r="A29">
        <f>HYPERLINK("https://github.com/matanki-saito/vic3jpadvmod/issues/224",224)</f>
        <v/>
      </c>
      <c r="B29" s="1" t="inlineStr">
        <is>
          <t>【修正提案】州画面＞概要タブの「メキシコされています」</t>
        </is>
      </c>
      <c r="C29" s="1">
        <f>HYPERLINK("https://user-images.githubusercontent.com/29177147/199015458-9bc612d9-5570-47b3-b809-0b7ddb16620d.png","screenshot")
</f>
        <v/>
      </c>
      <c r="D29" s="1" t="inlineStr">
        <is>
          <t xml:space="preserve">植民地化されている州画面＞概要タブ
</t>
        </is>
      </c>
      <c r="E29" s="1" t="inlineStr">
        <is>
          <t xml:space="preserve">メキシコされています。
</t>
        </is>
      </c>
      <c r="F29" s="1" t="inlineStr">
        <is>
          <t xml:space="preserve">メキシコに植民地化されています。
</t>
        </is>
      </c>
      <c r="G29" s="1" t="inlineStr">
        <is>
          <t xml:space="preserve">テキストが何かの理由で切れてしまっているため
</t>
        </is>
      </c>
      <c r="H29" s="1" t="inlineStr">
        <is>
          <t xml:space="preserve">1.0.3
</t>
        </is>
      </c>
      <c r="I29" s="1" t="inlineStr">
        <is>
          <t xml:space="preserve">なし
</t>
        </is>
      </c>
      <c r="J29" s="1" t="inlineStr">
        <is>
          <t xml:space="preserve">日本語改善MOD
Switch Languages
</t>
        </is>
      </c>
    </row>
    <row r="30" ht="315" customHeight="1">
      <c r="A30">
        <f>HYPERLINK("https://github.com/matanki-saito/vic3jpadvmod/issues/219",219)</f>
        <v/>
      </c>
      <c r="B30" s="1" t="inlineStr">
        <is>
          <t>【修正提案】外交画面、関係悪化相手のマウスオーバー時のポップアップ</t>
        </is>
      </c>
      <c r="C30" s="1">
        <f>HYPERLINK("https://user-images.githubusercontent.com/42710893/198967094-850f9744-25c5-43a2-9871-8d238cfeb8f4.jpg","screenshot")
</f>
        <v/>
      </c>
      <c r="D30" s="1" t="inlineStr">
        <is>
          <t xml:space="preserve">外交画面、関係悪化相手の国旗マウスオーバー時のポップアップ
</t>
        </is>
      </c>
      <c r="E30" s="1" t="inlineStr">
        <is>
          <t xml:space="preserve">DIPLO_PACT_RELATIONS_CHANGE_NEG:2 "#b [concept_relations]悪化#!に向けた取り組みの進捗度は `$PROGRESS|2%v$`（$PROGRESS_DAILY|%=v2$/日）であり、`$DATE|v$` 日で相互の[concept_relations]が #N #b -1#!#! 変化します。"
`$DATE|v$`には18○○年△月◇日のように、関係値が変化する日付が入る
なお、関係改善の場合も全く同様の文章がある
（参考）
DIPLO_PACT_RELATIONS_CHANGE_POS:2 "#b [concept_relations]改善#!に向けた取り組みの進捗度は `$PROGRESS|2%v$`（$PROGRESS_DAILY|%=v2$/日）であり、`$DATE|v$` 日で相互の[concept_relations]が #P #b +1#!#! 変化します。"
</t>
        </is>
      </c>
      <c r="F30" s="1" t="inlineStr">
        <is>
          <t xml:space="preserve"> "#b [concept_relations]悪化#!に向けた取り組みの進捗度は `$PROGRESS|2%v$`（$PROGRESS_DAILY|%=v2$/日）であり、`$DATE|v$`**には**相互の[concept_relations]が #N #b -1#!#! 変化します。"　等
</t>
        </is>
      </c>
      <c r="G30" s="1" t="inlineStr">
        <is>
          <t xml:space="preserve">変数部分との接続がおかしいため。
</t>
        </is>
      </c>
      <c r="H30" s="1" t="inlineStr">
        <is>
          <t xml:space="preserve">1.0.3
</t>
        </is>
      </c>
      <c r="I30" s="1" t="inlineStr">
        <is>
          <t xml:space="preserve">なし
</t>
        </is>
      </c>
      <c r="J30" s="1" t="inlineStr">
        <is>
          <t xml:space="preserve">なし
</t>
        </is>
      </c>
    </row>
    <row r="31" ht="90" customHeight="1">
      <c r="A31">
        <f>HYPERLINK("https://github.com/matanki-saito/vic3jpadvmod/issues/217",217)</f>
        <v/>
      </c>
      <c r="B31" s="1" t="inlineStr">
        <is>
          <t>【修正提案】設定＞オーディオ＞将軍→一般</t>
        </is>
      </c>
      <c r="C31" s="1">
        <f>HYPERLINK("https://user-images.githubusercontent.com/29177147/198930501-ff7a0830-9d01-4122-8b22-254b99e295c0.png","screenshot")
</f>
        <v/>
      </c>
      <c r="D31" s="1" t="inlineStr">
        <is>
          <t xml:space="preserve">設定＞オーディオ＞将軍
</t>
        </is>
      </c>
      <c r="E31" s="1" t="inlineStr">
        <is>
          <t xml:space="preserve">将軍
</t>
        </is>
      </c>
      <c r="F31" s="1" t="inlineStr">
        <is>
          <t xml:space="preserve">一般
</t>
        </is>
      </c>
      <c r="G31" s="1" t="inlineStr">
        <is>
          <t xml:space="preserve">Generalを一律で将軍に訳したミスなので
</t>
        </is>
      </c>
      <c r="H31" s="1" t="inlineStr">
        <is>
          <t xml:space="preserve">1.0.3
</t>
        </is>
      </c>
      <c r="I31" s="1" t="inlineStr">
        <is>
          <t xml:space="preserve">なし
</t>
        </is>
      </c>
      <c r="J31" s="1" t="inlineStr">
        <is>
          <t xml:space="preserve">日本語改善MOD
Switch Languages
</t>
        </is>
      </c>
    </row>
    <row r="32" ht="240" customHeight="1">
      <c r="A32">
        <f>HYPERLINK("https://github.com/matanki-saito/vic3jpadvmod/issues/212",212)</f>
        <v/>
      </c>
      <c r="B32" s="1" t="inlineStr">
        <is>
          <t>【修正提案】Methods producing/using</t>
        </is>
      </c>
      <c r="C32" s="1">
        <f>HYPERLINK("https://user-images.githubusercontent.com/50406316/198888383-b5e1b3da-a8b6-4d6f-86bc-3f10bb63f755.png","screenshot")
=HYPERLINK("https://user-images.githubusercontent.com/50406316/198888395-9da51866-c52b-4875-8d54-2ce7862446a1.png","screenshot")
※該当箇所は折り畳みになっており、開くとこの場合はガラスを生産・使用する建造物のmethod一覧がずらっと出てくる
</f>
        <v/>
      </c>
      <c r="D32" s="1" t="inlineStr">
        <is>
          <t xml:space="preserve">商品の適用タブ
</t>
        </is>
      </c>
      <c r="E32" s="1" t="inlineStr">
        <is>
          <t xml:space="preserve">[Concept('concept_production_method', '$concept_production_methods$')]は、[GetPlayer.GetName]で[Goods.GetTextIcon][Nbsp][Goods.GetName]を生産しています
[Concept('concept_production_method', '$concept_production_methods$')]は、[GetPlayer.GetName]で[Goods.GetTextIcon][Nbsp][Goods.GetName]を使用しています
</t>
        </is>
      </c>
      <c r="F32" s="1" t="inlineStr">
        <is>
          <t xml:space="preserve">[GetPlayer.GetName]で[Goods.GetTextIcon][Nbsp][Goods.GetName]を生産する[Concept('concept_production_method', '$concept_production_methods$')]
[GetPlayer.GetName]で[Goods.GetTextIcon][Nbsp][Goods.GetName]を使用する[Concept('concept_production_method', '$concept_production_methods$')]
（スクショの例だと「プロイセンでガラスを生産する方式」「プロイセンでガラスを使用する方式」となる）
</t>
        </is>
      </c>
      <c r="G32" s="1" t="inlineStr">
        <is>
          <t xml:space="preserve">日本語として不自然で、意味が読み取りにくい訳文になっているため修正したい
</t>
        </is>
      </c>
      <c r="H32" s="1" t="inlineStr">
        <is>
          <t xml:space="preserve">1.0.3
</t>
        </is>
      </c>
      <c r="I32" s="1" t="inlineStr">
        <is>
          <t xml:space="preserve">なし
</t>
        </is>
      </c>
      <c r="J32" s="1" t="inlineStr">
        <is>
          <t xml:space="preserve">スクショでは和訳修正MODを入れており、製法→方式に改訳されているが、それ以外は影響がない
</t>
        </is>
      </c>
    </row>
    <row r="33" ht="90" customHeight="1">
      <c r="A33">
        <f>HYPERLINK("https://github.com/matanki-saito/vic3jpadvmod/issues/203",203)</f>
        <v/>
      </c>
      <c r="B33" s="1" t="inlineStr">
        <is>
          <t>【修正提案】戦闘画面の表記－戦闘の開始</t>
        </is>
      </c>
      <c r="C33" s="1">
        <f>HYPERLINK("https://user-images.githubusercontent.com/42710893/198871585-0e80abdf-8b76-4b83-9439-ef0a2f65c5d4.jpg","screenshot")
</f>
        <v/>
      </c>
      <c r="D33" s="1" t="inlineStr">
        <is>
          <t xml:space="preserve">戦闘画面
</t>
        </is>
      </c>
      <c r="E33" s="1" t="inlineStr">
        <is>
          <t xml:space="preserve">戦闘の開始
英語版ではStart of Battle
</t>
        </is>
      </c>
      <c r="F33" s="1" t="inlineStr">
        <is>
          <t xml:space="preserve">戦闘開始時
</t>
        </is>
      </c>
      <c r="G33" s="1" t="inlineStr">
        <is>
          <t xml:space="preserve">戦闘開始時点での兵力等を示している部分と思われるため。
</t>
        </is>
      </c>
      <c r="H33" s="1" t="inlineStr">
        <is>
          <t xml:space="preserve">1.0.3
</t>
        </is>
      </c>
      <c r="I33" s="1" t="inlineStr">
        <is>
          <t xml:space="preserve">なし
</t>
        </is>
      </c>
      <c r="J33" s="1" t="inlineStr">
        <is>
          <t xml:space="preserve">なし
</t>
        </is>
      </c>
    </row>
    <row r="34" ht="180" customHeight="1">
      <c r="A34">
        <f>HYPERLINK("https://github.com/matanki-saito/vic3jpadvmod/issues/198",198)</f>
        <v/>
      </c>
      <c r="B34" s="1" t="inlineStr">
        <is>
          <t>【修正提案】チュートリアルのジャーナル完了条件</t>
        </is>
      </c>
      <c r="C34" s="1">
        <f>HYPERLINK("https://user-images.githubusercontent.com/42710893/198867996-224726de-1cdd-4a74-b7ec-901bcb25f45c.jpg","screenshot")
</f>
        <v/>
      </c>
      <c r="D34" s="1" t="inlineStr">
        <is>
          <t xml:space="preserve">チュートリアルのジャーナルの完了条件
</t>
        </is>
      </c>
      <c r="E34" s="1" t="inlineStr">
        <is>
          <t xml:space="preserve">ケープ植民地にあるレベル3小麦畑(現在レベル2)
je_tutorial_expand_basic_building_goal:0 "[JournalEntry.GetTarget.GetBuilding.GetState.GetName]にあるレベル[JournalEntry.GetTotalGoalValue|v0] [JournalEntry.GetTarget.GetBuilding.GetName] (現在レベル[JournalEntry.CalcCurrentGoalValue|v0])"
</t>
        </is>
      </c>
      <c r="F34" s="1" t="inlineStr">
        <is>
          <t xml:space="preserve">ケープ植民地の小麦畑がレベル3である(現在レベル2)
ケープ植民地の小麦畑のレベルが3である(現在レベル2)
等
</t>
        </is>
      </c>
      <c r="G34" s="1" t="inlineStr">
        <is>
          <t xml:space="preserve">日本語として不自然なため。
</t>
        </is>
      </c>
      <c r="H34" s="1" t="inlineStr">
        <is>
          <t xml:space="preserve">（例）1.0.3
</t>
        </is>
      </c>
      <c r="I34" s="1" t="inlineStr">
        <is>
          <t xml:space="preserve">なし
</t>
        </is>
      </c>
      <c r="J34" s="1" t="inlineStr">
        <is>
          <t xml:space="preserve">なし
</t>
        </is>
      </c>
    </row>
    <row r="35" ht="495" customHeight="1">
      <c r="A35">
        <f>HYPERLINK("https://github.com/matanki-saito/vic3jpadvmod/issues/193",193)</f>
        <v/>
      </c>
      <c r="B35" s="1" t="inlineStr">
        <is>
          <t>条件文のパターン</t>
        </is>
      </c>
      <c r="C35" s="1">
        <f>HYPERLINK("https://user-images.githubusercontent.com/37979626/198847401-2f7282e3-9d94-4163-ae8d-3308408ab5d0.png","screenshot")
=HYPERLINK("https://user-images.githubusercontent.com/37979626/198847406-8e46f366-759d-4f7b-bcab-904415662521.png","screenshot")
=HYPERLINK("https://user-images.githubusercontent.com/37979626/198847384-8de43864-3d28-4c77-a90b-41217b88656f.png","screenshot")
</f>
        <v/>
      </c>
      <c r="D35" s="1" t="inlineStr">
        <is>
          <t xml:space="preserve">条件文
</t>
        </is>
      </c>
      <c r="E35" s="1" t="inlineStr">
        <is>
          <t xml:space="preserve">多すぎるので割愛
</t>
        </is>
      </c>
      <c r="F35" s="1" t="inlineStr">
        <is>
          <t xml:space="preserve">基本方針
・助詞は「が」を基本用いる（その方が主語がはっきりさせられる）
・コロンの後に条件となるものの名前や数値が表記されている場合は「次の」「以下の」を補う
・簡潔な表現を実現するために体言止めを基本使う（使えない箇所は「である」「ではない」で基本代用する）
①である or #bold ではない#!
　[concept_state]が[TARGET_CULTURE.GetName][concept_homeland]である
②がある or が#bold ない#!
　特性[STATE_TRAIT.GetName]がある
　次のゲームルールがある：$SETTING$
　[BuildingType.GetName]がある　←公式では「所有」を使っているが大抵、州にあるかないかを聞いているので「ある」で
③～中（済） or #bold 未～#!
　ローカルプレイヤーが操作中 or ローカルプレイヤーが#bold 未操作#!
　ゲームが開始済 or ゲームが#bold 未開始#!
　[BuildingType.GetName]が稼働中 or [BuildingType.GetName]が#bold 未稼働#!
　[COUNTRY.GetNameNoFlag]が[INSTITUTION_TYPE.GetName][concept_institution]を所有済 or [COUNTRY.GetNameNoFlag]が[INSTITUTION_TYPE.GetName][concept_institution]を#bold 未所有#!
</t>
        </is>
      </c>
      <c r="G35" s="1" t="inlineStr">
        <is>
          <t xml:space="preserve">条件文を端的に表現するため
</t>
        </is>
      </c>
      <c r="H35" s="1" t="inlineStr">
        <is>
          <t xml:space="preserve">1.0.2
</t>
        </is>
      </c>
      <c r="I35" s="1" t="inlineStr">
        <is>
          <t xml:space="preserve">なし
</t>
        </is>
      </c>
      <c r="J35" s="1" t="inlineStr">
        <is>
          <t xml:space="preserve">なし
</t>
        </is>
      </c>
    </row>
    <row r="36" ht="450" customHeight="1">
      <c r="A36">
        <f>HYPERLINK("https://github.com/matanki-saito/vic3jpadvmod/issues/189",189)</f>
        <v/>
      </c>
      <c r="B36" s="1" t="inlineStr">
        <is>
          <t>【修正提案】生産量の表記</t>
        </is>
      </c>
      <c r="C36" s="1" t="inlineStr">
        <is>
          <t xml:space="preserve">①現在の生産量・消費量・雇用数（施設全体）
=HYPERLINK("https://user-images.githubusercontent.com/37979626/198824932-070edf4c-1980-4dae-a3e0-b30a9e172ced.png","screenshot")
②現在の生産量・消費量・雇用数（レベル別）
=HYPERLINK("https://user-images.githubusercontent.com/37979626/198824940-b71e564a-f5a5-4e20-aac4-63c9115ba055.png","screenshot")
③変更時の生産量・消費量・雇用数変動数（施設全体）
=HYPERLINK("https://user-images.githubusercontent.com/37979626/198825001-3a628058-2427-4117-a314-8eea1ebdef53.png","screenshot")
④変更時の生産量・消費量・雇用数変動数（レベル別）
=HYPERLINK("https://user-images.githubusercontent.com/37979626/198825009-e30ad0d6-d9fc-4c2e-b1d6-b26fb12b77ef.png","screenshot")
</t>
        </is>
      </c>
      <c r="D36" s="1" t="inlineStr">
        <is>
          <t xml:space="preserve">施設ウィンドウの生産画面
</t>
        </is>
      </c>
      <c r="E36" s="1" t="inlineStr">
        <is>
          <t xml:space="preserve">'$TOTAL_CHANGE|=+D$合計（+○○ 合計）
'$TOTAL_DELTA|=+D$ 合計で$MORE_OR_LESS$（+○○ 合計でもっと）
'$PER_LEVEL_DELTA|=+D$$MORE_OR_LESS$/レベル（+○○ もっと/レベル）
</t>
        </is>
      </c>
      <c r="F36" s="1" t="inlineStr">
        <is>
          <t xml:space="preserve">合計で$TOTAL_CHANGE|=+D$（合計で+○○）
合計で$TOTAL_DELTA|=+D$$MORE_OR_LESS$します（合計で+○○増加します）
レベルごとに$PER_LEVEL_DELTA|=+D$$MORE_OR_LESS$します（レベルごとに+○○増加します）
</t>
        </is>
      </c>
      <c r="G36" s="1" t="inlineStr">
        <is>
          <t xml:space="preserve">自然な表現にするため
※スクショの「3州に」は別で修正予定
</t>
        </is>
      </c>
      <c r="H36" s="1" t="inlineStr">
        <is>
          <t xml:space="preserve">1.0.2
</t>
        </is>
      </c>
      <c r="I36" s="1" t="inlineStr">
        <is>
          <t xml:space="preserve">なし
</t>
        </is>
      </c>
      <c r="J36" s="1" t="inlineStr">
        <is>
          <t xml:space="preserve">なし
</t>
        </is>
      </c>
    </row>
    <row r="37" ht="135" customHeight="1">
      <c r="A37">
        <f>HYPERLINK("https://github.com/matanki-saito/vic3jpadvmod/issues/186",186)</f>
        <v/>
      </c>
      <c r="B37" s="1" t="inlineStr">
        <is>
          <t>政策画面＞公共施設タブで公共施設がない場合の文言「あなたには、Institutionをもたらす法律がありません。」</t>
        </is>
      </c>
      <c r="C37" s="1">
        <f>HYPERLINK("https://user-images.githubusercontent.com/29177147/198828126-763b854f-e187-4ea2-91dd-222553b67876.png","screenshot")
</f>
        <v/>
      </c>
      <c r="D37" s="1" t="inlineStr">
        <is>
          <t xml:space="preserve">政策ウィンドウ＞公共施設タブで、公共施設が皆無の場合
</t>
        </is>
      </c>
      <c r="E37" s="1" t="inlineStr">
        <is>
          <t xml:space="preserve">あなたには、Institutionをもたらす法律がありません。
参考：interfaces_l_japanese.yml
 INSTITUTION_EMPTY_STATE:0 "あなたには、[Concept('concept_institution', 'Institution')]をもたらす[Concept('concept_law', '$concept_laws$')]がありません。"
</t>
        </is>
      </c>
      <c r="F37" s="1" t="inlineStr">
        <is>
          <t xml:space="preserve">公共施設の設置に関する法律がありません。
参考：interfaces_l_japanese.yml
 INSTITUTION_EMPTY_STATE:0 "You have no [Concept('concept_law', '$concept_laws$')] providing any [Concept('concept_institution', 'Institutions')]"
</t>
        </is>
      </c>
      <c r="G37" s="1" t="inlineStr">
        <is>
          <t xml:space="preserve">変数がそのままなのと、「あなたには」が余分なため
蛇足：公共施設でなく行政機関の方がふさわしく思う
</t>
        </is>
      </c>
      <c r="H37" s="1" t="inlineStr">
        <is>
          <t xml:space="preserve">1.0.3
</t>
        </is>
      </c>
      <c r="I37" s="1" t="inlineStr">
        <is>
          <t xml:space="preserve">なし
</t>
        </is>
      </c>
      <c r="J37" s="1" t="inlineStr">
        <is>
          <t xml:space="preserve">なし
</t>
        </is>
      </c>
    </row>
    <row r="38" ht="90" customHeight="1">
      <c r="A38">
        <f>HYPERLINK("https://github.com/matanki-saito/vic3jpadvmod/issues/182",182)</f>
        <v/>
      </c>
      <c r="B38" s="1" t="inlineStr">
        <is>
          <t>【修正提案】予想最低額</t>
        </is>
      </c>
      <c r="C38" s="1">
        <f>HYPERLINK("https://user-images.githubusercontent.com/70930137/198825669-ef36dd7d-b83c-4505-9bb3-59d2592499d9.png","screenshot")
</f>
        <v/>
      </c>
      <c r="D38" s="1" t="inlineStr">
        <is>
          <t xml:space="preserve">州UIの情報タブのモディファイア
</t>
        </is>
      </c>
      <c r="E38" s="1" t="inlineStr">
        <is>
          <t xml:space="preserve">予想最低額
</t>
        </is>
      </c>
      <c r="F38" s="1" t="inlineStr">
        <is>
          <t xml:space="preserve">予想される最低値/期待値（最小）
</t>
        </is>
      </c>
      <c r="G38" s="1" t="inlineStr">
        <is>
          <t xml:space="preserve">最低額だと金額のことを指しているため
</t>
        </is>
      </c>
      <c r="H38" s="1" t="inlineStr">
        <is>
          <t xml:space="preserve">1.0.2
</t>
        </is>
      </c>
      <c r="I38" s="1" t="inlineStr">
        <is>
          <t xml:space="preserve">なし
</t>
        </is>
      </c>
      <c r="J38" s="1" t="inlineStr">
        <is>
          <t xml:space="preserve">なし
</t>
        </is>
      </c>
    </row>
    <row r="39" ht="240" customHeight="1">
      <c r="A39">
        <f>HYPERLINK("https://github.com/matanki-saito/vic3jpadvmod/issues/180",180)</f>
        <v/>
      </c>
      <c r="B39" s="1" t="inlineStr">
        <is>
          <t>【修正提案】ライバル宣言時の通知</t>
        </is>
      </c>
      <c r="C39" s="1">
        <f>HYPERLINK("https://user-images.githubusercontent.com/42710893/198824953-e667a43d-7c76-442a-ae84-78f2ff1c2b02.jpg","screenshot")
</f>
        <v/>
      </c>
      <c r="D39" s="1" t="inlineStr">
        <is>
          <t xml:space="preserve">ライバル宣言時の通知タイトル
</t>
        </is>
      </c>
      <c r="E39" s="1" t="inlineStr">
        <is>
          <t xml:space="preserve">"[INITIATOR_COUNTRY.GetAdjectiveNoFormatting]-[TARGET_COUNTRY.GetAdjectiveNoFormatting] [concept_rivalry]が宣言されました"
</t>
        </is>
      </c>
      <c r="F39" s="1" t="inlineStr">
        <is>
          <t xml:space="preserve">"[INITIATOR_COUNTRY.GetAdjectiveNoFormatting]-[TARGET_COUNTRY.GetAdjectiveNoFormatting]間の[concept_rivalry]宣言"
"[INITIATOR_COUNTRY.GetAdjectiveNoFormatting]-[TARGET_COUNTRY.GetAdjectiveNoFormatting]間の[concept_rivalry]関係が宣言されました"　でも良いがあまり長いと文字が見切れてしまう。タイトルであるし簡潔な表現の方が良い
また、他の方のissueにあったように[concept_rivalry]は競争ではなく、ライバルとするのが良い。
</t>
        </is>
      </c>
      <c r="G39" s="1" t="inlineStr">
        <is>
          <t xml:space="preserve">日本語として不自然なため。
</t>
        </is>
      </c>
      <c r="H39" s="1" t="inlineStr">
        <is>
          <t xml:space="preserve">1.0.3
</t>
        </is>
      </c>
      <c r="I39" s="1" t="inlineStr">
        <is>
          <t xml:space="preserve">なし
</t>
        </is>
      </c>
      <c r="J39" s="1" t="inlineStr">
        <is>
          <t xml:space="preserve">なし
</t>
        </is>
      </c>
    </row>
    <row r="40" ht="90" customHeight="1">
      <c r="A40">
        <f>HYPERLINK("https://github.com/matanki-saito/vic3jpadvmod/issues/173",173)</f>
        <v/>
      </c>
      <c r="B40" s="1" t="inlineStr">
        <is>
          <t>【修正提案】一部のインターフェイスで日付の「月」が重複している</t>
        </is>
      </c>
      <c r="C40" s="1">
        <f>HYPERLINK("https://user-images.githubusercontent.com/42687608/198824053-6c5124fa-dc84-4f08-b073-1612b4fef930.jpg","screenshot")
</f>
        <v/>
      </c>
      <c r="D40" s="1" t="inlineStr">
        <is>
          <t xml:space="preserve">グラフ下部の日付表示ほか多数。
</t>
        </is>
      </c>
      <c r="E40" s="1" t="inlineStr">
        <is>
          <t xml:space="preserve">◯◯年◯月月◯日
</t>
        </is>
      </c>
      <c r="F40" s="1" t="inlineStr">
        <is>
          <t xml:space="preserve">◯◯年◯月◯日
</t>
        </is>
      </c>
      <c r="G40" s="1" t="inlineStr">
        <is>
          <t xml:space="preserve">明白な誤り。
</t>
        </is>
      </c>
      <c r="H40" s="1" t="inlineStr">
        <is>
          <t xml:space="preserve">1.0.3
</t>
        </is>
      </c>
      <c r="I40" s="1" t="inlineStr">
        <is>
          <t xml:space="preserve">- Victoria II Remastered Soundtrack
- American Buildings Pack
</t>
        </is>
      </c>
      <c r="J40" s="1" t="inlineStr">
        <is>
          <t xml:space="preserve">なし
</t>
        </is>
      </c>
    </row>
    <row r="41" ht="180" customHeight="1">
      <c r="A41">
        <f>HYPERLINK("https://github.com/matanki-saito/vic3jpadvmod/issues/172",172)</f>
        <v/>
      </c>
      <c r="B41" s="1" t="inlineStr">
        <is>
          <t>【修正提案】残高　Balance</t>
        </is>
      </c>
      <c r="C41" s="1">
        <f>HYPERLINK("https://user-images.githubusercontent.com/37979626/198822880-06d20c1c-d1bc-4ab7-be5c-05520b3b4195.png","screenshot")
=HYPERLINK("https://user-images.githubusercontent.com/37979626/198823062-c539ad11-7e0e-4238-8375-8c33682a1336.png","screenshot")
</f>
        <v/>
      </c>
      <c r="D41" s="1" t="inlineStr">
        <is>
          <t xml:space="preserve">予算ウィンドウ
市場ウィンドウ
</t>
        </is>
      </c>
      <c r="E41" s="1" t="inlineStr">
        <is>
          <t xml:space="preserve">残高
コンセプトでは「バランス」
</t>
        </is>
      </c>
      <c r="F41" s="1" t="inlineStr">
        <is>
          <t xml:space="preserve">収支
</t>
        </is>
      </c>
      <c r="G41" s="1" t="inlineStr">
        <is>
          <t xml:space="preserve">両方ともに誤訳
</t>
        </is>
      </c>
      <c r="H41" s="1" t="inlineStr">
        <is>
          <t xml:space="preserve">1.0.2
</t>
        </is>
      </c>
      <c r="I41" s="1" t="inlineStr">
        <is>
          <t xml:space="preserve">なし
</t>
        </is>
      </c>
      <c r="J41" s="1" t="inlineStr">
        <is>
          <t xml:space="preserve">なし
</t>
        </is>
      </c>
    </row>
    <row r="42" ht="180" customHeight="1">
      <c r="A42">
        <f>HYPERLINK("https://github.com/matanki-saito/vic3jpadvmod/issues/169",169)</f>
        <v/>
      </c>
      <c r="B42" s="1" t="inlineStr">
        <is>
          <t>【修正提案】世界の#1</t>
        </is>
      </c>
      <c r="C42" s="1">
        <f>HYPERLINK("https://user-images.githubusercontent.com/37979626/198821152-aaacb178-c4b0-463f-b5fc-53a8bba5e4ee.png","screenshot")
</f>
        <v/>
      </c>
      <c r="D42" s="1" t="inlineStr">
        <is>
          <t xml:space="preserve">施設ウィンドウ
</t>
        </is>
      </c>
      <c r="E42" s="1" t="inlineStr">
        <is>
          <t xml:space="preserve">英語
</t>
        </is>
      </c>
      <c r="F42" s="1" t="inlineStr">
        <is>
          <t xml:space="preserve">[Building.GetBuildingType.GetNameNoFormatting] [Building.GetProfitabilityCompareIconInType] 第[Building.GetProfitabilityRankInType|v]位の[Building.GetBuildingType.GetNameNoFormatting]
世界 [Building.GetProfitabilityCompareIcon] 第[Building.GetProfitabilityRank|v]位
</t>
        </is>
      </c>
      <c r="G42" s="1" t="inlineStr">
        <is>
          <t xml:space="preserve">上と下で何が違うのか分かりにくいため
</t>
        </is>
      </c>
      <c r="H42" s="1" t="inlineStr">
        <is>
          <t xml:space="preserve">1.0.2
</t>
        </is>
      </c>
      <c r="I42" s="1" t="inlineStr">
        <is>
          <t xml:space="preserve">なし
</t>
        </is>
      </c>
      <c r="J42" s="1" t="inlineStr">
        <is>
          <t xml:space="preserve">なし
</t>
        </is>
      </c>
    </row>
    <row r="43" ht="90" customHeight="1">
      <c r="A43">
        <f>HYPERLINK("https://github.com/matanki-saito/vic3jpadvmod/issues/168",168)</f>
        <v/>
      </c>
      <c r="B43" s="1" t="inlineStr">
        <is>
          <t>【修正提案】テキストアイコンの直後の半角スペースで改行される</t>
        </is>
      </c>
      <c r="C43" s="1">
        <f>HYPERLINK("https://user-images.githubusercontent.com/42687608/198821816-73d5f5d5-fb6f-4721-b122-21977aab6dbf.png","screenshot")
</f>
        <v/>
      </c>
      <c r="D43" s="1" t="inlineStr">
        <is>
          <t xml:space="preserve">国名、利益団体名などにはデフォルトでアイコンがつき、その直後に半角スペースが挿入されるため、そこで意図しない改行が発生している。
</t>
        </is>
      </c>
      <c r="E43" s="1" t="inlineStr">
        <is>
          <t xml:space="preserve">スクリーンショットを参照。
</t>
        </is>
      </c>
      <c r="F43" s="1" t="inlineStr">
        <is>
          <t xml:space="preserve">cutomized_tooltips_l_japanese.ymlで半角スペースを定義していることを特定したので、これをノンブレークスペースに置き換える。
</t>
        </is>
      </c>
      <c r="G43" s="1" t="inlineStr">
        <is>
          <t xml:space="preserve">半角スペースで意図せぬ改行が発生するため。
</t>
        </is>
      </c>
      <c r="H43" s="1" t="inlineStr">
        <is>
          <t xml:space="preserve">1.0.3
</t>
        </is>
      </c>
      <c r="I43" s="1" t="inlineStr">
        <is>
          <t xml:space="preserve">- Victoria II Remastered Soundtrack
- American Buildings Pack
</t>
        </is>
      </c>
      <c r="J43" s="1" t="inlineStr">
        <is>
          <t xml:space="preserve">なし
</t>
        </is>
      </c>
    </row>
    <row r="44" ht="90" customHeight="1">
      <c r="A44">
        <f>HYPERLINK("https://github.com/matanki-saito/vic3jpadvmod/issues/165",165)</f>
        <v/>
      </c>
      <c r="B44" s="1" t="inlineStr">
        <is>
          <t>【修正提案】○○での施設</t>
        </is>
      </c>
      <c r="C44" s="1">
        <f>HYPERLINK("https://user-images.githubusercontent.com/37979626/198820988-e5843c79-be43-4dfa-8957-d5eeac0c4079.png","screenshot")
</f>
        <v/>
      </c>
      <c r="D44" s="1" t="inlineStr">
        <is>
          <t xml:space="preserve">施設ウィンドウ
</t>
        </is>
      </c>
      <c r="E44" s="1" t="inlineStr">
        <is>
          <t xml:space="preserve">[地名]での施設
</t>
        </is>
      </c>
      <c r="F44" s="1" t="inlineStr">
        <is>
          <t xml:space="preserve">[地名]の施設
</t>
        </is>
      </c>
      <c r="G44" s="1" t="inlineStr">
        <is>
          <t xml:space="preserve">わざわざ「での」にする必要はない（そもそも日本語表現的に微妙）
</t>
        </is>
      </c>
      <c r="H44" s="1" t="inlineStr">
        <is>
          <t xml:space="preserve">1.0.2
</t>
        </is>
      </c>
      <c r="I44" s="1" t="inlineStr">
        <is>
          <t xml:space="preserve">なし
</t>
        </is>
      </c>
      <c r="J44" s="1" t="inlineStr">
        <is>
          <t xml:space="preserve">なし
</t>
        </is>
      </c>
    </row>
    <row r="45" ht="90" customHeight="1">
      <c r="A45">
        <f>HYPERLINK("https://github.com/matanki-saito/vic3jpadvmod/issues/162",162)</f>
        <v/>
      </c>
      <c r="B45" s="1" t="inlineStr">
        <is>
          <t>【バグ修正】○○年○○月月○○日</t>
        </is>
      </c>
      <c r="C45" s="1">
        <f>HYPERLINK("https://user-images.githubusercontent.com/29382778/198820450-b9045176-28e8-4df5-9103-5691a3b35dc8.png","screenshot")
</f>
        <v/>
      </c>
      <c r="D45" s="1" t="inlineStr">
        <is>
          <t xml:space="preserve">グラフ下部に表示される年月日
</t>
        </is>
      </c>
      <c r="E45" s="1" t="inlineStr">
        <is>
          <t xml:space="preserve">○○年○○月月○○日
</t>
        </is>
      </c>
      <c r="F45" s="1" t="inlineStr">
        <is>
          <t xml:space="preserve">○○年○○月○○日
</t>
        </is>
      </c>
      <c r="G45" s="1" t="inlineStr">
        <is>
          <t xml:space="preserve">「月」が二つ表示されている
</t>
        </is>
      </c>
      <c r="H45" s="1" t="inlineStr">
        <is>
          <t xml:space="preserve">1.0.3
</t>
        </is>
      </c>
      <c r="I45" s="1" t="inlineStr">
        <is>
          <t xml:space="preserve">なし
</t>
        </is>
      </c>
      <c r="J45" s="1" t="inlineStr">
        <is>
          <t xml:space="preserve">なし
</t>
        </is>
      </c>
    </row>
    <row r="46" ht="90" customHeight="1">
      <c r="A46">
        <f>HYPERLINK("https://github.com/matanki-saito/vic3jpadvmod/issues/160",160)</f>
        <v/>
      </c>
      <c r="B46" s="1" t="inlineStr">
        <is>
          <t>【修正提案】軍艦の名称表記</t>
        </is>
      </c>
      <c r="C46" s="1">
        <f>HYPERLINK("https://user-images.githubusercontent.com/37979626/198820109-a1f089a6-02fc-4def-b996-856c10b7d149.png","screenshot")
</f>
        <v/>
      </c>
      <c r="D46" s="1" t="inlineStr">
        <is>
          <t xml:space="preserve">軍事ウィンドウの海軍タブ
海軍基地ウィンドウの情報タブ
</t>
        </is>
      </c>
      <c r="E46" s="1" t="inlineStr">
        <is>
          <t xml:space="preserve">[艦名] [艦種]
</t>
        </is>
      </c>
      <c r="F46" s="1" t="inlineStr">
        <is>
          <t xml:space="preserve">[艦種] [艦名]
</t>
        </is>
      </c>
      <c r="G46" s="1" t="inlineStr">
        <is>
          <t xml:space="preserve">軍艦の名称については艦種・艦名の順で表記するのが一般的
間の空白は一応残すが、イベントなどで引用されるようであれば改行防止のため、消すことも検討すべきか
</t>
        </is>
      </c>
      <c r="H46" s="1" t="inlineStr">
        <is>
          <t xml:space="preserve">1.0.2
</t>
        </is>
      </c>
      <c r="I46" s="1" t="inlineStr">
        <is>
          <t xml:space="preserve">なし
</t>
        </is>
      </c>
      <c r="J46" s="1" t="inlineStr">
        <is>
          <t xml:space="preserve">なし
</t>
        </is>
      </c>
    </row>
    <row r="47" ht="90" customHeight="1">
      <c r="A47">
        <f>HYPERLINK("https://github.com/matanki-saito/vic3jpadvmod/issues/148",148)</f>
        <v/>
      </c>
      <c r="B47" s="1" t="inlineStr">
        <is>
          <t>【修正提案】ゲームルール画面説明文の文体</t>
        </is>
      </c>
      <c r="C47" s="1">
        <f>HYPERLINK("https://user-images.githubusercontent.com/42710893/198817531-c7727529-460c-41de-af77-1d9fd6d2005a.jpg","screenshot")
</f>
        <v/>
      </c>
      <c r="D47" s="1" t="inlineStr">
        <is>
          <t xml:space="preserve">ゲームルール画面
</t>
        </is>
      </c>
      <c r="E47" s="1" t="inlineStr">
        <is>
          <t xml:space="preserve">形成可能な国、解放可能な国の説明文
</t>
        </is>
      </c>
      <c r="F47" s="1" t="inlineStr">
        <is>
          <t xml:space="preserve">ですます調に
</t>
        </is>
      </c>
      <c r="G47" s="1" t="inlineStr">
        <is>
          <t xml:space="preserve">この2つのルールの説明だけ、ですます調になっていないので統一するべき。
</t>
        </is>
      </c>
      <c r="H47" s="1" t="inlineStr">
        <is>
          <t xml:space="preserve">1.0.3
</t>
        </is>
      </c>
      <c r="I47" s="1" t="inlineStr">
        <is>
          <t xml:space="preserve">なし
</t>
        </is>
      </c>
      <c r="J47" s="1" t="inlineStr">
        <is>
          <t xml:space="preserve">なし
</t>
        </is>
      </c>
    </row>
    <row r="48" ht="90" customHeight="1">
      <c r="A48">
        <f>HYPERLINK("https://github.com/matanki-saito/vic3jpadvmod/issues/144",144)</f>
        <v/>
      </c>
      <c r="B48" s="1" t="inlineStr">
        <is>
          <t>【修正提案】技術ツリーの生産量（Production）</t>
        </is>
      </c>
      <c r="C48" s="1">
        <f>HYPERLINK("https://user-images.githubusercontent.com/42687608/198817132-47f9c3f6-a270-4b22-8457-fcb973b9a2bc.jpg","screenshot")
</f>
        <v/>
      </c>
      <c r="D48" s="1" t="inlineStr">
        <is>
          <t xml:space="preserve">技術ツリーのカテゴリータブ
</t>
        </is>
      </c>
      <c r="E48" s="1" t="inlineStr">
        <is>
          <t xml:space="preserve">生産量
</t>
        </is>
      </c>
      <c r="F48" s="1" t="inlineStr">
        <is>
          <t xml:space="preserve">生産
</t>
        </is>
      </c>
      <c r="G48" s="1" t="inlineStr">
        <is>
          <t xml:space="preserve">誤訳（原文はProduction）
このインターフェイス以外のProductionを誤って修正しないように注意。
キーはproduction
</t>
        </is>
      </c>
      <c r="H48" s="1" t="inlineStr">
        <is>
          <t xml:space="preserve">1.0.3
</t>
        </is>
      </c>
      <c r="I48" s="1" t="inlineStr">
        <is>
          <t xml:space="preserve">- Victoria II Remastered Soundtrack
- American Buildings Pack
</t>
        </is>
      </c>
      <c r="J48" s="1" t="inlineStr">
        <is>
          <t xml:space="preserve">なし
</t>
        </is>
      </c>
    </row>
    <row r="49" ht="165" customHeight="1">
      <c r="A49">
        <f>HYPERLINK("https://github.com/matanki-saito/vic3jpadvmod/issues/143",143)</f>
        <v/>
      </c>
      <c r="B49" s="1" t="inlineStr">
        <is>
          <t>【誤訳訂正】各商品画面＞適用タブ中の「製法は（国名）で（商品名）を使用しています」</t>
        </is>
      </c>
      <c r="C49" s="1">
        <f>HYPERLINK("https://user-images.githubusercontent.com/29177147/198815824-02044414-48be-4be7-9518-f4b4b6d7655e.png","screenshot")
</f>
        <v/>
      </c>
      <c r="D49" s="1" t="inlineStr">
        <is>
          <t xml:space="preserve">各商品＞適用タブ＞使用者の項目
</t>
        </is>
      </c>
      <c r="E49" s="1" t="inlineStr">
        <is>
          <t xml:space="preserve">製法は（国名）で（商品名）を使用しています
</t>
        </is>
      </c>
      <c r="F49" s="1" t="inlineStr">
        <is>
          <t xml:space="preserve">（国名）で（商品名）を使用中の製法
ないし
（国名）で（商品名）を使用している製法
</t>
        </is>
      </c>
      <c r="G49" s="1" t="inlineStr">
        <is>
          <t xml:space="preserve">現訳が誤訳のため。
元訳では、分詞構文で文中の「製法」を後置修飾する形になっているので。
※参考（元訳）：
 ACTIVE_PRODUCTION_METHODS_CONSUMING:1 "[Concept('concept_production_method', '$concept_production_methods$')] using [Goods.GetTextIcon][Nbsp][Goods.GetName] in [GetPlayer.GetName]"
</t>
        </is>
      </c>
      <c r="H49" s="1" t="inlineStr">
        <is>
          <t xml:space="preserve">1.0.3
</t>
        </is>
      </c>
      <c r="I49" s="1" t="inlineStr">
        <is>
          <t xml:space="preserve">なし
</t>
        </is>
      </c>
      <c r="J49" s="1" t="inlineStr">
        <is>
          <t xml:space="preserve">なし
</t>
        </is>
      </c>
    </row>
    <row r="50" ht="150" customHeight="1">
      <c r="A50">
        <f>HYPERLINK("https://github.com/matanki-saito/vic3jpadvmod/issues/142",142)</f>
        <v/>
      </c>
      <c r="B50" s="1" t="inlineStr">
        <is>
          <t>【誤訳訂正】各商品画面＞適用タブ中の「製法は（国名）で（商品名）を生産しています」</t>
        </is>
      </c>
      <c r="C50" s="1">
        <f>HYPERLINK("https://user-images.githubusercontent.com/29177147/198815824-02044414-48be-4be7-9518-f4b4b6d7655e.png","screenshot")
</f>
        <v/>
      </c>
      <c r="D50" s="1" t="inlineStr">
        <is>
          <t xml:space="preserve">各商品＞適用タブ＞生産者の項目
</t>
        </is>
      </c>
      <c r="E50" s="1" t="inlineStr">
        <is>
          <t xml:space="preserve">製法は（国名）で（商品名）を生産しています
</t>
        </is>
      </c>
      <c r="F50" s="1" t="inlineStr">
        <is>
          <t xml:space="preserve">（国名）で（商品名）を生産中の製法
ないし
（国名）で（商品名）を生産している製法
</t>
        </is>
      </c>
      <c r="G50" s="1" t="inlineStr">
        <is>
          <t xml:space="preserve">現訳が誤訳のため。
元訳では、分詞構文で文中の「製法」を後置修飾する形になっているので。
※参考（元訳）：
"[Concept('concept_production_method', '$concept_production_methods$')] producing [Goods.GetTextIcon][Nbsp][Goods.GetName] in [GetPlayer.GetName]"
</t>
        </is>
      </c>
      <c r="H50" s="1" t="inlineStr">
        <is>
          <t xml:space="preserve">1.0.3
</t>
        </is>
      </c>
      <c r="I50" s="1" t="inlineStr">
        <is>
          <t xml:space="preserve">なし
</t>
        </is>
      </c>
      <c r="J50" s="1" t="inlineStr">
        <is>
          <t xml:space="preserve">なし
</t>
        </is>
      </c>
    </row>
    <row r="51" ht="90" customHeight="1">
      <c r="A51">
        <f>HYPERLINK("https://github.com/matanki-saito/vic3jpadvmod/issues/120",120)</f>
        <v/>
      </c>
      <c r="B51" s="1" t="inlineStr">
        <is>
          <t>【修正提案】外交画面/臣下の開放</t>
        </is>
      </c>
      <c r="C51" s="1">
        <f>HYPERLINK("https://user-images.githubusercontent.com/116886486/198577302-fa508cef-d2e8-45aa-94c2-7225794a01b0.png","screenshot")
</f>
        <v/>
      </c>
      <c r="D51" s="1" t="inlineStr">
        <is>
          <t xml:space="preserve">臣下(subject)の開放
</t>
        </is>
      </c>
      <c r="E51" s="1" t="inlineStr">
        <is>
          <t xml:space="preserve">蝦夷を(subject)国として日本幕府に開放
</t>
        </is>
      </c>
      <c r="F51" s="1" t="inlineStr">
        <is>
          <t xml:space="preserve">蝦夷を(subject)国として日本幕府から開放
</t>
        </is>
      </c>
      <c r="G51" s="1" t="inlineStr">
        <is>
          <t xml:space="preserve">文章が不自然である為。
</t>
        </is>
      </c>
      <c r="H51" s="1" t="inlineStr">
        <is>
          <t xml:space="preserve">1.0.3
</t>
        </is>
      </c>
      <c r="I51" s="1" t="inlineStr">
        <is>
          <t xml:space="preserve">Victoria 3 Grand Editionに同梱されているもの。
</t>
        </is>
      </c>
      <c r="J51" s="1" t="inlineStr">
        <is>
          <t xml:space="preserve">なし
</t>
        </is>
      </c>
    </row>
    <row r="52" ht="90" customHeight="1">
      <c r="A52">
        <f>HYPERLINK("https://github.com/matanki-saito/vic3jpadvmod/issues/118",118)</f>
        <v/>
      </c>
      <c r="B52" s="1" t="inlineStr">
        <is>
          <t>【修正提案】法律に対する支持・不支持の説明</t>
        </is>
      </c>
      <c r="C52" s="1">
        <f>HYPERLINK("https://user-images.githubusercontent.com/42710893/198550520-fb169e13-795a-42aa-bdac-dccf07828567.jpg","screenshot")
</f>
        <v/>
      </c>
      <c r="D52" s="1" t="inlineStr">
        <is>
          <t xml:space="preserve">法律に対する支持・不支持の説明文
</t>
        </is>
      </c>
      <c r="E52" s="1" t="inlineStr">
        <is>
          <t xml:space="preserve">concept_opposition:0 "対立"
concept_oppose:0 "対立"
IG_DISAPPROVES_OF_LAW_CHANGE:1 
</t>
        </is>
      </c>
      <c r="F52" s="1" t="inlineStr">
        <is>
          <t xml:space="preserve">・IG_DISAPPROVES_OF_LAW_CHANGE:1の中にある`$concept_oppose$`が「対立」と訳されているのを「反対」に変更
・「…はこの変更を」の部分を「…はこの変更**に**」に変更
</t>
        </is>
      </c>
      <c r="G52" s="1" t="inlineStr">
        <is>
          <t xml:space="preserve">日本語として不自然なため
</t>
        </is>
      </c>
      <c r="H52" s="1" t="inlineStr">
        <is>
          <t xml:space="preserve">1.0.3
</t>
        </is>
      </c>
      <c r="I52" s="1" t="inlineStr">
        <is>
          <t xml:space="preserve">なし
</t>
        </is>
      </c>
      <c r="J52" s="1" t="inlineStr">
        <is>
          <t xml:space="preserve">なし
</t>
        </is>
      </c>
    </row>
    <row r="53" ht="90" customHeight="1">
      <c r="A53">
        <f>HYPERLINK("https://github.com/matanki-saito/vic3jpadvmod/issues/96",96)</f>
        <v/>
      </c>
      <c r="B53" s="1" t="inlineStr">
        <is>
          <t>【未訳】queued</t>
        </is>
      </c>
      <c r="C53" s="1">
        <f>HYPERLINK("https://user-images.githubusercontent.com/29382778/198356007-003cbebe-da1d-47ae-bf44-0ca1b7d35bac.png","screenshot")
</f>
        <v/>
      </c>
      <c r="D53" s="1" t="inlineStr">
        <is>
          <t xml:space="preserve">queued
</t>
        </is>
      </c>
      <c r="E53" s="1" t="inlineStr">
        <is>
          <t xml:space="preserve">queued
</t>
        </is>
      </c>
      <c r="F53" s="1" t="inlineStr">
        <is>
          <t xml:space="preserve">予約済み
</t>
        </is>
      </c>
      <c r="G53" s="1" t="inlineStr">
        <is>
          <t xml:space="preserve">未訳のため。
</t>
        </is>
      </c>
      <c r="H53" s="1" t="inlineStr">
        <is>
          <t xml:space="preserve">1.0.3
</t>
        </is>
      </c>
      <c r="I53" s="1" t="inlineStr">
        <is>
          <t xml:space="preserve">Grand Edition
</t>
        </is>
      </c>
      <c r="J53" s="1" t="inlineStr">
        <is>
          <t xml:space="preserve">フォント置き換えMOD
</t>
        </is>
      </c>
    </row>
    <row r="54" ht="120" customHeight="1">
      <c r="A54">
        <f>HYPERLINK("https://github.com/matanki-saito/vic3jpadvmod/issues/83",83)</f>
        <v/>
      </c>
      <c r="B54" s="1" t="inlineStr">
        <is>
          <t>アラート→貿易ルートに護衛が必要　の内容の修正</t>
        </is>
      </c>
      <c r="C54" s="1">
        <f>HYPERLINK("https://user-images.githubusercontent.com/54560025/198290930-e2b7709a-74b2-4753-aafb-43f9995e9981.png","screenshot")
</f>
        <v/>
      </c>
      <c r="D54" s="1" t="inlineStr">
        <is>
          <t xml:space="preserve">現在の状況(アラート)→貿易ルートに護衛が必要　の内容
</t>
        </is>
      </c>
      <c r="E54" s="1" t="inlineStr">
        <is>
          <t xml:space="preserve">貿易ルート スペイン市場へ〈アイコン〉鉄を輸出していますのレベルを上げるには追加護衛が必要です
</t>
        </is>
      </c>
      <c r="F54" s="1" t="inlineStr">
        <is>
          <t xml:space="preserve">貿易ルート スペイン市場への〈アイコン〉鉄の輸出のレベルを上げるには追加の護衛が必要です
([concept_trade_route] [SCOPE.GetRootScope.GetTradeRoute.GetDescriptionForActingMarket]のレベルを上げるには追加の[concept_convoys]が必要です)
</t>
        </is>
      </c>
      <c r="G54" s="1" t="inlineStr">
        <is>
          <t xml:space="preserve">誤訳の修正。参照先の修正も必要。
</t>
        </is>
      </c>
      <c r="H54" s="1" t="inlineStr">
        <is>
          <t xml:space="preserve">1.0.3
</t>
        </is>
      </c>
      <c r="I54" s="1" t="inlineStr">
        <is>
          <t xml:space="preserve">なし
</t>
        </is>
      </c>
      <c r="J54" s="1" t="inlineStr">
        <is>
          <t xml:space="preserve">なし
</t>
        </is>
      </c>
    </row>
    <row r="55" ht="90" customHeight="1">
      <c r="A55">
        <f>HYPERLINK("https://github.com/matanki-saito/vic3jpadvmod/issues/81",81)</f>
        <v/>
      </c>
      <c r="B55" s="1" t="inlineStr">
        <is>
          <t>【修正提案】州画面概要タブ、インフラ等の使用状況</t>
        </is>
      </c>
      <c r="C55" s="1">
        <f>HYPERLINK("https://user-images.githubusercontent.com/42710893/198284219-f13fef98-96b3-4d95-91ad-4d348012939c.jpg","screenshot")
</f>
        <v/>
      </c>
      <c r="D55" s="1" t="inlineStr">
        <is>
          <t xml:space="preserve">州画面の概要タブ
</t>
        </is>
      </c>
      <c r="E55" s="1" t="inlineStr">
        <is>
          <t xml:space="preserve">2の2を使用中です
</t>
        </is>
      </c>
      <c r="F55" s="1" t="inlineStr">
        <is>
          <t xml:space="preserve">2のうち2を使用中です　等
</t>
        </is>
      </c>
      <c r="G55" s="1" t="inlineStr">
        <is>
          <t xml:space="preserve">日本語として不自然なため。
</t>
        </is>
      </c>
      <c r="H55" s="1" t="inlineStr">
        <is>
          <t xml:space="preserve">1.0.3
</t>
        </is>
      </c>
      <c r="I55" s="1" t="inlineStr">
        <is>
          <t xml:space="preserve">なし
</t>
        </is>
      </c>
      <c r="J55" s="1" t="inlineStr">
        <is>
          <t xml:space="preserve">なし
</t>
        </is>
      </c>
    </row>
    <row r="56" ht="90" customHeight="1">
      <c r="A56">
        <f>HYPERLINK("https://github.com/matanki-saito/vic3jpadvmod/issues/79",79)</f>
        <v/>
      </c>
      <c r="B56" s="1" t="inlineStr">
        <is>
          <t>【修正提案】動員確認画面</t>
        </is>
      </c>
      <c r="C56" s="1">
        <f>HYPERLINK("https://user-images.githubusercontent.com/42710893/198281940-3af70fce-fe0d-4cd9-8fb6-16f5a6ac61e9.jpg","screenshot")
</f>
        <v/>
      </c>
      <c r="D56" s="1" t="inlineStr">
        <is>
          <t xml:space="preserve">動員確認画面
</t>
        </is>
      </c>
      <c r="E56" s="1" t="inlineStr">
        <is>
          <t xml:space="preserve">・これは動員3将軍です
・現在、0将軍はすでに動員です
・現在の戦争がすべて集結するまで…
</t>
        </is>
      </c>
      <c r="F56" s="1" t="inlineStr">
        <is>
          <t xml:space="preserve">・これは動員**可能な**3将軍です
・現在、0将軍**が**すでに**動員済み**です
・現在の戦争がすべて**終結**するまで…
</t>
        </is>
      </c>
      <c r="G56" s="1" t="inlineStr">
        <is>
          <t xml:space="preserve">日本語として不自然なため、及び誤字の修正
</t>
        </is>
      </c>
      <c r="H56" s="1" t="inlineStr">
        <is>
          <t xml:space="preserve">1.0.3
</t>
        </is>
      </c>
      <c r="I56" s="1" t="inlineStr">
        <is>
          <t xml:space="preserve">なし
</t>
        </is>
      </c>
      <c r="J56" s="1" t="inlineStr">
        <is>
          <t xml:space="preserve">なし
</t>
        </is>
      </c>
    </row>
    <row r="57" ht="90" customHeight="1">
      <c r="A57">
        <f>HYPERLINK("https://github.com/matanki-saito/vic3jpadvmod/issues/62",62)</f>
        <v/>
      </c>
      <c r="B57" s="1" t="inlineStr">
        <is>
          <t>【修正提案】軍事画面の動員済み表記</t>
        </is>
      </c>
      <c r="C57" s="1">
        <f>HYPERLINK("https://user-images.githubusercontent.com/42710893/198192163-59c75c90-46dd-489a-bea3-706f1240dab7.jpg","screenshot")
</f>
        <v/>
      </c>
      <c r="D57" s="1" t="inlineStr">
        <is>
          <t xml:space="preserve">軍事画面
</t>
        </is>
      </c>
      <c r="E57" s="1" t="inlineStr">
        <is>
          <t xml:space="preserve">動員された
</t>
        </is>
      </c>
      <c r="F57" s="1" t="inlineStr">
        <is>
          <t xml:space="preserve">動員済み　等
</t>
        </is>
      </c>
      <c r="G57" s="1" t="inlineStr">
        <is>
          <t xml:space="preserve">英語版では
Mobilized @battalions![Country.GetBattalionsFullyMobilized|v0]/[Country.GetBattalionsWithGeneralRaw]
動員済み、等としたほうが日本語として自然かと思います。
</t>
        </is>
      </c>
      <c r="H57" s="1" t="inlineStr">
        <is>
          <t xml:space="preserve">1.0.3
</t>
        </is>
      </c>
      <c r="I57" s="1" t="inlineStr">
        <is>
          <t xml:space="preserve">なし
</t>
        </is>
      </c>
      <c r="J57" s="1" t="inlineStr">
        <is>
          <t xml:space="preserve">なし
</t>
        </is>
      </c>
    </row>
    <row r="58" ht="90" customHeight="1">
      <c r="A58">
        <f>HYPERLINK("https://github.com/matanki-saito/vic3jpadvmod/issues/61",61)</f>
        <v/>
      </c>
      <c r="B58" s="1" t="inlineStr">
        <is>
          <t>【修正提案】戦争概要画面のタブ</t>
        </is>
      </c>
      <c r="C58" s="1">
        <f>HYPERLINK("https://user-images.githubusercontent.com/42710893/198191045-b509fd09-40be-45c4-9aa9-809d7af3ba0d.jpg","screenshot")
</f>
        <v/>
      </c>
      <c r="D58" s="1" t="inlineStr">
        <is>
          <t xml:space="preserve">戦争概要画面のタブ
</t>
        </is>
      </c>
      <c r="E58" s="1" t="inlineStr">
        <is>
          <t xml:space="preserve">平和にする
</t>
        </is>
      </c>
      <c r="F58" s="1" t="inlineStr">
        <is>
          <t xml:space="preserve">英語版ではMake Peaceですが
タブの内容は和平協定に関する内容なので
和平協定 or 和平交渉で良いのではないかと思います。
</t>
        </is>
      </c>
      <c r="G58" s="1" t="inlineStr">
        <is>
          <t xml:space="preserve">平和にするでは意味がわかりにくい。
</t>
        </is>
      </c>
      <c r="H58" s="1" t="inlineStr">
        <is>
          <t xml:space="preserve">1.0.3
</t>
        </is>
      </c>
      <c r="I58" s="1" t="inlineStr">
        <is>
          <t xml:space="preserve">なし
</t>
        </is>
      </c>
      <c r="J58" s="1" t="inlineStr">
        <is>
          <t xml:space="preserve">なし
</t>
        </is>
      </c>
    </row>
    <row r="59" ht="90" customHeight="1">
      <c r="A59">
        <f>HYPERLINK("https://github.com/matanki-saito/vic3jpadvmod/issues/55",55)</f>
        <v/>
      </c>
      <c r="B59" s="1" t="inlineStr">
        <is>
          <t>【typo】チュートリアル説明文</t>
        </is>
      </c>
      <c r="C59" s="1">
        <f>HYPERLINK("https://user-images.githubusercontent.com/42710893/198162339-025d4266-39ae-4108-906c-6692fbc2118a.jpg","screenshot")
</f>
        <v/>
      </c>
      <c r="D59" s="1" t="inlineStr">
        <is>
          <t xml:space="preserve">チュートリアル説明文（非生産施設の収益を改善する4/9）
</t>
        </is>
      </c>
      <c r="E59" s="1" t="inlineStr">
        <is>
          <t xml:space="preserve">下段2行目
「…貿易ルートを自由に確率して…」
</t>
        </is>
      </c>
      <c r="F59" s="1" t="inlineStr">
        <is>
          <t xml:space="preserve">「…貿易ルートを自由に確立して…」
</t>
        </is>
      </c>
      <c r="G59" s="1" t="inlineStr">
        <is>
          <t xml:space="preserve">誤字
</t>
        </is>
      </c>
      <c r="H59" s="1" t="inlineStr">
        <is>
          <t xml:space="preserve">1.0.3
</t>
        </is>
      </c>
      <c r="I59" s="1" t="inlineStr">
        <is>
          <t xml:space="preserve">なし
</t>
        </is>
      </c>
      <c r="J59" s="1" t="inlineStr">
        <is>
          <t xml:space="preserve">なし
</t>
        </is>
      </c>
    </row>
    <row r="60" ht="90" customHeight="1">
      <c r="A60">
        <f>HYPERLINK("https://github.com/matanki-saito/vic3jpadvmod/issues/40",40)</f>
        <v/>
      </c>
      <c r="B60" s="1" t="inlineStr">
        <is>
          <t>【修正提案】外交画面タブ</t>
        </is>
      </c>
      <c r="C60" s="1">
        <f>HYPERLINK("https://user-images.githubusercontent.com/42710893/198051659-5546fbea-f6ef-440f-9ddf-983ec156aee3.jpg","screenshot")
</f>
        <v/>
      </c>
      <c r="D60" s="1" t="inlineStr">
        <is>
          <t xml:space="preserve">外交画面タブ
</t>
        </is>
      </c>
      <c r="E60" s="1" t="inlineStr">
        <is>
          <t xml:space="preserve">インタラクション
</t>
        </is>
      </c>
      <c r="F60" s="1" t="inlineStr">
        <is>
          <t xml:space="preserve">関係行動
</t>
        </is>
      </c>
      <c r="G60" s="1" t="inlineStr">
        <is>
          <t xml:space="preserve">Interaction
カタカナではわかりにくいと思います。
</t>
        </is>
      </c>
      <c r="H60" s="1" t="inlineStr">
        <is>
          <t xml:space="preserve">1.0.3
</t>
        </is>
      </c>
      <c r="I60" s="1" t="inlineStr">
        <is>
          <t xml:space="preserve">なし
</t>
        </is>
      </c>
      <c r="J60" s="1" t="inlineStr">
        <is>
          <t xml:space="preserve">なし
</t>
        </is>
      </c>
    </row>
    <row r="61" ht="90" customHeight="1">
      <c r="A61">
        <f>HYPERLINK("https://github.com/matanki-saito/vic3jpadvmod/issues/36",36)</f>
        <v/>
      </c>
      <c r="B61" s="1" t="inlineStr">
        <is>
          <t>【修正提案】技術ツリー画面の残り月数</t>
        </is>
      </c>
      <c r="C61" s="1">
        <f>HYPERLINK("https://user-images.githubusercontent.com/42710893/198008655-0567b5fb-5f9c-4373-a118-60384b02641e.jpg","screenshot")
</f>
        <v/>
      </c>
      <c r="D61" s="1" t="inlineStr">
        <is>
          <t xml:space="preserve">技術ツリー画面
</t>
        </is>
      </c>
      <c r="E61" s="1" t="inlineStr">
        <is>
          <t xml:space="preserve">31ヶ月が退出しました
</t>
        </is>
      </c>
      <c r="F61" s="1" t="inlineStr">
        <is>
          <t xml:space="preserve">残り31ヶ月
</t>
        </is>
      </c>
      <c r="G61" s="1" t="inlineStr">
        <is>
          <t xml:space="preserve">誤訳と思われるため
英語版では
[Technology.GetTimeLeftDesc( GetPlayer.Self )] left
</t>
        </is>
      </c>
      <c r="H61" s="1" t="inlineStr">
        <is>
          <t xml:space="preserve">1.0.3
</t>
        </is>
      </c>
      <c r="I61" s="1" t="inlineStr">
        <is>
          <t xml:space="preserve">なし
</t>
        </is>
      </c>
      <c r="J61" s="1" t="inlineStr">
        <is>
          <t xml:space="preserve">なし
</t>
        </is>
      </c>
    </row>
    <row r="62" ht="135" customHeight="1">
      <c r="A62">
        <f>HYPERLINK("https://github.com/matanki-saito/vic3jpadvmod/issues/34",34)</f>
        <v/>
      </c>
      <c r="B62" s="1" t="inlineStr">
        <is>
          <t>【修正提案】軍事画面－軍隊の状態</t>
        </is>
      </c>
      <c r="C62" s="1">
        <f>HYPERLINK("https://user-images.githubusercontent.com/42710893/198003419-1035c1bd-20d8-421c-9438-531f566eac8e.jpg","screenshot")
</f>
        <v/>
      </c>
      <c r="D62" s="1" t="inlineStr">
        <is>
          <t xml:space="preserve">軍事ウィンドウ
</t>
        </is>
      </c>
      <c r="E62" s="1" t="inlineStr">
        <is>
          <t xml:space="preserve">ライン本部に待機中がいます
</t>
        </is>
      </c>
      <c r="F62" s="1" t="inlineStr">
        <is>
          <t xml:space="preserve">ライン本部で待機中です
</t>
        </is>
      </c>
      <c r="G62" s="1" t="inlineStr">
        <is>
          <t xml:space="preserve">日本語として不自然なため
英語版だと
[Character.GetCommanderOrder.GetType.GetNameGerund|v] at $LOCATION|v$$ADDITIONAL_LOCATION_INFO$
[Character.GetCommanderOrder.GetType.GetNameGerund|v]には進軍中、待機中、防衛中等軍隊の現況が入ると思われます
</t>
        </is>
      </c>
      <c r="H62" s="1" t="inlineStr">
        <is>
          <t xml:space="preserve">1.0.3
</t>
        </is>
      </c>
      <c r="I62" s="1" t="inlineStr">
        <is>
          <t xml:space="preserve">なし
</t>
        </is>
      </c>
      <c r="J62" s="1" t="inlineStr">
        <is>
          <t xml:space="preserve">※できるだけMODのない状態で問題を確認してください。
なし
</t>
        </is>
      </c>
    </row>
    <row r="63" ht="90" customHeight="1">
      <c r="A63">
        <f>HYPERLINK("https://github.com/matanki-saito/vic3jpadvmod/issues/33",33)</f>
        <v/>
      </c>
      <c r="B63" s="1" t="inlineStr">
        <is>
          <t>【修正提案】実績の難易度</t>
        </is>
      </c>
      <c r="C63" s="1">
        <f>HYPERLINK("https://user-images.githubusercontent.com/42710893/197983127-8e2a7857-a0b2-48ea-af31-1dbd47b838ed.jpg","screenshot")
</f>
        <v/>
      </c>
      <c r="D63" s="1" t="inlineStr">
        <is>
          <t xml:space="preserve">実績ウィンドウ
</t>
        </is>
      </c>
      <c r="E63" s="1" t="inlineStr">
        <is>
          <t xml:space="preserve">イージー、ノーマル、ハード、ベリーハード
</t>
        </is>
      </c>
      <c r="F63" s="1" t="inlineStr">
        <is>
          <t xml:space="preserve">易しい、普通、難しい、非常に難しい
</t>
        </is>
      </c>
      <c r="G63" s="1" t="inlineStr">
        <is>
          <t xml:space="preserve">日本語のほうが自然と思われます。
</t>
        </is>
      </c>
      <c r="H63" s="1" t="inlineStr">
        <is>
          <t xml:space="preserve">1.0.3
</t>
        </is>
      </c>
      <c r="I63" s="1" t="inlineStr">
        <is>
          <t xml:space="preserve">なし
</t>
        </is>
      </c>
      <c r="J63" s="1" t="inlineStr">
        <is>
          <t xml:space="preserve">なし
</t>
        </is>
      </c>
    </row>
    <row r="64" ht="90" customHeight="1">
      <c r="A64">
        <f>HYPERLINK("https://github.com/matanki-saito/vic3jpadvmod/issues/32",32)</f>
        <v/>
      </c>
      <c r="B64" t="inlineStr">
        <is>
          <t>【修正提案】建設状況のパネル（非建設時）</t>
        </is>
      </c>
      <c r="C64">
        <f>HYPERLINK("https://user-images.githubusercontent.com/43299334/197972330-489c8717-d06d-4444-ae68-fee4a3772d17.jpg","screenshot")
</f>
        <v/>
      </c>
      <c r="D64" t="inlineStr">
        <is>
          <t xml:space="preserve">右上、速度設定の下、建設状況のパネル（非建設時）
</t>
        </is>
      </c>
      <c r="E64" t="inlineStr">
        <is>
          <t xml:space="preserve">建設中はありません
</t>
        </is>
      </c>
      <c r="F64" t="inlineStr">
        <is>
          <t xml:space="preserve">建設中の施設はありません
</t>
        </is>
      </c>
      <c r="G64" t="inlineStr">
        <is>
          <t xml:space="preserve">日本語として違和感があるため。
変数を使っていると思われ、修正には注意が必要。
</t>
        </is>
      </c>
      <c r="H64" t="inlineStr">
        <is>
          <t xml:space="preserve">1.0.3
</t>
        </is>
      </c>
      <c r="I64" t="inlineStr">
        <is>
          <t xml:space="preserve">なし
</t>
        </is>
      </c>
      <c r="J64" t="inlineStr">
        <is>
          <t xml:space="preserve">なし
</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25"/>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s>
  <sheetData>
    <row r="1">
      <c r="A1" t="inlineStr">
        <is>
          <t>number</t>
        </is>
      </c>
      <c r="B1" t="inlineStr">
        <is>
          <t>title</t>
        </is>
      </c>
      <c r="C1" t="inlineStr">
        <is>
          <t xml:space="preserve"> スクリーンショット</t>
        </is>
      </c>
      <c r="D1" t="inlineStr">
        <is>
          <t xml:space="preserve"> 問題の用語</t>
        </is>
      </c>
      <c r="E1" t="inlineStr">
        <is>
          <t xml:space="preserve"> 英語版の表現</t>
        </is>
      </c>
      <c r="F1" t="inlineStr">
        <is>
          <t xml:space="preserve"> 希望する変更</t>
        </is>
      </c>
      <c r="G1" t="inlineStr">
        <is>
          <t xml:space="preserve"> 変更の理由</t>
        </is>
      </c>
      <c r="H1" t="inlineStr">
        <is>
          <t xml:space="preserve"> ゲームバージョン</t>
        </is>
      </c>
      <c r="I1" t="inlineStr">
        <is>
          <t xml:space="preserve"> DLC有無</t>
        </is>
      </c>
      <c r="J1" t="inlineStr">
        <is>
          <t xml:space="preserve"> MOD有無</t>
        </is>
      </c>
    </row>
    <row r="2" ht="90" customHeight="1">
      <c r="A2">
        <f>HYPERLINK("https://github.com/matanki-saito/vic3jpadvmod/issues/404",404)</f>
        <v/>
      </c>
      <c r="B2" s="1" t="inlineStr">
        <is>
          <t>主張(claim)</t>
        </is>
      </c>
      <c r="C2" s="1">
        <f>HYPERLINK("https://user-images.githubusercontent.com/43299334/200599790-2e8136e4-aeee-41bb-b8c6-f7d31f2a5f0c.jpg","screenshot")
</f>
        <v/>
      </c>
      <c r="D2" s="1" t="inlineStr">
        <is>
          <t xml:space="preserve">
主張
</t>
        </is>
      </c>
      <c r="E2" s="1" t="inlineStr">
        <is>
          <t xml:space="preserve">
Claim
</t>
        </is>
      </c>
      <c r="F2" s="1" t="inlineStr">
        <is>
          <t xml:space="preserve">
請求権
</t>
        </is>
      </c>
      <c r="G2" s="1" t="inlineStr">
        <is>
          <t xml:space="preserve">パラドゲーの定訳にあわせた
</t>
        </is>
      </c>
      <c r="H2" s="1" t="inlineStr">
        <is>
          <t xml:space="preserve">1.0.5
</t>
        </is>
      </c>
      <c r="I2" s="1" t="inlineStr">
        <is>
          <t xml:space="preserve">無し
</t>
        </is>
      </c>
      <c r="J2" s="1" t="inlineStr">
        <is>
          <t xml:space="preserve">フォントMOD、日本語改善MOD
</t>
        </is>
      </c>
    </row>
    <row r="3" ht="90" customHeight="1">
      <c r="A3">
        <f>HYPERLINK("https://github.com/matanki-saito/vic3jpadvmod/issues/401",401)</f>
        <v/>
      </c>
      <c r="B3" s="1" t="inlineStr">
        <is>
          <t>難着陸ペナルティ（Landing Penalty）</t>
        </is>
      </c>
      <c r="C3" s="1">
        <f>HYPERLINK("https://user-images.githubusercontent.com/42687608/200580383-b10e0f8a-d8d7-40d4-b4fc-24c59cd7dd7c.jpg","screenshot")
</f>
        <v/>
      </c>
      <c r="D3" s="1" t="inlineStr">
        <is>
          <t xml:space="preserve">
難着陸ペナルティ
</t>
        </is>
      </c>
      <c r="E3" s="1" t="inlineStr">
        <is>
          <t xml:space="preserve">
Landing Penalty
</t>
        </is>
      </c>
      <c r="F3" s="1" t="inlineStr">
        <is>
          <t xml:space="preserve">
上陸ペナルティ
</t>
        </is>
      </c>
      <c r="G3" s="1" t="inlineStr">
        <is>
          <t xml:space="preserve">上陸用舟艇の特性であり、明らかな誤訳であるため。
</t>
        </is>
      </c>
      <c r="H3" s="1" t="inlineStr">
        <is>
          <t xml:space="preserve">1.0.4
</t>
        </is>
      </c>
      <c r="I3" s="1" t="inlineStr">
        <is>
          <t xml:space="preserve">- Victoria II Remastered Soundtrack
- American Buildings Pack
</t>
        </is>
      </c>
      <c r="J3" s="1" t="inlineStr">
        <is>
          <t xml:space="preserve">- 自作Mod多数
</t>
        </is>
      </c>
    </row>
    <row r="4" ht="90" customHeight="1">
      <c r="A4">
        <f>HYPERLINK("https://github.com/matanki-saito/vic3jpadvmod/issues/392",392)</f>
        <v/>
      </c>
      <c r="B4" s="1" t="inlineStr">
        <is>
          <t>外交戦の中立宣言のダイアログボックスにある「プレイ」</t>
        </is>
      </c>
      <c r="C4" s="1">
        <f>HYPERLINK("https://user-images.githubusercontent.com/388340/200437895-f4b18059-00e3-4cc0-96eb-16d471043a61.png","screenshot")
</f>
        <v/>
      </c>
      <c r="D4" s="1" t="inlineStr">
        <is>
          <t xml:space="preserve">
後からプレイに参加することはできません。
</t>
        </is>
      </c>
      <c r="E4" s="1" t="inlineStr">
        <is>
          <t xml:space="preserve">
</t>
        </is>
      </c>
      <c r="F4" s="1" t="inlineStr">
        <is>
          <t xml:space="preserve">
後から外交戦に参加することはできません。
</t>
        </is>
      </c>
      <c r="G4" s="1" t="inlineStr">
        <is>
          <t xml:space="preserve">外交プレイが外交戦に名称変更されたが、外交プレイの略語としてのプレイが変更されていないため。
</t>
        </is>
      </c>
      <c r="H4" s="1" t="inlineStr">
        <is>
          <t xml:space="preserve">1.0.5
</t>
        </is>
      </c>
      <c r="I4" s="1" t="inlineStr">
        <is>
          <t xml:space="preserve">Victoria II Remastered Soundtrack
American Buildings Pack
</t>
        </is>
      </c>
      <c r="J4" s="1" t="inlineStr">
        <is>
          <t xml:space="preserve">テスト用フォントMod
日本語改善Mod
</t>
        </is>
      </c>
    </row>
    <row r="5" ht="90" customHeight="1">
      <c r="A5">
        <f>HYPERLINK("https://github.com/matanki-saito/vic3jpadvmod/issues/388",388)</f>
        <v/>
      </c>
      <c r="B5" s="1" t="inlineStr">
        <is>
          <t>modifierのApproval 容認</t>
        </is>
      </c>
      <c r="C5" s="1">
        <f>HYPERLINK("https://user-images.githubusercontent.com/50406316/200331630-e6b5df7d-7d74-40ee-b373-d43978f1b37d.png","screenshot")
</f>
        <v/>
      </c>
      <c r="D5" s="1" t="inlineStr">
        <is>
          <t xml:space="preserve">
容認
</t>
        </is>
      </c>
      <c r="E5" s="1" t="inlineStr">
        <is>
          <t xml:space="preserve">
Approval
</t>
        </is>
      </c>
      <c r="F5" s="1" t="inlineStr">
        <is>
          <t xml:space="preserve">
支持
</t>
        </is>
      </c>
      <c r="G5" s="1" t="inlineStr">
        <is>
          <t xml:space="preserve">issue210でApprovalが承認となっていたのを支持と変えることに決定したが、原文がもともと表記ゆれを起こしており、modifierのほうでは容認と訳されていた。
こちらもissue210と同様に支持と改訳して表記ゆれをなくしたい。
</t>
        </is>
      </c>
      <c r="H5" s="1" t="inlineStr">
        <is>
          <t xml:space="preserve">1.0.5
</t>
        </is>
      </c>
      <c r="I5" s="1" t="inlineStr">
        <is>
          <t xml:space="preserve">無し
</t>
        </is>
      </c>
      <c r="J5" s="1" t="inlineStr">
        <is>
          <t xml:space="preserve">翻訳改善MOD
</t>
        </is>
      </c>
    </row>
    <row r="6" ht="555" customHeight="1">
      <c r="A6">
        <f>HYPERLINK("https://github.com/matanki-saito/vic3jpadvmod/issues/384",384)</f>
        <v/>
      </c>
      <c r="B6" s="1" t="inlineStr">
        <is>
          <t>「百姓」</t>
        </is>
      </c>
      <c r="C6" s="1">
        <f>HYPERLINK("https://user-images.githubusercontent.com/75819188/200239550-ea3c15ae-ee50-4179-a632-5f1999563665.jpg","screenshot")
</f>
        <v/>
      </c>
      <c r="D6" s="1" t="inlineStr">
        <is>
          <t xml:space="preserve">
百姓
</t>
        </is>
      </c>
      <c r="E6" s="1" t="inlineStr">
        <is>
          <t xml:space="preserve">
Peasants
</t>
        </is>
      </c>
      <c r="F6" s="1" t="inlineStr">
        <is>
          <t xml:space="preserve">
自給農
自給農家
小農民(「百姓」への変更前に行われた提案)
</t>
        </is>
      </c>
      <c r="G6" s="1" t="inlineStr">
        <is>
          <t xml:space="preserve">・説明文と表記ゆれしている
・VIC3のレーティングはPEGI 12です。日本のCERO B相当です。
・現在では放送禁止用語というレベルの差別語。(個人的には運用が重要だと思います)
・「百姓」に屠殺業者等の「ケガレとされた人たち」は入ってないのではないでしょうか(今も残る問題)。
・海外の人々(たとえばアーミッシュ)を日本語文化的な「百姓」と呼んでいいとは思わない。
・「ゲーム内の存在がゲーム内の存在に向かって『百姓』と言う(自称も含む)」ならばともかく、「ゲームがゲーム内の状況を現在のプレイヤーに伝える言葉」として適切なのですか。
・公式訳は"Sea of Japan / East Sea"をそのまま訳したほど政治的相剋を避けているのに、政治的相剋のある言葉を新規に導入するのはどうなのですか。
・日本でのプレイしか想定していない人がそれなりの数居るのではないですか。それだけなら個人の自由ですが、その人達の中に他の国でプレイする人のことを何も考えてない人がそれなりにいそうです。議論も投票もその人達が満足する結果になりやすいと思います。
・日本語ローカライズなので、日本語文化によってしまうのは仕方がないでしょう。しかし、あまり日本語文化によりすぎるのは、paradoxによる世界各地へいろいろな言語で商品を売るということと相反すると思います。
・こういった問題提起をすると殺害予告などの害意を受けるのであまり冷静ではいられない。(ゲーマーゲート事件など)
・ここの主催は私に向かって「(差別は行動だから)言葉の置きかえは意味が無い」と言った過去ありましたが、paradoxはUncivilized NationからUnrecognized Countryと”言葉の置きかえ”をしました。
</t>
        </is>
      </c>
      <c r="H6" s="1" t="inlineStr">
        <is>
          <t xml:space="preserve">1.0.5
</t>
        </is>
      </c>
      <c r="I6" s="1" t="inlineStr">
        <is>
          <t xml:space="preserve">American Building Pack	
Expansion Pass
Victoria 2 Remastered Soundtracks
</t>
        </is>
      </c>
      <c r="J6" s="1" t="inlineStr">
        <is>
          <t xml:space="preserve">JapaneseLanguageAdvancedMod
地图乱码修复
Construction Queue with States
音楽追加MOD複数
</t>
        </is>
      </c>
    </row>
    <row r="7" ht="45" customHeight="1">
      <c r="A7">
        <f>HYPERLINK("https://github.com/matanki-saito/vic3jpadvmod/issues/382",382)</f>
        <v/>
      </c>
      <c r="B7" s="1" t="inlineStr">
        <is>
          <t>「反乱」と「叛乱」</t>
        </is>
      </c>
      <c r="C7" s="1" t="inlineStr">
        <is>
          <t xml:space="preserve">なし
</t>
        </is>
      </c>
      <c r="D7" s="1" t="inlineStr">
        <is>
          <t xml:space="preserve">
反乱
叛乱
</t>
        </is>
      </c>
      <c r="E7" s="1" t="inlineStr">
        <is>
          <t xml:space="preserve">
uprising
Mutiny
revolt
等
</t>
        </is>
      </c>
      <c r="F7" s="1" t="inlineStr">
        <is>
          <t xml:space="preserve">
反乱
</t>
        </is>
      </c>
      <c r="G7" s="1" t="inlineStr">
        <is>
          <t xml:space="preserve">・表記ゆれしている
・英語の単語に対応して使い分けられているわけでもなさそう
・反乱は常用漢字
</t>
        </is>
      </c>
      <c r="H7" s="1" t="inlineStr">
        <is>
          <t xml:space="preserve">1.0.3
</t>
        </is>
      </c>
      <c r="I7" s="1" t="inlineStr">
        <is>
          <t xml:space="preserve">American Building Pack	
Expansion Pass
Victoria 2 Remastered Soundtracks
</t>
        </is>
      </c>
      <c r="J7" s="1" t="inlineStr">
        <is>
          <t xml:space="preserve">なし
</t>
        </is>
      </c>
    </row>
    <row r="8" ht="90" customHeight="1">
      <c r="A8">
        <f>HYPERLINK("https://github.com/matanki-saito/vic3jpadvmod/issues/378",378)</f>
        <v/>
      </c>
      <c r="B8" s="1" t="inlineStr">
        <is>
          <t>Additive/Multiplicative</t>
        </is>
      </c>
      <c r="C8" s="1">
        <f>HYPERLINK("https://user-images.githubusercontent.com/50406316/200182090-ca4e7bf9-0324-4f10-ae8c-3a6081a0b564.png","screenshot")
</f>
        <v/>
      </c>
      <c r="D8" s="1" t="inlineStr">
        <is>
          <t xml:space="preserve">
相加利子率補正
多重利子率補正
</t>
        </is>
      </c>
      <c r="E8" s="1" t="inlineStr">
        <is>
          <t xml:space="preserve">
Additive Interest Rate Modifiers
Multiplicative Interest Rate Modifiers
</t>
        </is>
      </c>
      <c r="F8" s="1" t="inlineStr">
        <is>
          <t xml:space="preserve">
利子率増減補正
利子率乗算補正
</t>
        </is>
      </c>
      <c r="G8" s="1" t="inlineStr">
        <is>
          <t xml:space="preserve">計算式は(ベース＋Additive)xMultiplicativeとなる。
画像では(20%-2%-2%-2%)x(1-50%-10%)=14%x40%=5.6%。
相加や多重ではわかりにくいので、単純に増減や乗算としたい。
</t>
        </is>
      </c>
      <c r="H8" s="1" t="inlineStr">
        <is>
          <t xml:space="preserve">1.0.5
</t>
        </is>
      </c>
      <c r="I8" s="1" t="inlineStr">
        <is>
          <t xml:space="preserve">無し
</t>
        </is>
      </c>
      <c r="J8" s="1" t="inlineStr">
        <is>
          <t xml:space="preserve">翻訳改善MOD
</t>
        </is>
      </c>
    </row>
    <row r="9" ht="90" customHeight="1">
      <c r="A9">
        <f>HYPERLINK("https://github.com/matanki-saito/vic3jpadvmod/issues/374",374)</f>
        <v/>
      </c>
      <c r="B9" s="1" t="inlineStr">
        <is>
          <t>燃焼機関（Combustion Engine）</t>
        </is>
      </c>
      <c r="C9" s="1">
        <f>HYPERLINK("https://user-images.githubusercontent.com/42687608/200164298-e2f818fa-5b1b-49a7-aff4-7c3d48ea0693.jpg","screenshot")
</f>
        <v/>
      </c>
      <c r="D9" s="1" t="inlineStr">
        <is>
          <t xml:space="preserve">
燃焼機関
</t>
        </is>
      </c>
      <c r="E9" s="1" t="inlineStr">
        <is>
          <t xml:space="preserve">
Combustion Engine
</t>
        </is>
      </c>
      <c r="F9" s="1" t="inlineStr">
        <is>
          <t xml:space="preserve">
内燃機関
</t>
        </is>
      </c>
      <c r="G9" s="1" t="inlineStr">
        <is>
          <t xml:space="preserve">直訳としては間違っていないが、ここでは外燃機関ではなく内燃機関を表していると思われるため。
根拠は説明文にある「機関内で発生する爆発力」（combustions taking place inside the engine）という表現。
</t>
        </is>
      </c>
      <c r="H9" s="1" t="inlineStr">
        <is>
          <t xml:space="preserve">1.0.4
</t>
        </is>
      </c>
      <c r="I9" s="1" t="inlineStr">
        <is>
          <t xml:space="preserve">- Victoria II Remastered Soundtrack
- American Buildings Pack
</t>
        </is>
      </c>
      <c r="J9" s="1" t="inlineStr">
        <is>
          <t xml:space="preserve">- 自作Mod多数
</t>
        </is>
      </c>
    </row>
    <row r="10" ht="90" customHeight="1">
      <c r="A10">
        <f>HYPERLINK("https://github.com/matanki-saito/vic3jpadvmod/issues/371",371)</f>
        <v/>
      </c>
      <c r="B10" s="1" t="inlineStr">
        <is>
          <t>受け入れられた文化 / 受け入れられた宗教（Accepted Culture / Accepted Religion）</t>
        </is>
      </c>
      <c r="C10" s="1">
        <f>HYPERLINK("https://user-images.githubusercontent.com/42687608/200162072-cdb8eda0-ad7a-484c-b1ba-fa0f4535fdcf.jpg","screenshot")
</f>
        <v/>
      </c>
      <c r="D10" s="1" t="inlineStr">
        <is>
          <t xml:space="preserve">
受け入れられた文化 / 受け入れられた宗教
</t>
        </is>
      </c>
      <c r="E10" s="1" t="inlineStr">
        <is>
          <t xml:space="preserve">
Accepted Culture / Accepted Religion
</t>
        </is>
      </c>
      <c r="F10" s="1" t="inlineStr">
        <is>
          <t xml:space="preserve">
受容文化 / 受容宗教
</t>
        </is>
      </c>
      <c r="G10" s="1" t="inlineStr">
        <is>
          <t xml:space="preserve">訳語が長すぎてゲーム的に意味のある用語であることがわかりにくいため。
従来の他作品にならい accepted を「受容」と訳すことを提案する。
</t>
        </is>
      </c>
      <c r="H10" s="1" t="inlineStr">
        <is>
          <t xml:space="preserve">1.0.4
</t>
        </is>
      </c>
      <c r="I10" s="1" t="inlineStr">
        <is>
          <t xml:space="preserve">- Victoria II Remastered Soundtrack
- American Buildings Pack
</t>
        </is>
      </c>
      <c r="J10" s="1" t="inlineStr">
        <is>
          <t xml:space="preserve">- 自作Mod多数
</t>
        </is>
      </c>
    </row>
    <row r="11" ht="120" customHeight="1">
      <c r="A11">
        <f>HYPERLINK("https://github.com/matanki-saito/vic3jpadvmod/issues/368",368)</f>
        <v/>
      </c>
      <c r="B11" s="1" t="inlineStr">
        <is>
          <t>ブリーチローダー（Breech Loaders）</t>
        </is>
      </c>
      <c r="C11" s="1">
        <f>HYPERLINK("https://user-images.githubusercontent.com/42687608/200160508-d641d1df-fb12-4c18-9587-7dc38c03824d.jpg","screenshot")
</f>
        <v/>
      </c>
      <c r="D11" s="1" t="inlineStr">
        <is>
          <t xml:space="preserve">
ブリーチローダー
</t>
        </is>
      </c>
      <c r="E11" s="1" t="inlineStr">
        <is>
          <t xml:space="preserve">
Breech Loaders
</t>
        </is>
      </c>
      <c r="F11" s="1" t="inlineStr">
        <is>
          <t xml:space="preserve">
後装砲
</t>
        </is>
      </c>
      <c r="G11" s="1" t="inlineStr">
        <is>
          <t xml:space="preserve">誤訳ではないが、技術の名称は「後装砲」（Breech-Loading Artillery）であり、統一が取れていない。
後装式の銃（元込め銃）を含んでいるとも考えられるが、スクショの通り他の方式はカノン砲、滑空砲とすべて砲であり、後装砲だけを特別扱いする理由はない。
あえてカタカナにする理由もなく、日本人にわかりやすい「後装砲」とすべきである。
</t>
        </is>
      </c>
      <c r="H11" s="1" t="inlineStr">
        <is>
          <t xml:space="preserve">1.0.4
</t>
        </is>
      </c>
      <c r="I11" s="1" t="inlineStr">
        <is>
          <t xml:space="preserve">- Victoria II Remastered Soundtrack
- American Buildings Pack
</t>
        </is>
      </c>
      <c r="J11" s="1" t="inlineStr">
        <is>
          <t xml:space="preserve">- 自作Mod多数
</t>
        </is>
      </c>
    </row>
    <row r="12" ht="90" customHeight="1">
      <c r="A12">
        <f>HYPERLINK("https://github.com/matanki-saito/vic3jpadvmod/issues/366",366)</f>
        <v/>
      </c>
      <c r="B12" s="1" t="inlineStr">
        <is>
          <t>表面上の和平への条件設定（和平条件の白紙化）</t>
        </is>
      </c>
      <c r="C12" s="1">
        <f>HYPERLINK("https://user-images.githubusercontent.com/43299334/200159297-20c4586f-ffcd-43b9-bac7-b8de6095851d.jpg","screenshot")
</f>
        <v/>
      </c>
      <c r="D12" s="1" t="inlineStr">
        <is>
          <t xml:space="preserve">
表面上の和平への条件設定
</t>
        </is>
      </c>
      <c r="E12" s="1" t="inlineStr">
        <is>
          <t xml:space="preserve">
Set Terms to White Peace
</t>
        </is>
      </c>
      <c r="F12" s="1" t="inlineStr">
        <is>
          <t xml:space="preserve">
条件を白紙に戻す
</t>
        </is>
      </c>
      <c r="G12" s="1" t="inlineStr">
        <is>
          <t xml:space="preserve">意味の通らない訳になっているため
</t>
        </is>
      </c>
      <c r="H12" s="1" t="inlineStr">
        <is>
          <t xml:space="preserve">1.0.5
</t>
        </is>
      </c>
      <c r="I12" s="1" t="inlineStr">
        <is>
          <t xml:space="preserve">無し
</t>
        </is>
      </c>
      <c r="J12" s="1" t="inlineStr">
        <is>
          <t xml:space="preserve">）なし
</t>
        </is>
      </c>
    </row>
    <row r="13" ht="90" customHeight="1">
      <c r="A13">
        <f>HYPERLINK("https://github.com/matanki-saito/vic3jpadvmod/issues/365",365)</f>
        <v/>
      </c>
      <c r="B13" s="1" t="inlineStr">
        <is>
          <t>戦禍（Devastation）</t>
        </is>
      </c>
      <c r="C13" s="1">
        <f>HYPERLINK("https://user-images.githubusercontent.com/42687608/200158734-626479df-8a1a-4584-922f-c400e505b8a8.jpg","screenshot")
</f>
        <v/>
      </c>
      <c r="D13" s="1" t="inlineStr">
        <is>
          <t xml:space="preserve">
戦禍
</t>
        </is>
      </c>
      <c r="E13" s="1" t="inlineStr">
        <is>
          <t xml:space="preserve">
Devastation
</t>
        </is>
      </c>
      <c r="F13" s="1" t="inlineStr">
        <is>
          <t xml:space="preserve">
荒廃
</t>
        </is>
      </c>
      <c r="G13" s="1" t="inlineStr">
        <is>
          <t xml:space="preserve">戦争だけでなく洪水などの災害でも増加するため。
</t>
        </is>
      </c>
      <c r="H13" s="1" t="inlineStr">
        <is>
          <t xml:space="preserve">1.0.4
</t>
        </is>
      </c>
      <c r="I13" s="1" t="inlineStr">
        <is>
          <t xml:space="preserve">- Victoria II Remastered Soundtrack
- American Buildings Pack
</t>
        </is>
      </c>
      <c r="J13" s="1" t="inlineStr">
        <is>
          <t xml:space="preserve">- 自作Mod多数
</t>
        </is>
      </c>
    </row>
    <row r="14" ht="90" customHeight="1">
      <c r="A14">
        <f>HYPERLINK("https://github.com/matanki-saito/vic3jpadvmod/issues/352",352)</f>
        <v/>
      </c>
      <c r="B14" s="1" t="inlineStr">
        <is>
          <t>実績 "First flight" の誤訳</t>
        </is>
      </c>
      <c r="C14" s="1">
        <f>HYPERLINK("https://user-images.githubusercontent.com/14015830/200114617-3cc12400-1c8c-43fe-ae5a-e1a6da002a0d.jpg","screenshot")
</f>
        <v/>
      </c>
      <c r="D14" s="1" t="inlineStr">
        <is>
          <t xml:space="preserve">
まずは戦え
</t>
        </is>
      </c>
      <c r="E14" s="1" t="inlineStr">
        <is>
          <t xml:space="preserve">
First flight
</t>
        </is>
      </c>
      <c r="F14" s="1" t="inlineStr">
        <is>
          <t xml:space="preserve">
初飛行
</t>
        </is>
      </c>
      <c r="G14" s="1" t="inlineStr">
        <is>
          <t xml:space="preserve">誤訳。おそらく "First flight" ではなく "First fight" を訳してしまっている
</t>
        </is>
      </c>
      <c r="H14" s="1" t="inlineStr">
        <is>
          <t xml:space="preserve">1.0.5
</t>
        </is>
      </c>
      <c r="I14" s="1" t="inlineStr">
        <is>
          <t xml:space="preserve">無し
</t>
        </is>
      </c>
      <c r="J14" s="1" t="inlineStr">
        <is>
          <t xml:space="preserve">無し
</t>
        </is>
      </c>
    </row>
    <row r="15" ht="90" customHeight="1">
      <c r="A15">
        <f>HYPERLINK("https://github.com/matanki-saito/vic3jpadvmod/issues/349",349)</f>
        <v/>
      </c>
      <c r="B15" s="1" t="inlineStr">
        <is>
          <t>【修正提案】初任給</t>
        </is>
      </c>
      <c r="C15" s="1">
        <f>HYPERLINK("https://user-images.githubusercontent.com/50406316/200109891-e1704c95-740a-4fe7-9f47-6f969f718b8d.png","screenshot")
</f>
        <v/>
      </c>
      <c r="D15" s="1" t="inlineStr">
        <is>
          <t xml:space="preserve">
未編入州の初任給
未編入州のPOPが初任給として受け取る金額の多寡です。
</t>
        </is>
      </c>
      <c r="E15" s="1" t="inlineStr">
        <is>
          <t xml:space="preserve">
上は「Starting Wages」、下は「initial salaries」
</t>
        </is>
      </c>
      <c r="F15" s="1" t="inlineStr">
        <is>
          <t xml:space="preserve">
未編入州の賃金初期値
未編入州のPOPが賃金の初期値として受け取る金額の多寡です。
</t>
        </is>
      </c>
      <c r="G15" s="1" t="inlineStr">
        <is>
          <t xml:space="preserve">未編入州のPOPの賃金のベース値補正のことで、初任給ではないので修正したい。
上下で表現は違うが、ここ以外に登場する単語ではなく、意味も同じなので訳語も同じとする。
</t>
        </is>
      </c>
      <c r="H15" s="1" t="inlineStr">
        <is>
          <t xml:space="preserve">1.0.5
</t>
        </is>
      </c>
      <c r="I15" s="1" t="inlineStr">
        <is>
          <t xml:space="preserve">無し
</t>
        </is>
      </c>
      <c r="J15" s="1" t="inlineStr">
        <is>
          <t xml:space="preserve">翻訳改善MOD
</t>
        </is>
      </c>
    </row>
    <row r="16" ht="180" customHeight="1">
      <c r="A16">
        <f>HYPERLINK("https://github.com/matanki-saito/vic3jpadvmod/issues/348",348)</f>
        <v/>
      </c>
      <c r="B16" s="1" t="inlineStr">
        <is>
          <t>【修正提案】大隊の徴兵→徴募大隊（Conscript Battalions）</t>
        </is>
      </c>
      <c r="C16" s="1">
        <f>HYPERLINK("https://user-images.githubusercontent.com/29177147/200105103-6ef1d28c-4f7a-49af-859a-0941989fa9c4.png","screenshot")
=HYPERLINK("https://user-images.githubusercontent.com/29177147/200105139-9d61da77-2619-4afc-89a1-d7562345b9fb.png","screenshot")
</f>
        <v/>
      </c>
      <c r="D16" s="1" t="inlineStr">
        <is>
          <t xml:space="preserve">
大隊の徴兵
</t>
        </is>
      </c>
      <c r="E16" s="1" t="inlineStr">
        <is>
          <t xml:space="preserve">
Conscript Battalions
</t>
        </is>
      </c>
      <c r="F16" s="1" t="inlineStr">
        <is>
          <t xml:space="preserve">
徴兵大隊
</t>
        </is>
      </c>
      <c r="G16" s="1" t="inlineStr">
        <is>
          <t xml:space="preserve">誤訳
</t>
        </is>
      </c>
      <c r="H16" s="1" t="inlineStr">
        <is>
          <t xml:space="preserve">1.0.4
</t>
        </is>
      </c>
      <c r="I16" s="1" t="inlineStr">
        <is>
          <t xml:space="preserve">なし
</t>
        </is>
      </c>
      <c r="J16" s="1" t="inlineStr">
        <is>
          <t xml:space="preserve">日本語改善MOD
Switch Languages
</t>
        </is>
      </c>
    </row>
    <row r="17" ht="180" customHeight="1">
      <c r="A17">
        <f>HYPERLINK("https://github.com/matanki-saito/vic3jpadvmod/issues/343",343)</f>
        <v/>
      </c>
      <c r="B17" s="1" t="inlineStr">
        <is>
          <t>建設（コンセプトワード）/建設商品</t>
        </is>
      </c>
      <c r="C17" s="1">
        <f>HYPERLINK("https://user-images.githubusercontent.com/29382778/200061526-8e9ce965-4baa-4941-af44-4542411c6e89.png","screenshot")
=HYPERLINK("https://user-images.githubusercontent.com/29382778/200061549-b42d45a8-1e21-4ce2-85de-31595d2b0cb3.png","screenshot")
</f>
        <v/>
      </c>
      <c r="D17" s="1" t="inlineStr">
        <is>
          <t xml:space="preserve">
建設/建設商品
</t>
        </is>
      </c>
      <c r="E17" s="1" t="inlineStr">
        <is>
          <t xml:space="preserve">
Construction/Construction Goods
</t>
        </is>
      </c>
      <c r="F17" s="1" t="inlineStr">
        <is>
          <t xml:space="preserve">
資材/建設資材
</t>
        </is>
      </c>
      <c r="G17" s="1" t="inlineStr">
        <is>
          <t xml:space="preserve">Construction Sectorの建設をは意味が異なるため
</t>
        </is>
      </c>
      <c r="H17" s="1" t="inlineStr">
        <is>
          <t xml:space="preserve">1.0.5
</t>
        </is>
      </c>
      <c r="I17" s="1" t="n"/>
      <c r="J17" s="1" t="n"/>
    </row>
    <row r="18" ht="90" customHeight="1">
      <c r="A18">
        <f>HYPERLINK("https://github.com/matanki-saito/vic3jpadvmod/issues/338",338)</f>
        <v/>
      </c>
      <c r="B18" s="1" t="inlineStr">
        <is>
          <t>党・党リーダー→政党・党首</t>
        </is>
      </c>
      <c r="C18" s="1">
        <f>HYPERLINK("https://user-images.githubusercontent.com/37979626/199988941-646b3e6c-3d7b-44a3-845d-166612b4e369.png","screenshot")
</f>
        <v/>
      </c>
      <c r="D18" s="1" t="inlineStr">
        <is>
          <t xml:space="preserve">
党
党リーダー
</t>
        </is>
      </c>
      <c r="E18" s="1" t="inlineStr">
        <is>
          <t xml:space="preserve">
Party
Party Leader
</t>
        </is>
      </c>
      <c r="F18" s="1" t="inlineStr">
        <is>
          <t xml:space="preserve">
政党
党首
</t>
        </is>
      </c>
      <c r="G18" s="1" t="inlineStr">
        <is>
          <t xml:space="preserve">「党」だけでは今一つな感が否めない。また、政治団体ということを考えると「政党」とするのが一般的
</t>
        </is>
      </c>
      <c r="H18" s="1" t="inlineStr">
        <is>
          <t xml:space="preserve">1.0.4
</t>
        </is>
      </c>
      <c r="I18" s="1" t="inlineStr">
        <is>
          <t xml:space="preserve">無し
</t>
        </is>
      </c>
      <c r="J18" s="1" t="inlineStr">
        <is>
          <t xml:space="preserve">なし
</t>
        </is>
      </c>
    </row>
    <row r="19" ht="90" customHeight="1">
      <c r="A19">
        <f>HYPERLINK("https://github.com/matanki-saito/vic3jpadvmod/issues/332",332)</f>
        <v/>
      </c>
      <c r="B19" s="1" t="inlineStr">
        <is>
          <t>分別蒸留（Fractional Distillation、技術名）</t>
        </is>
      </c>
      <c r="C19" s="1">
        <f>HYPERLINK("https://user-images.githubusercontent.com/42687608/199935310-f76bc66c-ab39-4139-956c-03b95ae9baa6.jpg","screenshot")
</f>
        <v/>
      </c>
      <c r="D19" s="1" t="inlineStr">
        <is>
          <t xml:space="preserve">
分別蒸留
</t>
        </is>
      </c>
      <c r="E19" s="1" t="inlineStr">
        <is>
          <t xml:space="preserve">
Fractional Distillation
</t>
        </is>
      </c>
      <c r="F19" s="1" t="inlineStr">
        <is>
          <t xml:space="preserve">
分留
</t>
        </is>
      </c>
      <c r="G19" s="1" t="inlineStr">
        <is>
          <t xml:space="preserve">誤訳ではないが、分留の方が一般的な用語。
Google検索で完全一致検索すると、分留の119万件に対し、分別蒸留は6千件しかない。
</t>
        </is>
      </c>
      <c r="H19" s="1" t="inlineStr">
        <is>
          <t xml:space="preserve">1.0.4
</t>
        </is>
      </c>
      <c r="I19" s="1" t="inlineStr">
        <is>
          <t xml:space="preserve">- Victoria II Remastered Soundtrack
- American Buildings Pack
</t>
        </is>
      </c>
      <c r="J19" s="1" t="inlineStr">
        <is>
          <t xml:space="preserve">- 自作Mod多数
</t>
        </is>
      </c>
    </row>
    <row r="20" ht="180" customHeight="1">
      <c r="A20">
        <f>HYPERLINK("https://github.com/matanki-saito/vic3jpadvmod/issues/326",326)</f>
        <v/>
      </c>
      <c r="B20" s="1" t="inlineStr">
        <is>
          <t>生活水準の高レベルの名称</t>
        </is>
      </c>
      <c r="C20" s="1">
        <f>HYPERLINK("https://user-images.githubusercontent.com/43299334/199729250-c320e5bb-3c24-4cfc-896d-3d7d59d7be65.jpg","screenshot")
=HYPERLINK("https://user-images.githubusercontent.com/43299334/199732482-78f210b8-51d7-49ab-8899-8e03b64cb61d.png","screenshot")
</f>
        <v/>
      </c>
      <c r="D20" s="1" t="inlineStr">
        <is>
          <t xml:space="preserve">
富裕Wealthy(Lv.40～）、豪奢Lavish(Lv.50～）、贅沢Opulent(Lv.60～）
</t>
        </is>
      </c>
      <c r="E20" s="1" t="inlineStr">
        <is>
          <t xml:space="preserve">
飢餓Starving(Lv.1～）、苦境Struggling(Lv.5～）
貧困Impoverished(Lv.10～）、中流Middling(Lv.15～）、堅実Secure(Lv.20～）
好調Prosperous(Lv.25～）、裕福Affluent(Lv.30～）、富裕Wealthy(Lv.40～）、豪奢Lavish(Lv.50～）、贅沢Opulent(Lv.60～）
</t>
        </is>
      </c>
      <c r="F20" s="1" t="inlineStr">
        <is>
          <t xml:space="preserve">
富裕→贅沢、豪奢→富豪、贅沢→大富豪　など
</t>
        </is>
      </c>
      <c r="G20" s="1" t="inlineStr">
        <is>
          <t xml:space="preserve">テキストから水準が捉えにくいため
</t>
        </is>
      </c>
      <c r="H20" s="1" t="inlineStr">
        <is>
          <t xml:space="preserve">1.0.4
</t>
        </is>
      </c>
      <c r="I20" s="1" t="inlineStr">
        <is>
          <t xml:space="preserve">なし
</t>
        </is>
      </c>
      <c r="J20" s="1" t="inlineStr">
        <is>
          <t xml:space="preserve">なし
</t>
        </is>
      </c>
    </row>
    <row r="21" ht="90" customHeight="1">
      <c r="A21">
        <f>HYPERLINK("https://github.com/matanki-saito/vic3jpadvmod/issues/322",322)</f>
        <v/>
      </c>
      <c r="B21" s="1" t="inlineStr">
        <is>
          <t>暴圧（布告）</t>
        </is>
      </c>
      <c r="C21" s="1">
        <f>HYPERLINK("https://user-images.githubusercontent.com/43299334/199695401-be088350-e814-4258-a2fa-390026bfff7d.jpg","screenshot")
</f>
        <v/>
      </c>
      <c r="D21" s="1" t="inlineStr">
        <is>
          <t xml:space="preserve">
暴圧
</t>
        </is>
      </c>
      <c r="E21" s="1" t="inlineStr">
        <is>
          <t xml:space="preserve">
Violent Suppression
</t>
        </is>
      </c>
      <c r="F21" s="1" t="inlineStr">
        <is>
          <t xml:space="preserve">
武力鎮圧
</t>
        </is>
      </c>
      <c r="G21" s="1" t="inlineStr">
        <is>
          <t xml:space="preserve">あまり一般的ではない用語のため
</t>
        </is>
      </c>
      <c r="H21" s="1" t="inlineStr">
        <is>
          <t xml:space="preserve">1.0.4
</t>
        </is>
      </c>
      <c r="I21" s="1" t="inlineStr">
        <is>
          <t xml:space="preserve">なし
</t>
        </is>
      </c>
      <c r="J21" s="1" t="inlineStr">
        <is>
          <t xml:space="preserve">）なし
</t>
        </is>
      </c>
    </row>
    <row r="22" ht="105" customHeight="1">
      <c r="A22">
        <f>HYPERLINK("https://github.com/matanki-saito/vic3jpadvmod/issues/321",321)</f>
        <v/>
      </c>
      <c r="B22" s="1" t="inlineStr">
        <is>
          <t>外交戦撤退のフィード</t>
        </is>
      </c>
      <c r="C22" s="1">
        <f>HYPERLINK("https://user-images.githubusercontent.com/43299334/199693026-7d4bee6e-3a31-401c-a7cf-f58a871cbc5d.jpg","screenshot")
</f>
        <v/>
      </c>
      <c r="D22" s="1" t="inlineStr">
        <is>
          <t xml:space="preserve">
（国名）撤退
[SCOPE.sC('actor').GetName]は、我が国の[concept_diplomatic_play]に屈しました。主要な戦争目標が譲歩されます。
</t>
        </is>
      </c>
      <c r="E22" s="1" t="inlineStr">
        <is>
          <t xml:space="preserve">
[SCOPE.sC('actor').GetName] backs down
[SCOPE.sC('actor').GetName] backed down in our [concept_diplomatic_play], yielding the primary wargoal to us.
</t>
        </is>
      </c>
      <c r="F22" s="1" t="inlineStr">
        <is>
          <t xml:space="preserve">
（国名）が屈服
（国名）は外交戦での敗北を認め、我が国が最初の戦争目標を達成することに同意しました。
</t>
        </is>
      </c>
      <c r="G22" s="1" t="inlineStr">
        <is>
          <t xml:space="preserve">標的となっている国でも同様のテキストであるため、撤退よりも屈服が相応しいと考えた。
また、相手国が自分の戦争目標の達成を諦めただけのようにも読めるため。
</t>
        </is>
      </c>
      <c r="H22" s="1" t="inlineStr">
        <is>
          <t xml:space="preserve">1.0.4
</t>
        </is>
      </c>
      <c r="I22" s="1" t="inlineStr">
        <is>
          <t xml:space="preserve">なし
</t>
        </is>
      </c>
      <c r="J22" s="1" t="inlineStr">
        <is>
          <t xml:space="preserve">なし
</t>
        </is>
      </c>
    </row>
    <row r="23" ht="480" customHeight="1">
      <c r="A23">
        <f>HYPERLINK("https://github.com/matanki-saito/vic3jpadvmod/issues/318",318)</f>
        <v/>
      </c>
      <c r="B23" s="1" t="inlineStr">
        <is>
          <t>陸軍のPMG一括決定</t>
        </is>
      </c>
      <c r="C23" s="1">
        <f>HYPERLINK("https://user-images.githubusercontent.com/43299334/199687934-04bbedac-4ed7-4cbf-bbbc-255cdb168d5e.jpg","screenshot")
=HYPERLINK("https://user-images.githubusercontent.com/43299334/199687962-0e93992f-5cf8-4a49-81f8-e53efb863111.jpg","screenshot")
=HYPERLINK("https://user-images.githubusercontent.com/43299334/199687970-0251f826-6f8d-4195-9594-aa3ee283d8a6.jpg","screenshot")
=HYPERLINK("https://user-images.githubusercontent.com/43299334/199687981-fbc251c4-f6cb-456a-a2ab-ca975ff906d7.jpg","screenshot")
=HYPERLINK("https://user-images.githubusercontent.com/43299334/199687994-b792c5f2-8490-446a-b613-b4bd1accba6b.jpg","screenshot")
</f>
        <v/>
      </c>
      <c r="D23" s="1" t="inlineStr">
        <is>
          <t xml:space="preserve">
組織化
砲撃支援
偵察
専門部隊
医療救護
</t>
        </is>
      </c>
      <c r="E23" s="1" t="inlineStr">
        <is>
          <t xml:space="preserve">
Organization
Artillery Support
Reconaissance
Specialist Companies
Medical Aid
</t>
        </is>
      </c>
      <c r="F23" s="1" t="inlineStr">
        <is>
          <t xml:space="preserve">
基本編成
支援火砲
偵察部隊
特殊部隊
医療支援
</t>
        </is>
      </c>
      <c r="G23" s="1" t="inlineStr">
        <is>
          <t xml:space="preserve">やや不自然な日本語のため
参考のため、各PMG配下のPMを書いておきます
こちらも修正が必要だと思いますが別issueで
組織化
　非正規軍
　戦列歩兵
　散兵
　塹壕歩兵
　分隊
　機械化歩兵
砲撃支援
　歩兵集中
　カノン砲
　騎馬砲兵
　榴散弾砲
　攻城砲
偵察
　斥候騎兵
　自転車伝令
　自動偵察
　航空偵察
専門部隊
　標準的な歩兵
　機関銃手
　潜入者
　火炎放射部隊
　化学兵器専門部隊
医療救護
　創傷包帯
　応急手当
　野戦病院
</t>
        </is>
      </c>
      <c r="H23" s="1" t="inlineStr">
        <is>
          <t xml:space="preserve">1.0.4
</t>
        </is>
      </c>
      <c r="I23" s="1" t="inlineStr">
        <is>
          <t xml:space="preserve">なし
</t>
        </is>
      </c>
      <c r="J23" s="1" t="inlineStr">
        <is>
          <t xml:space="preserve">なし
</t>
        </is>
      </c>
    </row>
    <row r="24" ht="90" customHeight="1">
      <c r="A24">
        <f>HYPERLINK("https://github.com/matanki-saito/vic3jpadvmod/issues/313",313)</f>
        <v/>
      </c>
      <c r="B24" s="1" t="inlineStr">
        <is>
          <t>綿農園</t>
        </is>
      </c>
      <c r="C24" s="1">
        <f>HYPERLINK("https://user-images.githubusercontent.com/29382778/199673713-6ecc236f-f2b2-477b-9611-ffad82dda034.png","screenshot")
</f>
        <v/>
      </c>
      <c r="D24" s="1" t="inlineStr">
        <is>
          <t xml:space="preserve">
綿農園
</t>
        </is>
      </c>
      <c r="E24" s="1" t="inlineStr">
        <is>
          <t xml:space="preserve">
Cotton Plantations
</t>
        </is>
      </c>
      <c r="F24" s="1" t="inlineStr">
        <is>
          <t xml:space="preserve">
綿花農園
</t>
        </is>
      </c>
      <c r="G24" s="1" t="inlineStr">
        <is>
          <t xml:space="preserve">ゲーム的な命名でイマーシヴではないため
</t>
        </is>
      </c>
      <c r="H24" s="1" t="inlineStr">
        <is>
          <t xml:space="preserve">1.0.4
</t>
        </is>
      </c>
      <c r="I24" s="1" t="n"/>
      <c r="J24" s="1" t="n"/>
    </row>
    <row r="25" ht="90" customHeight="1">
      <c r="A25">
        <f>HYPERLINK("https://github.com/matanki-saito/vic3jpadvmod/issues/312",312)</f>
        <v/>
      </c>
      <c r="B25" s="1" t="inlineStr">
        <is>
          <t>砂糖農園</t>
        </is>
      </c>
      <c r="C25" s="1">
        <f>HYPERLINK("https://user-images.githubusercontent.com/29382778/199673447-213ab13f-c432-404d-afb4-f96f84aff1de.png","screenshot")
</f>
        <v/>
      </c>
      <c r="D25" s="1" t="inlineStr">
        <is>
          <t xml:space="preserve">
砂糖農園
</t>
        </is>
      </c>
      <c r="E25" s="1" t="inlineStr">
        <is>
          <t xml:space="preserve">
Sugar Plantation
</t>
        </is>
      </c>
      <c r="F25" s="1" t="inlineStr">
        <is>
          <t xml:space="preserve">
サトウキビ農園
</t>
        </is>
      </c>
      <c r="G25" s="1" t="inlineStr">
        <is>
          <t xml:space="preserve">ゲーム的な命名でイマーシヴではないため
</t>
        </is>
      </c>
      <c r="H25" s="1" t="inlineStr">
        <is>
          <t xml:space="preserve">1.0.4
</t>
        </is>
      </c>
      <c r="I25" s="1" t="n"/>
      <c r="J25" s="1" t="n"/>
    </row>
    <row r="26" ht="180" customHeight="1">
      <c r="A26">
        <f>HYPERLINK("https://github.com/matanki-saito/vic3jpadvmod/issues/305",305)</f>
        <v/>
      </c>
      <c r="B26" s="1" t="inlineStr">
        <is>
          <t>「Samurai」と「Gentry Assembly」</t>
        </is>
      </c>
      <c r="C26" s="1">
        <f>HYPERLINK("https://user-images.githubusercontent.com/38329957/199653211-65d882c5-54c9-4c6e-a5f4-3608bc8fd2bb.jpg","screenshot")
=HYPERLINK("https://user-images.githubusercontent.com/38329957/199653236-8701aec8-1eb0-4e5a-a44a-e1190b014184.jpg","screenshot")
</f>
        <v/>
      </c>
      <c r="D26" s="1" t="inlineStr">
        <is>
          <t xml:space="preserve">
侍
上流階級会合
</t>
        </is>
      </c>
      <c r="E26" s="1" t="inlineStr">
        <is>
          <t xml:space="preserve">
Samurai
Gentry Assembly
</t>
        </is>
      </c>
      <c r="F26" s="1" t="inlineStr">
        <is>
          <t xml:space="preserve">
武士
貴族会議
</t>
        </is>
      </c>
      <c r="G26" s="1" t="inlineStr">
        <is>
          <t xml:space="preserve">Samuraiは日本語的な表現では武士とすることが一般的なため、Gentry Assemblyはロシア語的に誤訳であるため。
</t>
        </is>
      </c>
      <c r="H26" s="1" t="inlineStr">
        <is>
          <t xml:space="preserve">1.0.4
</t>
        </is>
      </c>
      <c r="I26" s="1" t="inlineStr">
        <is>
          <t xml:space="preserve">なし
</t>
        </is>
      </c>
      <c r="J26" s="1" t="inlineStr">
        <is>
          <t xml:space="preserve">日本語修正MOD
</t>
        </is>
      </c>
    </row>
    <row r="27" ht="90" customHeight="1">
      <c r="A27">
        <f>HYPERLINK("https://github.com/matanki-saito/vic3jpadvmod/issues/304",304)</f>
        <v/>
      </c>
      <c r="B27" s="1" t="inlineStr">
        <is>
          <t>扶養者（Dependent）</t>
        </is>
      </c>
      <c r="C27" s="1">
        <f>HYPERLINK("https://user-images.githubusercontent.com/42687608/199655027-4751a2ab-f634-45da-bdb2-f1809223b7e3.jpg","screenshot")
</f>
        <v/>
      </c>
      <c r="D27" s="1" t="inlineStr">
        <is>
          <t xml:space="preserve">
扶養者
</t>
        </is>
      </c>
      <c r="E27" s="1" t="inlineStr">
        <is>
          <t xml:space="preserve">
Dependent
</t>
        </is>
      </c>
      <c r="F27" s="1" t="inlineStr">
        <is>
          <t xml:space="preserve">
被扶養者
</t>
        </is>
      </c>
      <c r="G27" s="1" t="inlineStr">
        <is>
          <t xml:space="preserve">誤訳により意味が逆になっているため。
</t>
        </is>
      </c>
      <c r="H27" s="1" t="inlineStr">
        <is>
          <t xml:space="preserve">1.0.4
</t>
        </is>
      </c>
      <c r="I27" s="1" t="inlineStr">
        <is>
          <t xml:space="preserve">- Victoria II Remastered Soundtrack
- American Buildings Pack
</t>
        </is>
      </c>
      <c r="J27" s="1" t="inlineStr">
        <is>
          <t xml:space="preserve">- 自作Mod多数
</t>
        </is>
      </c>
    </row>
    <row r="28" ht="90" customHeight="1">
      <c r="A28">
        <f>HYPERLINK("https://github.com/matanki-saito/vic3jpadvmod/issues/303",303)</f>
        <v/>
      </c>
      <c r="B28" s="1" t="inlineStr">
        <is>
          <t>【修正提案】 未就業者 unemployed</t>
        </is>
      </c>
      <c r="C28" s="1">
        <f>HYPERLINK("https://user-images.githubusercontent.com/50406316/199650638-43b191d7-9797-4de0-bf07-0acd963e33c6.png","screenshot")
</f>
        <v/>
      </c>
      <c r="D28" s="1" t="inlineStr">
        <is>
          <t xml:space="preserve">
未就業者
</t>
        </is>
      </c>
      <c r="E28" s="1" t="inlineStr">
        <is>
          <t xml:space="preserve">
unemployed
</t>
        </is>
      </c>
      <c r="F28" s="1" t="inlineStr">
        <is>
          <t xml:space="preserve">
失業者
</t>
        </is>
      </c>
      <c r="G28" s="1" t="inlineStr">
        <is>
          <t xml:space="preserve">未就業者とすると通常は働いたことが無い学生や既卒無職者などを指し、就業経験のある失業者は含まないことが多い。
ゲームの用法は単に失業しているPOPを指すので、失業者とするほうが適切。
</t>
        </is>
      </c>
      <c r="H28" s="1" t="inlineStr">
        <is>
          <t xml:space="preserve">1.0.4
</t>
        </is>
      </c>
      <c r="I28" s="1" t="inlineStr">
        <is>
          <t xml:space="preserve">無し
</t>
        </is>
      </c>
      <c r="J28" s="1" t="inlineStr">
        <is>
          <t xml:space="preserve">JapaneseLanguageAdvancedMod 【修正提案】更新: 11月3日 @ 7時10分
</t>
        </is>
      </c>
    </row>
    <row r="29" ht="90" customHeight="1">
      <c r="A29">
        <f>HYPERLINK("https://github.com/matanki-saito/vic3jpadvmod/issues/294",294)</f>
        <v/>
      </c>
      <c r="B29" s="1" t="inlineStr">
        <is>
          <t>【修正提案】全世界規模の教育 Universal Education</t>
        </is>
      </c>
      <c r="C29" s="1">
        <f>HYPERLINK("https://user-images.githubusercontent.com/50406316/199553167-0cf32105-7a47-4ba9-a6e7-ba2beef83dda.png","screenshot")
</f>
        <v/>
      </c>
      <c r="D29" s="1" t="inlineStr">
        <is>
          <t xml:space="preserve">
全世界規模の教育機会
（注：翻訳改善MODを使用しており、#123でEducation Accessの訳語を教育自由度→教育機会に改訳しています）
</t>
        </is>
      </c>
      <c r="E29" s="1" t="inlineStr">
        <is>
          <t xml:space="preserve">
Universal Education Access
</t>
        </is>
      </c>
      <c r="F29" s="1" t="inlineStr">
        <is>
          <t xml:space="preserve">
普通教育の機会
</t>
        </is>
      </c>
      <c r="G29" s="1" t="inlineStr">
        <is>
          <t xml:space="preserve">Universal Educationで普通教育の意味だが、誤訳なので修正したい。
ゲーム上でも、教育法で学校を設立すると上がるベースの識字率のことを指しているので普通教育のことである。
</t>
        </is>
      </c>
      <c r="H29" s="1" t="inlineStr">
        <is>
          <t xml:space="preserve">1.0.4
</t>
        </is>
      </c>
      <c r="I29" s="1" t="inlineStr">
        <is>
          <t xml:space="preserve">無し
</t>
        </is>
      </c>
      <c r="J29" s="1" t="inlineStr">
        <is>
          <t xml:space="preserve">JapaneseLanguageAdvancedMod(更新: 11月2日 @ 7時11分)
</t>
        </is>
      </c>
    </row>
    <row r="30" ht="90" customHeight="1">
      <c r="A30">
        <f>HYPERLINK("https://github.com/matanki-saito/vic3jpadvmod/issues/292",292)</f>
        <v/>
      </c>
      <c r="B30" s="1" t="inlineStr">
        <is>
          <t>【修正提案】石油</t>
        </is>
      </c>
      <c r="C30" s="1">
        <f>HYPERLINK("https://user-images.githubusercontent.com/29382778/199539570-3a2f223c-fb27-416d-9dd8-124bc25a44d6.png","screenshot")
</f>
        <v/>
      </c>
      <c r="D30" s="1" t="inlineStr">
        <is>
          <t xml:space="preserve">
石油
</t>
        </is>
      </c>
      <c r="E30" s="1" t="inlineStr">
        <is>
          <t xml:space="preserve">
Oil
</t>
        </is>
      </c>
      <c r="F30" s="1" t="inlineStr">
        <is>
          <t xml:space="preserve">
燃油
</t>
        </is>
      </c>
      <c r="G30" s="1" t="inlineStr">
        <is>
          <t xml:space="preserve">クジラからも取れるため
</t>
        </is>
      </c>
      <c r="H30" s="1" t="inlineStr">
        <is>
          <t xml:space="preserve">1.0.4
</t>
        </is>
      </c>
      <c r="I30" s="1" t="n"/>
      <c r="J30" s="1" t="n"/>
    </row>
    <row r="31" ht="90" customHeight="1">
      <c r="A31">
        <f>HYPERLINK("https://github.com/matanki-saito/vic3jpadvmod/issues/288",288)</f>
        <v/>
      </c>
      <c r="B31" s="1" t="inlineStr">
        <is>
          <t>【修正提案】利益団体</t>
        </is>
      </c>
      <c r="C31" s="1">
        <f>HYPERLINK("https://user-images.githubusercontent.com/29382778/199526957-53e75188-fd41-439f-a530-964e30c3ecb8.png","screenshot")
</f>
        <v/>
      </c>
      <c r="D31" s="1" t="inlineStr">
        <is>
          <t xml:space="preserve">
利益団体
</t>
        </is>
      </c>
      <c r="E31" s="1" t="inlineStr">
        <is>
          <t xml:space="preserve">
Interest Group
</t>
        </is>
      </c>
      <c r="F31" s="1" t="inlineStr">
        <is>
          <t xml:space="preserve">
利益集団
</t>
        </is>
      </c>
      <c r="G31" s="1" t="inlineStr">
        <is>
          <t xml:space="preserve">特定の団体名ではなく、もっと広いグループを指しているため
</t>
        </is>
      </c>
      <c r="H31" s="1" t="inlineStr">
        <is>
          <t xml:space="preserve">1.0.4
</t>
        </is>
      </c>
      <c r="I31" s="1" t="n"/>
      <c r="J31" s="1" t="n"/>
    </row>
    <row r="32" ht="90" customHeight="1">
      <c r="A32">
        <f>HYPERLINK("https://github.com/matanki-saito/vic3jpadvmod/issues/286",286)</f>
        <v/>
      </c>
      <c r="B32" s="1" t="inlineStr">
        <is>
          <t>【修正提案】絹農園</t>
        </is>
      </c>
      <c r="C32" s="1">
        <f>HYPERLINK("https://user-images.githubusercontent.com/29382778/199523653-a4d39e99-0fd6-4e9f-bc3b-aff32fe3bcaf.png","screenshot")
</f>
        <v/>
      </c>
      <c r="D32" s="1" t="inlineStr">
        <is>
          <t xml:space="preserve">
絹農園
</t>
        </is>
      </c>
      <c r="E32" s="1" t="inlineStr">
        <is>
          <t xml:space="preserve">
Silk Plantations
</t>
        </is>
      </c>
      <c r="F32" s="1" t="inlineStr">
        <is>
          <t xml:space="preserve">
桑農園
</t>
        </is>
      </c>
      <c r="G32" s="1" t="inlineStr">
        <is>
          <t xml:space="preserve">一般に「絹農園」とは言わず、カイコ蛾の餌である「桑畑」と言う。「農園」としたのは、プランテーション系施設であるため。
</t>
        </is>
      </c>
      <c r="H32" s="1" t="inlineStr">
        <is>
          <t xml:space="preserve">1.0.4
</t>
        </is>
      </c>
      <c r="I32" s="1" t="n"/>
      <c r="J32" s="1" t="n"/>
    </row>
    <row r="33" ht="180" customHeight="1">
      <c r="A33">
        <f>HYPERLINK("https://github.com/matanki-saito/vic3jpadvmod/issues/284",284)</f>
        <v/>
      </c>
      <c r="B33" s="1" t="inlineStr">
        <is>
          <t>【修正提案】徴兵センター/建設セクター/交易センター</t>
        </is>
      </c>
      <c r="C33" s="1">
        <f>HYPERLINK("https://user-images.githubusercontent.com/29382778/199521920-002e9631-428c-43d4-81c0-2c00b40c7b54.png","screenshot")
=HYPERLINK("https://user-images.githubusercontent.com/29382778/199522431-6ba1da08-0548-4596-b49f-d35486d79f29.png","screenshot")
</f>
        <v/>
      </c>
      <c r="D33" s="1" t="inlineStr">
        <is>
          <t xml:space="preserve">
徴兵センター/建設セクター/交易センター
</t>
        </is>
      </c>
      <c r="E33" s="1" t="inlineStr">
        <is>
          <t xml:space="preserve">
Conscription Center/Construction Sector/Trade Center
</t>
        </is>
      </c>
      <c r="F33" s="1" t="inlineStr">
        <is>
          <t xml:space="preserve">
徴兵局/建設局/商社
</t>
        </is>
      </c>
      <c r="G33" s="1" t="inlineStr">
        <is>
          <t xml:space="preserve">好みです。あと文字数が減るのでUI的に優しい
</t>
        </is>
      </c>
      <c r="H33" s="1" t="inlineStr">
        <is>
          <t xml:space="preserve">1.0.4
</t>
        </is>
      </c>
      <c r="I33" s="1" t="n"/>
      <c r="J33" s="1" t="n"/>
    </row>
    <row r="34" ht="90" customHeight="1">
      <c r="A34">
        <f>HYPERLINK("https://github.com/matanki-saito/vic3jpadvmod/issues/282",282)</f>
        <v/>
      </c>
      <c r="B34" s="1" t="inlineStr">
        <is>
          <t>【修正提案】美術学校</t>
        </is>
      </c>
      <c r="C34" s="1">
        <f>HYPERLINK("https://user-images.githubusercontent.com/29382778/199507127-c3359cca-722c-40c5-aa5c-278025d2d77f.png","screenshot")
</f>
        <v/>
      </c>
      <c r="D34" s="1" t="inlineStr">
        <is>
          <t xml:space="preserve">
美術学校
</t>
        </is>
      </c>
      <c r="E34" s="1" t="inlineStr">
        <is>
          <t xml:space="preserve">
Arts Academy
</t>
        </is>
      </c>
      <c r="F34" s="1" t="inlineStr">
        <is>
          <t xml:space="preserve">
美術院もしくは芸術院
</t>
        </is>
      </c>
      <c r="G34" s="1" t="inlineStr">
        <is>
          <t xml:space="preserve">イギリス最古の美術学校、Royal Academy of Artsは「王立芸術院」と訳される。Arts Academyの解禁技術はロマン主義であり、王立芸術院はその発展に大きく寄与したとされる。こうした歴史的背景を考えると、ただの「学校」ではなく、箔のある名称にすべき。
</t>
        </is>
      </c>
      <c r="H34" s="1" t="inlineStr">
        <is>
          <t xml:space="preserve">1.0.4
</t>
        </is>
      </c>
      <c r="I34" s="1" t="n"/>
      <c r="J34" s="1" t="n"/>
    </row>
    <row r="35" ht="165" customHeight="1">
      <c r="A35">
        <f>HYPERLINK("https://github.com/matanki-saito/vic3jpadvmod/issues/280",280)</f>
        <v/>
      </c>
      <c r="B35" s="1" t="inlineStr">
        <is>
          <t>【修正提案】原料不足　サジェスチョン</t>
        </is>
      </c>
      <c r="C35" s="1">
        <f>HYPERLINK("https://user-images.githubusercontent.com/43299334/199490595-6de171d4-e06e-45cf-9999-0e96e3cb75af.jpg","screenshot")
</f>
        <v/>
      </c>
      <c r="D35" s="1" t="inlineStr">
        <is>
          <t xml:space="preserve">
原料不足
（市場）での（商品）の原料不足
</t>
        </is>
      </c>
      <c r="E35" s="1" t="inlineStr">
        <is>
          <t xml:space="preserve">
Input Goods Shortage
[SCOPE.GetRootScope.GetMarketGoods.GetGoods.GetTextIcon] [SCOPE.GetRootScope.GetMarketGoods.GetGoods.GetName] [concept_input_goods_shortage] in the [SCOPE.GetRootScope.GetMarketGoods.GetMarket.GetName]
</t>
        </is>
      </c>
      <c r="F35" s="1" t="inlineStr">
        <is>
          <t xml:space="preserve">
不足
（市場）における（商品）の不足
</t>
        </is>
      </c>
      <c r="G35" s="1" t="inlineStr">
        <is>
          <t xml:space="preserve">誤訳というわけではないが、（商品）の原料が不足しているように読めてしまうため。
（実際に不足しているのは表示されている商品そのもの）
ただし、場合によっては「原料不足」の訳が適当な場合もあり、修正については相談したい。
</t>
        </is>
      </c>
      <c r="H35" s="1" t="inlineStr">
        <is>
          <t xml:space="preserve">1.0.3
</t>
        </is>
      </c>
      <c r="I35" s="1" t="inlineStr">
        <is>
          <t xml:space="preserve">なし
</t>
        </is>
      </c>
      <c r="J35" s="1" t="inlineStr">
        <is>
          <t xml:space="preserve">フォント文字化け改善MOD
</t>
        </is>
      </c>
    </row>
    <row r="36" ht="180" customHeight="1">
      <c r="A36">
        <f>HYPERLINK("https://github.com/matanki-saito/vic3jpadvmod/issues/276",276)</f>
        <v/>
      </c>
      <c r="B36" s="1" t="inlineStr">
        <is>
          <t>【修正提案】貯蓄 pool</t>
        </is>
      </c>
      <c r="C36" s="1">
        <f>HYPERLINK("https://user-images.githubusercontent.com/50406316/199473161-3e9b955a-d361-4e77-8cff-1a14ca02629b.png","screenshot")
=HYPERLINK("https://user-images.githubusercontent.com/50406316/199473174-75cd20a4-bc04-4686-b107-50ff69e0949d.png","screenshot")
</f>
        <v/>
      </c>
      <c r="D36" s="1" t="inlineStr">
        <is>
          <t xml:space="preserve">
貯蓄
</t>
        </is>
      </c>
      <c r="E36" s="1" t="inlineStr">
        <is>
          <t xml:space="preserve">
Pools
</t>
        </is>
      </c>
      <c r="F36" s="1" t="inlineStr">
        <is>
          <t xml:space="preserve">
プール
</t>
        </is>
      </c>
      <c r="G36" s="1" t="inlineStr">
        <is>
          <t xml:space="preserve">現在の訳は貯蓄となっているが、これは信用プール（借金可能枠）と使用分および投資プールのことを指す項目であり、特に前者の信用プールは貯蓄とは関係なくプレイヤーの誤解を招くため改訳したい。
</t>
        </is>
      </c>
      <c r="H36" s="1" t="inlineStr">
        <is>
          <t xml:space="preserve">1.0.4
</t>
        </is>
      </c>
      <c r="I36" s="1" t="inlineStr">
        <is>
          <t xml:space="preserve">無し
</t>
        </is>
      </c>
      <c r="J36" s="1" t="inlineStr">
        <is>
          <t xml:space="preserve">JapaneseLanguageAdvancedMod(更新: 11月2日 @ 7時11分)
</t>
        </is>
      </c>
    </row>
    <row r="37" ht="210" customHeight="1">
      <c r="A37">
        <f>HYPERLINK("https://github.com/matanki-saito/vic3jpadvmod/issues/274",274)</f>
        <v/>
      </c>
      <c r="B37" s="1" t="inlineStr">
        <is>
          <t>Gold Fields とGold Mine（金鉱山）</t>
        </is>
      </c>
      <c r="C37" s="1" t="inlineStr">
        <is>
          <t xml:space="preserve">1) **Gold Fields**
=HYPERLINK("https://user-images.githubusercontent.com/45805826/199457634-f7774f93-04ce-43f2-8bd3-2d7997483001.png","screenshot")
2) **Gold Mine**
=HYPERLINK("https://user-images.githubusercontent.com/45805826/199457770-acab2924-907b-47f1-b7da-28fbeb672d37.png","screenshot")
</t>
        </is>
      </c>
      <c r="D37" s="1" t="inlineStr">
        <is>
          <t xml:space="preserve">
金鉱山
</t>
        </is>
      </c>
      <c r="E37" s="1" t="inlineStr">
        <is>
          <t xml:space="preserve">
Gold Fields
Gold Mine
</t>
        </is>
      </c>
      <c r="F37" s="1" t="inlineStr">
        <is>
          <t xml:space="preserve">
Gold Fields(building_gold_fields) -&gt; 採金地 （グラフィックでは川が描かれており、おそらく砂金を表しているため）
Gold Mine(building_gold_mine) -&gt; 金鉱山 （現状から変更の必要無し。一応記載。）
</t>
        </is>
      </c>
      <c r="G37" s="1" t="inlineStr">
        <is>
          <t xml:space="preserve">原語及びゲーム上では別のものとして扱われているが、日本語訳ではその違いが読み取れないため。
</t>
        </is>
      </c>
      <c r="H37" s="1" t="inlineStr">
        <is>
          <t xml:space="preserve">1.0.4
</t>
        </is>
      </c>
      <c r="I37" s="1" t="inlineStr">
        <is>
          <t xml:space="preserve">無し
</t>
        </is>
      </c>
      <c r="J37" s="1" t="inlineStr">
        <is>
          <t xml:space="preserve">無し
</t>
        </is>
      </c>
    </row>
    <row r="38" ht="90" customHeight="1">
      <c r="A38">
        <f>HYPERLINK("https://github.com/matanki-saito/vic3jpadvmod/issues/267",267)</f>
        <v/>
      </c>
      <c r="B38" s="1" t="inlineStr">
        <is>
          <t>【修正提案】シニアパートナー・ジュニアパートナー (Senior Partner, Junior Partner)</t>
        </is>
      </c>
      <c r="C38" s="1">
        <f>HYPERLINK("https://user-images.githubusercontent.com/117251782/199404734-e72a0208-b666-4d2a-bf94-bf359e9e2780.png","screenshot")
</f>
        <v/>
      </c>
      <c r="D38" s="1" t="inlineStr">
        <is>
          <t xml:space="preserve">
シニアパートナー
ジュニアパートナー
</t>
        </is>
      </c>
      <c r="E38" s="1" t="inlineStr">
        <is>
          <t xml:space="preserve">
Senior Partner
Junior Partner
</t>
        </is>
      </c>
      <c r="F38" s="1" t="inlineStr">
        <is>
          <t xml:space="preserve">
主導メンバー
傘下メンバー
</t>
        </is>
      </c>
      <c r="G38" s="1" t="inlineStr">
        <is>
          <t xml:space="preserve">音訳であり分かりにくいため
</t>
        </is>
      </c>
      <c r="H38" s="1" t="inlineStr">
        <is>
          <t xml:space="preserve">1.0.3
</t>
        </is>
      </c>
      <c r="I38" s="1" t="inlineStr">
        <is>
          <t xml:space="preserve">無し
</t>
        </is>
      </c>
      <c r="J38" s="1" t="inlineStr">
        <is>
          <t xml:space="preserve">なし
</t>
        </is>
      </c>
    </row>
    <row r="39" ht="90" customHeight="1">
      <c r="A39">
        <f>HYPERLINK("https://github.com/matanki-saito/vic3jpadvmod/issues/262",262)</f>
        <v/>
      </c>
      <c r="B39" s="1" t="inlineStr">
        <is>
          <t>【修正提案】シビア・マラリア（Severe Malaria）</t>
        </is>
      </c>
      <c r="C39" s="1">
        <f>HYPERLINK("https://user-images.githubusercontent.com/42687608/199385190-a9f59a85-3851-4f83-8b7d-307008e01d54.jpg","screenshot")
</f>
        <v/>
      </c>
      <c r="D39" s="1" t="inlineStr">
        <is>
          <t xml:space="preserve">
シビア・マラリア
</t>
        </is>
      </c>
      <c r="E39" s="1" t="inlineStr">
        <is>
          <t xml:space="preserve">
Severe Malaria
</t>
        </is>
      </c>
      <c r="F39" s="1" t="inlineStr">
        <is>
          <t xml:space="preserve">
過酷なマラリア
</t>
        </is>
      </c>
      <c r="G39" s="1" t="inlineStr">
        <is>
          <t xml:space="preserve">日本語に翻訳されていないため。この表現は州の特性にも使われています。変更案は一例です。
</t>
        </is>
      </c>
      <c r="H39" s="1" t="inlineStr">
        <is>
          <t xml:space="preserve">1.0.3
</t>
        </is>
      </c>
      <c r="I39" s="1" t="inlineStr">
        <is>
          <t xml:space="preserve">- Victoria II Remastered Soundtrack
- American Buildings Pack
</t>
        </is>
      </c>
      <c r="J39" s="1" t="inlineStr">
        <is>
          <t xml:space="preserve">- 自作Mod多数
</t>
        </is>
      </c>
    </row>
    <row r="40" ht="90" customHeight="1">
      <c r="A40">
        <f>HYPERLINK("https://github.com/matanki-saito/vic3jpadvmod/issues/254",254)</f>
        <v/>
      </c>
      <c r="B40" s="1" t="inlineStr">
        <is>
          <t>司令制限→指揮上限</t>
        </is>
      </c>
      <c r="C40" s="1">
        <f>HYPERLINK("https://user-images.githubusercontent.com/37979626/199277875-1d69d798-625a-4fd2-88e2-3ad57e59c71c.png","screenshot")
</f>
        <v/>
      </c>
      <c r="D40" s="1" t="inlineStr">
        <is>
          <t xml:space="preserve">司令制限
常設大隊司令制限
徴兵大隊司令制限
艦艇司令制限
</t>
        </is>
      </c>
      <c r="E40" s="1" t="inlineStr">
        <is>
          <t xml:space="preserve">Command Limit
Regular Battalion Command Limit
Conscript Battalion Command Limit
Flotilla Command Limit
</t>
        </is>
      </c>
      <c r="F40" s="1" t="inlineStr">
        <is>
          <t xml:space="preserve">指揮上限
常設大隊指揮上限
徴兵大隊指揮上限
艦艇指揮上限
</t>
        </is>
      </c>
      <c r="G40" s="1" t="inlineStr">
        <is>
          <t xml:space="preserve">部隊を率いることを鑑みると「指揮」としたほうが良く、また上限が設定されるものなので「上限」の方が適切で分かりやすいため
</t>
        </is>
      </c>
      <c r="H40" s="1" t="inlineStr">
        <is>
          <t xml:space="preserve">1.0.1
</t>
        </is>
      </c>
      <c r="I40" s="1" t="inlineStr">
        <is>
          <t xml:space="preserve">無し
</t>
        </is>
      </c>
      <c r="J40" s="1" t="inlineStr">
        <is>
          <t xml:space="preserve">なし
</t>
        </is>
      </c>
    </row>
    <row r="41" ht="180" customHeight="1">
      <c r="A41">
        <f>HYPERLINK("https://github.com/matanki-saito/vic3jpadvmod/issues/251",251)</f>
        <v/>
      </c>
      <c r="B41" s="1" t="inlineStr">
        <is>
          <t>物資（ユニットの補給用語）</t>
        </is>
      </c>
      <c r="C41" s="1">
        <f>HYPERLINK("https://user-images.githubusercontent.com/43299334/199249013-be8cd8fb-a121-4c44-98ed-d23f728a9cfe.jpg","screenshot")
=HYPERLINK("https://user-images.githubusercontent.com/43299334/199249038-910b4947-e9fc-4cfd-b3e3-822fe65fa5c1.jpg","screenshot")
</f>
        <v/>
      </c>
      <c r="D41" s="1" t="inlineStr">
        <is>
          <t xml:space="preserve">
物資
</t>
        </is>
      </c>
      <c r="E41" s="1" t="inlineStr">
        <is>
          <t xml:space="preserve">
Supply
</t>
        </is>
      </c>
      <c r="F41" s="1" t="inlineStr">
        <is>
          <t xml:space="preserve">
補給、補給物資　など
</t>
        </is>
      </c>
      <c r="G41" s="1" t="inlineStr">
        <is>
          <t xml:space="preserve">ツールチップでは比較的分かりやすいが、そうでない場合、直感的に意味が把握しづらいため。
またSupplyは各商品の供給の意味でも使われ、そちらは「供給」訳に統一した。
（公式日本語訳ではどちらも「物資」と訳されていた）
</t>
        </is>
      </c>
      <c r="H41" s="1" t="inlineStr">
        <is>
          <t xml:space="preserve">1.0.3
</t>
        </is>
      </c>
      <c r="I41" s="1" t="inlineStr">
        <is>
          <t xml:space="preserve">なし
</t>
        </is>
      </c>
      <c r="J41" s="1" t="inlineStr">
        <is>
          <t xml:space="preserve">姓名逆転MOD
</t>
        </is>
      </c>
    </row>
    <row r="42" ht="180" customHeight="1">
      <c r="A42">
        <f>HYPERLINK("https://github.com/matanki-saito/vic3jpadvmod/issues/239",239)</f>
        <v/>
      </c>
      <c r="B42" s="1" t="inlineStr">
        <is>
          <t>（制度）を修復/（制度）を制定</t>
        </is>
      </c>
      <c r="C42" s="1">
        <f>HYPERLINK("https://user-images.githubusercontent.com/43299334/199206354-9fc26f1b-b4ef-48b5-82fd-9bacb64d9a30.jpg","screenshot")
=HYPERLINK("https://user-images.githubusercontent.com/43299334/199207307-423b82ad-5308-408d-bbef-4f0d6219201e.jpg","screenshot")
</f>
        <v/>
      </c>
      <c r="D42" s="1" t="inlineStr">
        <is>
          <t xml:space="preserve">（制度）を修復
</t>
        </is>
      </c>
      <c r="E42" s="1" t="inlineStr">
        <is>
          <t xml:space="preserve">Restore [LawType.GetName]
Enact [LawType.GetName]
</t>
        </is>
      </c>
      <c r="F42" s="1" t="inlineStr">
        <is>
          <t xml:space="preserve">（制度）の復活
（制度）の制定
</t>
        </is>
      </c>
      <c r="G42" s="1" t="inlineStr">
        <is>
          <t xml:space="preserve">日本語として不自然なため
体言止めでなくするなら、「（制度）を復活させる」などになる
</t>
        </is>
      </c>
      <c r="H42" s="1" t="inlineStr">
        <is>
          <t xml:space="preserve">1.0.3
</t>
        </is>
      </c>
      <c r="I42" s="1" t="inlineStr">
        <is>
          <t xml:space="preserve">なし
</t>
        </is>
      </c>
      <c r="J42" s="1" t="inlineStr">
        <is>
          <t xml:space="preserve">なし
</t>
        </is>
      </c>
    </row>
    <row r="43" ht="90" customHeight="1">
      <c r="A43">
        <f>HYPERLINK("https://github.com/matanki-saito/vic3jpadvmod/issues/233",233)</f>
        <v/>
      </c>
      <c r="B43" s="1" t="inlineStr">
        <is>
          <t>【修正提案】フィルム（Film）（技術の名称）</t>
        </is>
      </c>
      <c r="C43" s="1">
        <f>HYPERLINK("https://user-images.githubusercontent.com/42687608/199171425-254c42c9-7112-4304-af3b-9cab347581eb.jpg","screenshot")
</f>
        <v/>
      </c>
      <c r="D43" s="1" t="inlineStr">
        <is>
          <t xml:space="preserve">フィルム
</t>
        </is>
      </c>
      <c r="E43" s="1" t="inlineStr">
        <is>
          <t xml:space="preserve">Film
</t>
        </is>
      </c>
      <c r="F43" s="1" t="inlineStr">
        <is>
          <t xml:space="preserve">映画
</t>
        </is>
      </c>
      <c r="G43" s="1" t="inlineStr">
        <is>
          <t xml:space="preserve">アイコンからも説明文からも映画を意味していると思われるため。
</t>
        </is>
      </c>
      <c r="H43" s="1" t="inlineStr">
        <is>
          <t xml:space="preserve">1.0.3
</t>
        </is>
      </c>
      <c r="I43" s="1" t="inlineStr">
        <is>
          <t xml:space="preserve">- Victoria II Remastered Soundtrack
- American Buildings Pack
</t>
        </is>
      </c>
      <c r="J43" s="1" t="inlineStr">
        <is>
          <t xml:space="preserve">- 自作Mod多数
</t>
        </is>
      </c>
    </row>
    <row r="44" ht="195" customHeight="1">
      <c r="A44">
        <f>HYPERLINK("https://github.com/matanki-saito/vic3jpadvmod/issues/229",229)</f>
        <v/>
      </c>
      <c r="B44" s="1" t="inlineStr">
        <is>
          <t xml:space="preserve"> 【修正提案】 小作農 Peasants</t>
        </is>
      </c>
      <c r="C44" s="1">
        <f>HYPERLINK("https://user-images.githubusercontent.com/50406316/199136456-0a2338d8-52cf-4218-9115-66e334bdb3b3.png","screenshot")
</f>
        <v/>
      </c>
      <c r="D44" s="1" t="inlineStr">
        <is>
          <t xml:space="preserve">小作農
</t>
        </is>
      </c>
      <c r="E44" s="1" t="inlineStr">
        <is>
          <t xml:space="preserve">Peasants
</t>
        </is>
      </c>
      <c r="F44" s="1" t="inlineStr">
        <is>
          <t xml:space="preserve">小農民
</t>
        </is>
      </c>
      <c r="G44" s="1" t="inlineStr">
        <is>
          <t xml:space="preserve">英語のPeasantsは土地を持たず地代を払っている小作農と小規模な土地を持つ自作農を両方含むが、日本語で小作人としてしまうと前者の土地なし農民だけを表してしまうことになり、訳語が対応していない。
現実でも日本の小作農は全農家中の2～3割程度だったらしいし、フランスのように革命で自作農が増えた国でもゲーム中では大量のPeasantsがいるので、小作人とするのは適していないように思える。
（参考）
https://kotobank.jp/word/%E5%B0%8F%E4%BD%9C%E8%BE%B2-500855
</t>
        </is>
      </c>
      <c r="H44" s="1" t="inlineStr">
        <is>
          <t xml:space="preserve">1.0.3
</t>
        </is>
      </c>
      <c r="I44" s="1" t="inlineStr">
        <is>
          <t xml:space="preserve">無し
</t>
        </is>
      </c>
      <c r="J44" s="1" t="inlineStr">
        <is>
          <t xml:space="preserve">JapaneseLanguageAdvancedMod（更新: 11月1日 @ 7時10分）
</t>
        </is>
      </c>
    </row>
    <row r="45" ht="90" customHeight="1">
      <c r="A45">
        <f>HYPERLINK("https://github.com/matanki-saito/vic3jpadvmod/issues/223",223)</f>
        <v/>
      </c>
      <c r="B45" s="1" t="inlineStr">
        <is>
          <t>【修正提案】Plants プラント</t>
        </is>
      </c>
      <c r="C45" s="1">
        <f>HYPERLINK("https://user-images.githubusercontent.com/50406316/198982933-0f24cff1-e520-49d7-9255-0ed579eeac79.png","screenshot")
</f>
        <v/>
      </c>
      <c r="D45" s="1" t="inlineStr">
        <is>
          <t xml:space="preserve"> pm_hydroelectric_plant:0 "水力発電プラント"
 pm_coal-fired_plant:0 "石炭燃焼プラント"
 pm_oil-fired_plant:0 "石油燃焼プラント"
</t>
        </is>
      </c>
      <c r="E45" s="1" t="inlineStr">
        <is>
          <t xml:space="preserve"> pm_hydroelectric_plant:0 "Hydroelectric Plant"
 pm_coal-fired_plant:0 "Coal-Fired Plant"
 pm_oil-fired_plant:0 "Oil-Fired Plant"
</t>
        </is>
      </c>
      <c r="F45" s="1" t="inlineStr">
        <is>
          <t xml:space="preserve">水力発電所/石炭火力発電所/石油火力発電所
</t>
        </is>
      </c>
      <c r="G45" s="1" t="inlineStr">
        <is>
          <t xml:space="preserve">一般には〇〇発電所と訳すのが定訳であるため。
#105にてPower Plantsを電力プラント→発電所に改訳しており、それに表記を合わせたい。
</t>
        </is>
      </c>
      <c r="H45" s="1" t="inlineStr">
        <is>
          <t xml:space="preserve">1.0.3
</t>
        </is>
      </c>
      <c r="I45" s="1" t="inlineStr">
        <is>
          <t xml:space="preserve">無し
</t>
        </is>
      </c>
      <c r="J45" s="1" t="inlineStr">
        <is>
          <t xml:space="preserve">JapaneseLanguageAdvancedMod（更新: 10月31日 @ 7時10分）
</t>
        </is>
      </c>
    </row>
    <row r="46" ht="90" customHeight="1">
      <c r="A46">
        <f>HYPERLINK("https://github.com/matanki-saito/vic3jpadvmod/issues/221",221)</f>
        <v/>
      </c>
      <c r="B46" s="1" t="inlineStr">
        <is>
          <t>【修正提案】製紙工場の製法－まっさらな紙</t>
        </is>
      </c>
      <c r="C46" s="1">
        <f>HYPERLINK("https://user-images.githubusercontent.com/42710893/198971422-a7126238-c6c5-448a-bfa5-46941e3372fb.jpg","screenshot")
</f>
        <v/>
      </c>
      <c r="D46" s="1" t="inlineStr">
        <is>
          <t xml:space="preserve">まっさらな紙
</t>
        </is>
      </c>
      <c r="E46" s="1" t="inlineStr">
        <is>
          <t xml:space="preserve">Paper Bleaching
</t>
        </is>
      </c>
      <c r="F46" s="1" t="inlineStr">
        <is>
          <t xml:space="preserve">「漂白紙」、あるいは単に「漂白」　等
</t>
        </is>
      </c>
      <c r="G46" s="1" t="inlineStr">
        <is>
          <t xml:space="preserve">まっさらな紙では意味がわかりにくい。
</t>
        </is>
      </c>
      <c r="H46" s="1" t="inlineStr">
        <is>
          <t xml:space="preserve">1.0.3
</t>
        </is>
      </c>
      <c r="I46" s="1" t="inlineStr">
        <is>
          <t xml:space="preserve">無し
</t>
        </is>
      </c>
      <c r="J46" s="1" t="inlineStr">
        <is>
          <t xml:space="preserve">なし
</t>
        </is>
      </c>
    </row>
    <row r="47" ht="90" customHeight="1">
      <c r="A47">
        <f>HYPERLINK("https://github.com/matanki-saito/vic3jpadvmod/issues/216",216)</f>
        <v/>
      </c>
      <c r="B47" s="1" t="inlineStr">
        <is>
          <t>【修正提案】敬虔</t>
        </is>
      </c>
      <c r="C47" s="1">
        <f>HYPERLINK("https://user-images.githubusercontent.com/117048815/198914103-1ea99521-c448-413a-ad61-b2726c3968a5.png","screenshot")
</f>
        <v/>
      </c>
      <c r="D47" s="1" t="inlineStr">
        <is>
          <t xml:space="preserve">敬虔
</t>
        </is>
      </c>
      <c r="E47" s="1" t="inlineStr">
        <is>
          <t xml:space="preserve">Devout
</t>
        </is>
      </c>
      <c r="F47" s="1" t="inlineStr">
        <is>
          <t xml:space="preserve">敬虔な信者/信者/聖職者/宗教団体
</t>
        </is>
      </c>
      <c r="G47" s="1" t="inlineStr">
        <is>
          <t xml:space="preserve">敬虔だけでは団体の名前として違和感があるため。
</t>
        </is>
      </c>
      <c r="H47" s="1" t="inlineStr">
        <is>
          <t xml:space="preserve">1.0.3
</t>
        </is>
      </c>
      <c r="I47" s="1" t="inlineStr">
        <is>
          <t xml:space="preserve">無し
</t>
        </is>
      </c>
      <c r="J47" s="1" t="inlineStr">
        <is>
          <t xml:space="preserve">無し
</t>
        </is>
      </c>
    </row>
    <row r="48" ht="15" customHeight="1">
      <c r="A48">
        <f>HYPERLINK("https://github.com/matanki-saito/vic3jpadvmod/issues/215",215)</f>
        <v/>
      </c>
      <c r="B48" s="1" t="inlineStr">
        <is>
          <t>【修正提案】インテリゲンチャ</t>
        </is>
      </c>
      <c r="C48" s="1" t="inlineStr">
        <is>
          <t xml:space="preserve">なし
</t>
        </is>
      </c>
      <c r="D48" s="1" t="inlineStr">
        <is>
          <t xml:space="preserve">インテリゲンチャ
</t>
        </is>
      </c>
      <c r="E48" s="1" t="inlineStr">
        <is>
          <t xml:space="preserve">知識人/知識階級
</t>
        </is>
      </c>
      <c r="F48" s="1" t="inlineStr">
        <is>
          <t xml:space="preserve">省略
</t>
        </is>
      </c>
      <c r="G48" s="1" t="inlineStr">
        <is>
          <t xml:space="preserve">他の利益団体の名前と比べて浮いているため
</t>
        </is>
      </c>
      <c r="H48" s="1" t="inlineStr">
        <is>
          <t xml:space="preserve">1.0.3
</t>
        </is>
      </c>
      <c r="I48" s="1" t="inlineStr">
        <is>
          <t xml:space="preserve">無し
</t>
        </is>
      </c>
      <c r="J48" s="1" t="inlineStr">
        <is>
          <t xml:space="preserve">無し
</t>
        </is>
      </c>
    </row>
    <row r="49" ht="90" customHeight="1">
      <c r="A49">
        <f>HYPERLINK("https://github.com/matanki-saito/vic3jpadvmod/issues/214",214)</f>
        <v/>
      </c>
      <c r="B49" s="1" t="inlineStr">
        <is>
          <t>【修正提案】電力建造物</t>
        </is>
      </c>
      <c r="C49" s="1">
        <f>HYPERLINK("https://user-images.githubusercontent.com/117048815/198909080-c8995530-8f6a-45e8-b434-07e036c31135.png","screenshot")
</f>
        <v/>
      </c>
      <c r="D49" s="1" t="inlineStr">
        <is>
          <t xml:space="preserve">電力建造物
</t>
        </is>
      </c>
      <c r="E49" s="1" t="inlineStr">
        <is>
          <t xml:space="preserve">Power Structure
</t>
        </is>
      </c>
      <c r="F49" s="1" t="inlineStr">
        <is>
          <t xml:space="preserve">権力構造
</t>
        </is>
      </c>
      <c r="G49" s="1" t="inlineStr">
        <is>
          <t xml:space="preserve">誤訳の修正です。
</t>
        </is>
      </c>
      <c r="H49" s="1" t="inlineStr">
        <is>
          <t xml:space="preserve">1.0.3
</t>
        </is>
      </c>
      <c r="I49" s="1" t="inlineStr">
        <is>
          <t xml:space="preserve">無し
</t>
        </is>
      </c>
      <c r="J49" s="1" t="inlineStr">
        <is>
          <t xml:space="preserve">無し
</t>
        </is>
      </c>
    </row>
    <row r="50" ht="180" customHeight="1">
      <c r="A50">
        <f>HYPERLINK("https://github.com/matanki-saito/vic3jpadvmod/issues/211",211)</f>
        <v/>
      </c>
      <c r="B50" s="1" t="inlineStr">
        <is>
          <t>【修正提案】認知度→承認国</t>
        </is>
      </c>
      <c r="C50" s="1">
        <f>HYPERLINK("https://user-images.githubusercontent.com/29177147/198883244-42c661bd-9da0-46f3-b0d9-3688bb9e0797.png","screenshot")
=HYPERLINK("https://user-images.githubusercontent.com/29177147/198883562-5db8b1fb-b007-43e6-a3b1-df4bb0dabbf2.png","screenshot")
</f>
        <v/>
      </c>
      <c r="D50" s="1" t="inlineStr">
        <is>
          <t xml:space="preserve"> concept_recognized_power:0 "認知度"
 concept_recognized_powers:0 "認知度"
</t>
        </is>
      </c>
      <c r="E50" s="1" t="inlineStr">
        <is>
          <t xml:space="preserve"> concept_recognized_power:0 "Recognized Power"
 concept_recognized_powers:0 "Recognized Powers"
</t>
        </is>
      </c>
      <c r="F50" s="1" t="inlineStr">
        <is>
          <t xml:space="preserve"> concept_recognized_power:0 "承認国"
 concept_recognized_powers:0 "承認国"
</t>
        </is>
      </c>
      <c r="G50" s="1" t="inlineStr">
        <is>
          <t xml:space="preserve">誤訳
</t>
        </is>
      </c>
      <c r="H50" s="1" t="inlineStr">
        <is>
          <t xml:space="preserve">1.0.3
</t>
        </is>
      </c>
      <c r="I50" s="1" t="inlineStr">
        <is>
          <t xml:space="preserve">無し
</t>
        </is>
      </c>
      <c r="J50" s="1" t="inlineStr">
        <is>
          <t xml:space="preserve">日本語改善MOD
Switch Languages
</t>
        </is>
      </c>
    </row>
    <row r="51" ht="180" customHeight="1">
      <c r="A51">
        <f>HYPERLINK("https://github.com/matanki-saito/vic3jpadvmod/issues/210",210)</f>
        <v/>
      </c>
      <c r="B51" s="1" t="inlineStr">
        <is>
          <t>【修正提案】承認→賛意</t>
        </is>
      </c>
      <c r="C51" s="1">
        <f>HYPERLINK("https://user-images.githubusercontent.com/29177147/198882442-00b515fc-a08d-4c3d-bd90-e6ec56445668.png","screenshot")
=HYPERLINK("https://user-images.githubusercontent.com/29177147/198883135-ac215e02-262b-47c5-aa69-60224149005b.png","screenshot")
</f>
        <v/>
      </c>
      <c r="D51" s="1" t="inlineStr">
        <is>
          <t xml:space="preserve">承認
</t>
        </is>
      </c>
      <c r="E51" s="1" t="inlineStr">
        <is>
          <t xml:space="preserve">Approval
</t>
        </is>
      </c>
      <c r="F51" s="1" t="inlineStr">
        <is>
          <t xml:space="preserve">賛意
</t>
        </is>
      </c>
      <c r="G51" s="1" t="inlineStr">
        <is>
          <t xml:space="preserve">政府への支持度合いを示す用語であり、承認よりも意味合いがタイトな賛意の方が向いてると思う。
</t>
        </is>
      </c>
      <c r="H51" s="1" t="inlineStr">
        <is>
          <t xml:space="preserve">1.0.3
</t>
        </is>
      </c>
      <c r="I51" s="1" t="inlineStr">
        <is>
          <t xml:space="preserve">無し
</t>
        </is>
      </c>
      <c r="J51" s="1" t="inlineStr">
        <is>
          <t xml:space="preserve">日本語改善MOD
Switch Languages
</t>
        </is>
      </c>
    </row>
    <row r="52" ht="90" customHeight="1">
      <c r="A52">
        <f>HYPERLINK("https://github.com/matanki-saito/vic3jpadvmod/issues/208",208)</f>
        <v/>
      </c>
      <c r="B52" s="1" t="inlineStr">
        <is>
          <t>信用→与信</t>
        </is>
      </c>
      <c r="C52" s="1">
        <f>HYPERLINK("https://user-images.githubusercontent.com/6514922/199387917-818f25d6-3ac2-443f-b809-28088f6621be.jpg","screenshot")
</f>
        <v/>
      </c>
      <c r="D52" s="1" t="inlineStr">
        <is>
          <t xml:space="preserve">信用
</t>
        </is>
      </c>
      <c r="E52" s="1" t="inlineStr">
        <is>
          <t xml:space="preserve">credit
</t>
        </is>
      </c>
      <c r="F52" s="1" t="inlineStr">
        <is>
          <t xml:space="preserve">与信/与信枠/与信残高
</t>
        </is>
      </c>
      <c r="G52" s="1" t="inlineStr">
        <is>
          <t xml:space="preserve">一般的に金融的な文脈での翻訳はcreditの場合与信が適切かと。
</t>
        </is>
      </c>
      <c r="H52" s="1" t="inlineStr">
        <is>
          <t xml:space="preserve">1.0.3
</t>
        </is>
      </c>
      <c r="I52" s="1" t="inlineStr">
        <is>
          <t xml:space="preserve">無し
</t>
        </is>
      </c>
      <c r="J52" s="1" t="inlineStr">
        <is>
          <t xml:space="preserve">無し
</t>
        </is>
      </c>
    </row>
    <row r="53" ht="90" customHeight="1">
      <c r="A53">
        <f>HYPERLINK("https://github.com/matanki-saito/vic3jpadvmod/issues/201",201)</f>
        <v/>
      </c>
      <c r="B53" s="1" t="inlineStr">
        <is>
          <t>【修正提案】より青々しい生物キャンペーン Greener Grass Campaign</t>
        </is>
      </c>
      <c r="C53" s="1">
        <f>HYPERLINK("https://user-images.githubusercontent.com/50406316/198871117-4495c788-3e93-49c4-b7ad-7b8f3aa925d4.png","screenshot")
</f>
        <v/>
      </c>
      <c r="D53" s="1" t="inlineStr">
        <is>
          <t xml:space="preserve">より青々しい生物キャンペーン
</t>
        </is>
      </c>
      <c r="E53" s="1" t="inlineStr">
        <is>
          <t xml:space="preserve">Greener Grass Campaign
</t>
        </is>
      </c>
      <c r="F53" s="1" t="inlineStr">
        <is>
          <t xml:space="preserve">隣の芝は青い運動
</t>
        </is>
      </c>
      <c r="G53" s="1" t="inlineStr">
        <is>
          <t xml:space="preserve">誤訳のため
原文は「隣の芝生は青く見える」が元ネタ
</t>
        </is>
      </c>
      <c r="H53" s="1" t="inlineStr">
        <is>
          <t xml:space="preserve">1.0.3
</t>
        </is>
      </c>
      <c r="I53" s="1" t="inlineStr">
        <is>
          <t xml:space="preserve">無し
</t>
        </is>
      </c>
      <c r="J53" s="1" t="inlineStr">
        <is>
          <t xml:space="preserve">なし
</t>
        </is>
      </c>
    </row>
    <row r="54" ht="90" customHeight="1">
      <c r="A54">
        <f>HYPERLINK("https://github.com/matanki-saito/vic3jpadvmod/issues/199",199)</f>
        <v/>
      </c>
      <c r="B54" s="1" t="inlineStr">
        <is>
          <t>【修正提案】国-州/Nation-State</t>
        </is>
      </c>
      <c r="C54" s="1">
        <f>HYPERLINK("https://user-images.githubusercontent.com/29382778/198870461-15151f14-c700-4d0a-be71-09ffb1aadfae.png","screenshot")
</f>
        <v/>
      </c>
      <c r="D54" s="1" t="inlineStr">
        <is>
          <t xml:space="preserve">国-州
</t>
        </is>
      </c>
      <c r="E54" s="1" t="inlineStr">
        <is>
          <t xml:space="preserve">Nation-State
</t>
        </is>
      </c>
      <c r="F54" s="1" t="inlineStr">
        <is>
          <t xml:space="preserve">国民国家
</t>
        </is>
      </c>
      <c r="G54" s="1" t="inlineStr">
        <is>
          <t xml:space="preserve">誤訳
</t>
        </is>
      </c>
      <c r="H54" s="1" t="inlineStr">
        <is>
          <t xml:space="preserve">1.0.3
</t>
        </is>
      </c>
      <c r="I54" s="1" t="inlineStr">
        <is>
          <t xml:space="preserve">Grand Edition
</t>
        </is>
      </c>
      <c r="J54" s="1" t="inlineStr">
        <is>
          <t xml:space="preserve">なし
</t>
        </is>
      </c>
    </row>
    <row r="55" ht="90" customHeight="1">
      <c r="A55">
        <f>HYPERLINK("https://github.com/matanki-saito/vic3jpadvmod/issues/197",197)</f>
        <v/>
      </c>
      <c r="B55" s="1" t="inlineStr">
        <is>
          <t>【修正提案】外交プレイの家臣化</t>
        </is>
      </c>
      <c r="C55" s="1">
        <f>HYPERLINK("https://user-images.githubusercontent.com/42710893/198867407-4cc472cb-d0e7-496b-bb41-fde69c172d78.jpg","screenshot")
</f>
        <v/>
      </c>
      <c r="D55" s="1" t="inlineStr">
        <is>
          <t xml:space="preserve">war_goal_make_vassal_type_name:0 "家臣化"
</t>
        </is>
      </c>
      <c r="E55" s="1" t="inlineStr">
        <is>
          <t xml:space="preserve">war_goal_make_vassal_type_name:0 "Make Vassal"
</t>
        </is>
      </c>
      <c r="F55" s="1" t="inlineStr">
        <is>
          <t xml:space="preserve">従属化
</t>
        </is>
      </c>
      <c r="G55" s="1" t="inlineStr">
        <is>
          <t xml:space="preserve">国家間の外交関係を示す適切な用語ではないため。
</t>
        </is>
      </c>
      <c r="H55" s="1" t="inlineStr">
        <is>
          <t xml:space="preserve">1.0.3
</t>
        </is>
      </c>
      <c r="I55" s="1" t="inlineStr">
        <is>
          <t xml:space="preserve">無し
</t>
        </is>
      </c>
      <c r="J55" s="1" t="inlineStr">
        <is>
          <t xml:space="preserve">なし
</t>
        </is>
      </c>
    </row>
    <row r="56" ht="90" customHeight="1">
      <c r="A56">
        <f>HYPERLINK("https://github.com/matanki-saito/vic3jpadvmod/issues/194",194)</f>
        <v/>
      </c>
      <c r="B56" s="1" t="inlineStr">
        <is>
          <t>【修正提案】国有軍 National Militia</t>
        </is>
      </c>
      <c r="C56" s="1">
        <f>HYPERLINK("https://user-images.githubusercontent.com/50406316/198849945-eab0ed6a-b051-4094-990f-8bc02b077d7b.png","screenshot")
</f>
        <v/>
      </c>
      <c r="D56" s="1" t="inlineStr">
        <is>
          <t xml:space="preserve">国有軍
</t>
        </is>
      </c>
      <c r="E56" s="1" t="inlineStr">
        <is>
          <t xml:space="preserve">National Militia
</t>
        </is>
      </c>
      <c r="F56" s="1" t="inlineStr">
        <is>
          <t xml:space="preserve">国民民兵
</t>
        </is>
      </c>
      <c r="G56" s="1" t="inlineStr">
        <is>
          <t xml:space="preserve">原文はMilitiaで、テキストでも常備軍を持たない代わりに戦時に民兵が戦うものと書いてあるため、より原文の意味に沿った訳語にしたい。
</t>
        </is>
      </c>
      <c r="H56" s="1" t="inlineStr">
        <is>
          <t xml:space="preserve">1.0.3
</t>
        </is>
      </c>
      <c r="I56" s="1" t="inlineStr">
        <is>
          <t xml:space="preserve">無し
</t>
        </is>
      </c>
      <c r="J56" s="1" t="inlineStr">
        <is>
          <t xml:space="preserve">なし
</t>
        </is>
      </c>
    </row>
    <row r="57" ht="285" customHeight="1">
      <c r="A57">
        <f>HYPERLINK("https://github.com/matanki-saito/vic3jpadvmod/issues/191",191)</f>
        <v/>
      </c>
      <c r="B57" s="1" t="inlineStr">
        <is>
          <t>【修正提案】製品価格の表記</t>
        </is>
      </c>
      <c r="C57" s="1">
        <f>HYPERLINK("https://user-images.githubusercontent.com/37979626/198835966-9d1a0f69-3e0d-40d0-8a81-20b5ae116a8b.png","screenshot")
=HYPERLINK("https://user-images.githubusercontent.com/37979626/198835970-7f4a3a2e-283c-4404-bd13-d0a78597c1e3.png","screenshot")
=HYPERLINK("https://user-images.githubusercontent.com/37979626/198837857-2b2e259b-af5a-44fb-83a6-37be67fe827f.png","screenshot")
</f>
        <v/>
      </c>
      <c r="D57" s="1" t="inlineStr">
        <is>
          <t xml:space="preserve">施設ウィンドウの生産画面の価格（価格帯）
※「合計でもっと」のあたりは別で起票中
</t>
        </is>
      </c>
      <c r="E57" s="1" t="inlineStr">
        <is>
          <t xml:space="preserve">`([現在の価格帯]) → ([変更後の価格帯]) in $NUM_STATES$ [Concept('concept_state', '$concept_states$')]`
`@money!$MIN_PRICE|1v$ $MIN_PRICE_ICON$ - @money!$MAX_PRICE|1v$ $MAX_PRICE_ICON$ in $NUM_STATES$ [Concept('concept_state', '$concept_states$')]`
`@money!$PRICE|1v$ $PRICE_ICON$ in [Market.GetName]`
</t>
        </is>
      </c>
      <c r="F57" s="1" t="inlineStr">
        <is>
          <t xml:space="preserve">`([現在の価格帯]) → ([変更後の価格帯]) これは$NUM_STATES$[Concept('concept_state', '$concept_states$')]が対象です`
`$NUM_STATES$[Concept('concept_state', '$concept_states$')]で@money!$MIN_PRICE|1v$ $MIN_PRICE_ICON$ - @money!$MAX_PRICE|1v$ $MAX_PRICE_ICON$`
`[Market.GetName]で@money!$PRICE|1v$ $PRICE_ICON$`
</t>
        </is>
      </c>
      <c r="G57" s="1" t="inlineStr">
        <is>
          <t xml:space="preserve">分かりづらいため
特に最初のは価格帯が括弧で表記されているため、急に「〇州で」と表示されても後ろに続くのが分かりにくいため、こちらで補う必要があると判断
</t>
        </is>
      </c>
      <c r="H57" s="1" t="inlineStr">
        <is>
          <t xml:space="preserve">1.0.1
</t>
        </is>
      </c>
      <c r="I57" s="1" t="inlineStr">
        <is>
          <t xml:space="preserve">無し
</t>
        </is>
      </c>
      <c r="J57" s="1" t="inlineStr">
        <is>
          <t xml:space="preserve">なし
</t>
        </is>
      </c>
    </row>
    <row r="58" ht="45" customHeight="1">
      <c r="A58">
        <f>HYPERLINK("https://github.com/matanki-saito/vic3jpadvmod/issues/188",188)</f>
        <v/>
      </c>
      <c r="B58" s="1" t="inlineStr">
        <is>
          <t>【修正提案】金保有高</t>
        </is>
      </c>
      <c r="C58" s="1" t="inlineStr">
        <is>
          <t xml:space="preserve">なし
</t>
        </is>
      </c>
      <c r="D58" s="1" t="inlineStr">
        <is>
          <t xml:space="preserve">金保有高
</t>
        </is>
      </c>
      <c r="E58" s="1" t="inlineStr">
        <is>
          <t xml:space="preserve">Gold Reserves
</t>
        </is>
      </c>
      <c r="F58" s="1" t="inlineStr">
        <is>
          <t xml:space="preserve">金準備
</t>
        </is>
      </c>
      <c r="G58" s="1" t="inlineStr">
        <is>
          <t xml:space="preserve">gold reserveの定訳であるため。また、「(Gold Reserves)に金を備蓄」などの文章があり、こちらのほうが文意が通るため。
</t>
        </is>
      </c>
      <c r="H58" s="1" t="inlineStr">
        <is>
          <t xml:space="preserve">1.0.3
</t>
        </is>
      </c>
      <c r="I58" s="1" t="inlineStr">
        <is>
          <t xml:space="preserve">無し
</t>
        </is>
      </c>
      <c r="J58" s="1" t="inlineStr">
        <is>
          <t xml:space="preserve">なし
</t>
        </is>
      </c>
    </row>
    <row r="59" ht="90" customHeight="1">
      <c r="A59">
        <f>HYPERLINK("https://github.com/matanki-saito/vic3jpadvmod/issues/179",179)</f>
        <v/>
      </c>
      <c r="B59" s="1" t="inlineStr">
        <is>
          <t>【修正提案】武装勢力</t>
        </is>
      </c>
      <c r="C59" s="1">
        <f>HYPERLINK("https://user-images.githubusercontent.com/388340/198824451-9dffb7ab-703b-4ae4-b86c-a8e4179cfca0.png","screenshot")
</f>
        <v/>
      </c>
      <c r="D59" s="1" t="inlineStr">
        <is>
          <t xml:space="preserve">武装勢力
</t>
        </is>
      </c>
      <c r="E59" s="1" t="inlineStr">
        <is>
          <t xml:space="preserve">Armed Forces
</t>
        </is>
      </c>
      <c r="F59" s="1" t="inlineStr">
        <is>
          <t xml:space="preserve">軍人 or 軍人階級
</t>
        </is>
      </c>
      <c r="G59" s="1" t="inlineStr">
        <is>
          <t xml:space="preserve">説明文には「国の軍事に強い関心や興味を示す職業軍人などのことです。」とあるため
いわゆるゲリラなどの武装勢力ではなく、軍人を代表とする利益団体の名称であるため
</t>
        </is>
      </c>
      <c r="H59" s="1" t="inlineStr">
        <is>
          <t xml:space="preserve">Vanilla(1.0.3), チェックサム：5fc2
</t>
        </is>
      </c>
      <c r="I59" s="1" t="inlineStr">
        <is>
          <t xml:space="preserve">無し
</t>
        </is>
      </c>
      <c r="J59" s="1" t="inlineStr">
        <is>
          <t xml:space="preserve">なし
</t>
        </is>
      </c>
    </row>
    <row r="60" ht="90" customHeight="1">
      <c r="A60">
        <f>HYPERLINK("https://github.com/matanki-saito/vic3jpadvmod/issues/178",178)</f>
        <v/>
      </c>
      <c r="B60" s="1" t="inlineStr">
        <is>
          <t>【修正提案】財政権</t>
        </is>
      </c>
      <c r="C60" s="1">
        <f>HYPERLINK("https://user-images.githubusercontent.com/70930137/198824829-9bca9027-2189-4877-8ba5-58b2726bea36.png","screenshot")
</f>
        <v/>
      </c>
      <c r="D60" s="1" t="inlineStr">
        <is>
          <t xml:space="preserve">財政権
</t>
        </is>
      </c>
      <c r="E60" s="1" t="inlineStr">
        <is>
          <t xml:space="preserve">Power of the Purse
</t>
        </is>
      </c>
      <c r="F60" s="1" t="inlineStr">
        <is>
          <t xml:space="preserve">金力
</t>
        </is>
      </c>
      <c r="G60" s="1" t="inlineStr">
        <is>
          <t xml:space="preserve">意味合いが異なってるため
</t>
        </is>
      </c>
      <c r="H60" s="1" t="inlineStr">
        <is>
          <t xml:space="preserve">1.0.1
</t>
        </is>
      </c>
      <c r="I60" s="1" t="inlineStr">
        <is>
          <t xml:space="preserve">無し
</t>
        </is>
      </c>
      <c r="J60" s="1" t="inlineStr">
        <is>
          <t xml:space="preserve">なし
</t>
        </is>
      </c>
    </row>
    <row r="61" ht="90" customHeight="1">
      <c r="A61">
        <f>HYPERLINK("https://github.com/matanki-saito/vic3jpadvmod/issues/176",176)</f>
        <v/>
      </c>
      <c r="B61" s="1" t="inlineStr">
        <is>
          <t>【修正提案】ビッキーペディア（Vickypedia）</t>
        </is>
      </c>
      <c r="C61" s="1">
        <f>HYPERLINK("https://user-images.githubusercontent.com/42687608/198824367-aa03ef24-b854-4f87-8cc7-98646dd625a2.jpg","screenshot")
</f>
        <v/>
      </c>
      <c r="D61" s="1" t="inlineStr">
        <is>
          <t xml:space="preserve">ビッキーペディア
</t>
        </is>
      </c>
      <c r="E61" s="1" t="inlineStr">
        <is>
          <t xml:space="preserve">Vickypedia
</t>
        </is>
      </c>
      <c r="F61" s="1" t="inlineStr">
        <is>
          <t xml:space="preserve">ヴィキペディア / Vickypedia（翻訳しない）
</t>
        </is>
      </c>
      <c r="G61" s="1" t="inlineStr">
        <is>
          <t xml:space="preserve">日本語タイトルとの整合性が取れておらず、なんのことかわからないため。
</t>
        </is>
      </c>
      <c r="H61" s="1" t="inlineStr">
        <is>
          <t xml:space="preserve">1.0.3
</t>
        </is>
      </c>
      <c r="I61" s="1" t="inlineStr">
        <is>
          <t xml:space="preserve">- Victoria II Remastered Soundtrack
- American Buildings Pack
</t>
        </is>
      </c>
      <c r="J61" s="1" t="inlineStr">
        <is>
          <t xml:space="preserve">なし
</t>
        </is>
      </c>
    </row>
    <row r="62" ht="90" customHeight="1">
      <c r="A62">
        <f>HYPERLINK("https://github.com/matanki-saito/vic3jpadvmod/issues/163",163)</f>
        <v/>
      </c>
      <c r="B62" s="1" t="inlineStr">
        <is>
          <t>【修正提案】爆発物（Explosives）</t>
        </is>
      </c>
      <c r="C62" s="1">
        <f>HYPERLINK("https://user-images.githubusercontent.com/42710893/198820553-c4ae16cb-0f73-425f-8b92-7ddce334f0b1.jpg","screenshot")
</f>
        <v/>
      </c>
      <c r="D62" s="1" t="inlineStr">
        <is>
          <t xml:space="preserve">爆発物
</t>
        </is>
      </c>
      <c r="E62" s="1" t="inlineStr">
        <is>
          <t xml:space="preserve">Explosives
</t>
        </is>
      </c>
      <c r="F62" s="1" t="inlineStr">
        <is>
          <t xml:space="preserve">爆薬
</t>
        </is>
      </c>
      <c r="G62" s="1" t="inlineStr">
        <is>
          <t xml:space="preserve">爆発物でも間違いではありませんが、個人的に爆薬のほうがしっくり来ます。
</t>
        </is>
      </c>
      <c r="H62" s="1" t="inlineStr">
        <is>
          <t xml:space="preserve">1.0.3
</t>
        </is>
      </c>
      <c r="I62" s="1" t="inlineStr">
        <is>
          <t xml:space="preserve">無し
</t>
        </is>
      </c>
      <c r="J62" s="1" t="inlineStr">
        <is>
          <t xml:space="preserve">なし
</t>
        </is>
      </c>
    </row>
    <row r="63" ht="90" customHeight="1">
      <c r="A63">
        <f>HYPERLINK("https://github.com/matanki-saito/vic3jpadvmod/issues/161",161)</f>
        <v/>
      </c>
      <c r="B63" s="1" t="inlineStr">
        <is>
          <t>各ユニット（陸軍の最小単位）における動員/解体表記</t>
        </is>
      </c>
      <c r="C63" s="1">
        <f>HYPERLINK("https://user-images.githubusercontent.com/43299334/198820195-acb64d3b-b46c-4281-9789-32547befc202.jpg","screenshot")
</f>
        <v/>
      </c>
      <c r="D63" s="1" t="inlineStr">
        <is>
          <t xml:space="preserve">動員/解体
</t>
        </is>
      </c>
      <c r="E63" s="1" t="inlineStr">
        <is>
          <t xml:space="preserve">Mobilized/Demobilized
</t>
        </is>
      </c>
      <c r="F63" s="1" t="inlineStr">
        <is>
          <t xml:space="preserve">動員済/未動員
</t>
        </is>
      </c>
      <c r="G63" s="1" t="inlineStr">
        <is>
          <t xml:space="preserve">そのユニットが動員済であるかどうかの表記。
特に「解体」は部隊の消去コマンドと誤認させるため良くない。
現在の状態を表示するものであり、「動員中」ではまさに動員が進んでいるのか、動員済みの状態なのかが判別できないため、上記としている。
</t>
        </is>
      </c>
      <c r="H63" s="1" t="inlineStr">
        <is>
          <t xml:space="preserve">1.0.3
</t>
        </is>
      </c>
      <c r="I63" s="1" t="inlineStr">
        <is>
          <t xml:space="preserve">なし
</t>
        </is>
      </c>
      <c r="J63" s="1" t="inlineStr">
        <is>
          <t xml:space="preserve">なし
</t>
        </is>
      </c>
    </row>
    <row r="64" ht="135" customHeight="1">
      <c r="A64">
        <f>HYPERLINK("https://github.com/matanki-saito/vic3jpadvmod/issues/159",159)</f>
        <v/>
      </c>
      <c r="B64" s="1" t="inlineStr">
        <is>
          <t>司令官ランク、および将軍/提督</t>
        </is>
      </c>
      <c r="C64" s="1">
        <f>HYPERLINK("https://user-images.githubusercontent.com/43299334/198819256-8de5a95f-1d45-4aa7-ad12-2df6128aefa8.jpg","screenshot")
</f>
        <v/>
      </c>
      <c r="D64" s="1" t="inlineStr">
        <is>
          <t xml:space="preserve">将軍/提督
司令官ランク
</t>
        </is>
      </c>
      <c r="E64" s="1" t="inlineStr">
        <is>
          <t xml:space="preserve">General/Admiral
Commander Rank
全体の階級は以下の通り（低い順）
陸：Brigadier General/Major General/Lieutenant General/General/Field Marshal
海：Commodore/Rear Admiral/Vice Admiral/Admiral/Grand Admiral
</t>
        </is>
      </c>
      <c r="F64" s="1" t="inlineStr">
        <is>
          <t xml:space="preserve">陸軍大将/海軍大将
司令官階級
</t>
        </is>
      </c>
      <c r="G64" s="1" t="inlineStr">
        <is>
          <t xml:space="preserve">司令官の陸海軍の総称としての将軍、提督と訳が被っているため。
もともとの訳に合わせてそれぞれ大将とした。
また明らかに軍内部の階級をさしているため、司令官ランクを司令官階級とした。
</t>
        </is>
      </c>
      <c r="H64" s="1" t="inlineStr">
        <is>
          <t xml:space="preserve">1.0.3
</t>
        </is>
      </c>
      <c r="I64" s="1" t="inlineStr">
        <is>
          <t xml:space="preserve">なし
</t>
        </is>
      </c>
      <c r="J64" s="1" t="inlineStr">
        <is>
          <t xml:space="preserve">なし
</t>
        </is>
      </c>
    </row>
    <row r="65" ht="90" customHeight="1">
      <c r="A65">
        <f>HYPERLINK("https://github.com/matanki-saito/vic3jpadvmod/issues/158",158)</f>
        <v/>
      </c>
      <c r="B65" s="1" t="inlineStr">
        <is>
          <t>【修正提案】海ノード　Sea Node</t>
        </is>
      </c>
      <c r="C65" s="1">
        <f>HYPERLINK("https://user-images.githubusercontent.com/37979626/198819167-6b36a7a5-e6b4-468c-8fbe-2e4d32bc0cf3.png","screenshot")
</f>
        <v/>
      </c>
      <c r="D65" s="1" t="inlineStr">
        <is>
          <t xml:space="preserve">海ノード
</t>
        </is>
      </c>
      <c r="E65" s="1" t="inlineStr">
        <is>
          <t xml:space="preserve">Sea Node
</t>
        </is>
      </c>
      <c r="F65" s="1" t="inlineStr">
        <is>
          <t xml:space="preserve">海上ノード
</t>
        </is>
      </c>
      <c r="G65" s="1" t="inlineStr">
        <is>
          <t xml:space="preserve">個人的な好みと少し分かりにくい表現
</t>
        </is>
      </c>
      <c r="H65" s="1" t="inlineStr">
        <is>
          <t xml:space="preserve">1.0.1
</t>
        </is>
      </c>
      <c r="I65" s="1" t="inlineStr">
        <is>
          <t xml:space="preserve">無し
</t>
        </is>
      </c>
      <c r="J65" s="1" t="inlineStr">
        <is>
          <t xml:space="preserve">なし
</t>
        </is>
      </c>
    </row>
    <row r="66" ht="90" customHeight="1">
      <c r="A66">
        <f>HYPERLINK("https://github.com/matanki-saito/vic3jpadvmod/issues/157",157)</f>
        <v/>
      </c>
      <c r="B66" s="1" t="inlineStr">
        <is>
          <t>【修正提案】お金（Money）</t>
        </is>
      </c>
      <c r="C66" s="1">
        <f>HYPERLINK("https://user-images.githubusercontent.com/42687608/198819182-04cf4ccf-795b-4008-b73d-828aee5d0774.jpg","screenshot")
</f>
        <v/>
      </c>
      <c r="D66" s="1" t="inlineStr">
        <is>
          <t xml:space="preserve">お金
</t>
        </is>
      </c>
      <c r="E66" s="1" t="inlineStr">
        <is>
          <t xml:space="preserve">Money
</t>
        </is>
      </c>
      <c r="F66" s="1" t="inlineStr">
        <is>
          <t xml:space="preserve">金銭 / 資金
</t>
        </is>
      </c>
      <c r="G66" s="1" t="inlineStr">
        <is>
          <t xml:space="preserve">脱力感を感じるため。
十分な議論の上で代案を決めるべき。
「（Money）は世界を動かしています。」との文章があり、「資金」だと意味が通らなくなる。
</t>
        </is>
      </c>
      <c r="H66" s="1" t="inlineStr">
        <is>
          <t xml:space="preserve">1.0.3
</t>
        </is>
      </c>
      <c r="I66" s="1" t="inlineStr">
        <is>
          <t xml:space="preserve">- Victoria II Remastered Soundtrack
- American Buildings Pack
</t>
        </is>
      </c>
      <c r="J66" s="1" t="inlineStr">
        <is>
          <t xml:space="preserve">なし
</t>
        </is>
      </c>
    </row>
    <row r="67" ht="90" customHeight="1">
      <c r="A67">
        <f>HYPERLINK("https://github.com/matanki-saito/vic3jpadvmod/issues/155",155)</f>
        <v/>
      </c>
      <c r="B67" s="1" t="inlineStr">
        <is>
          <t>【修正提案】国威（Prestige）</t>
        </is>
      </c>
      <c r="C67" s="1">
        <f>HYPERLINK("https://user-images.githubusercontent.com/42687608/198818855-40e7f83f-68b3-49e0-823e-c6b8b6368dd6.jpg","screenshot")
</f>
        <v/>
      </c>
      <c r="D67" s="1" t="inlineStr">
        <is>
          <t xml:space="preserve">国威
</t>
        </is>
      </c>
      <c r="E67" s="1" t="inlineStr">
        <is>
          <t xml:space="preserve">Prestige
</t>
        </is>
      </c>
      <c r="F67" s="1" t="inlineStr">
        <is>
          <t xml:space="preserve">威信
</t>
        </is>
      </c>
      <c r="G67" s="1" t="inlineStr">
        <is>
          <t xml:space="preserve">他のParadox作品の翻訳に揃えるため。
</t>
        </is>
      </c>
      <c r="H67" s="1" t="inlineStr">
        <is>
          <t xml:space="preserve">1.0.3
</t>
        </is>
      </c>
      <c r="I67" s="1" t="inlineStr">
        <is>
          <t xml:space="preserve">- Victoria II Remastered Soundtrack
- American Buildings Pack
</t>
        </is>
      </c>
      <c r="J67" s="1" t="inlineStr">
        <is>
          <t xml:space="preserve">なし
</t>
        </is>
      </c>
    </row>
    <row r="68" ht="90" customHeight="1">
      <c r="A68">
        <f>HYPERLINK("https://github.com/matanki-saito/vic3jpadvmod/issues/154",154)</f>
        <v/>
      </c>
      <c r="B68" s="1" t="inlineStr">
        <is>
          <t>【修正提案】判断（Decision）</t>
        </is>
      </c>
      <c r="C68" s="1">
        <f>HYPERLINK("https://user-images.githubusercontent.com/42687608/198818350-a6f9c4c2-1522-4411-8917-e7b54da2316f.jpg","screenshot")
</f>
        <v/>
      </c>
      <c r="D68" s="1" t="inlineStr">
        <is>
          <t xml:space="preserve">判断
</t>
        </is>
      </c>
      <c r="E68" s="1" t="inlineStr">
        <is>
          <t xml:space="preserve">Decision
</t>
        </is>
      </c>
      <c r="F68" s="1" t="inlineStr">
        <is>
          <t xml:space="preserve">決断 / ディシジョン
</t>
        </is>
      </c>
      <c r="G68" s="1" t="inlineStr">
        <is>
          <t xml:space="preserve">従来のParadox作品の翻訳とかけ離れているため。
「決断」と「ディシジョン」のどちらを採用するかは議論が必要。
</t>
        </is>
      </c>
      <c r="H68" s="1" t="inlineStr">
        <is>
          <t xml:space="preserve">1.0.3
</t>
        </is>
      </c>
      <c r="I68" s="1" t="inlineStr">
        <is>
          <t xml:space="preserve">- Victoria II Remastered Soundtrack
- American Buildings Pack
</t>
        </is>
      </c>
      <c r="J68" s="1" t="inlineStr">
        <is>
          <t xml:space="preserve">なし
</t>
        </is>
      </c>
    </row>
    <row r="69" ht="90" customHeight="1">
      <c r="A69">
        <f>HYPERLINK("https://github.com/matanki-saito/vic3jpadvmod/issues/153",153)</f>
        <v/>
      </c>
      <c r="B69" s="1" t="inlineStr">
        <is>
          <t>【修正提案】資源見込み（Resource Potential）</t>
        </is>
      </c>
      <c r="C69" s="1">
        <f>HYPERLINK("https://user-images.githubusercontent.com/42687608/198818122-8eb32da0-0f5b-4a3c-aee3-71254f6a63c4.jpg","screenshot")
</f>
        <v/>
      </c>
      <c r="D69" s="1" t="inlineStr">
        <is>
          <t xml:space="preserve">資源見込み
</t>
        </is>
      </c>
      <c r="E69" s="1" t="inlineStr">
        <is>
          <t xml:space="preserve">Resource Potential
</t>
        </is>
      </c>
      <c r="F69" s="1" t="inlineStr">
        <is>
          <t xml:space="preserve">潜在的資源
</t>
        </is>
      </c>
      <c r="G69" s="1" t="inlineStr">
        <is>
          <t xml:space="preserve">用語の意味がわかりにくいため。
ゲーム中の使われ方がまだよく分かっていないので、変更には注意が必要。
</t>
        </is>
      </c>
      <c r="H69" s="1" t="inlineStr">
        <is>
          <t xml:space="preserve">1.0.3
</t>
        </is>
      </c>
      <c r="I69" s="1" t="inlineStr">
        <is>
          <t xml:space="preserve">- Victoria II Remastered Soundtrack
- American Buildings Pack
</t>
        </is>
      </c>
      <c r="J69" s="1" t="inlineStr">
        <is>
          <t xml:space="preserve">なし
</t>
        </is>
      </c>
    </row>
    <row r="70" ht="90" customHeight="1">
      <c r="A70">
        <f>HYPERLINK("https://github.com/matanki-saito/vic3jpadvmod/issues/152",152)</f>
        <v/>
      </c>
      <c r="B70" s="1" t="inlineStr">
        <is>
          <t>【修正提案】将校</t>
        </is>
      </c>
      <c r="C70" s="1">
        <f>HYPERLINK("https://user-images.githubusercontent.com/29382778/198817826-f156feb6-8221-48c1-a7a3-1559ddc9ef89.png","screenshot")
</f>
        <v/>
      </c>
      <c r="D70" s="1" t="inlineStr">
        <is>
          <t xml:space="preserve">将校
</t>
        </is>
      </c>
      <c r="E70" s="1" t="inlineStr">
        <is>
          <t xml:space="preserve">Officers
</t>
        </is>
      </c>
      <c r="F70" s="1" t="inlineStr">
        <is>
          <t xml:space="preserve">士官
</t>
        </is>
      </c>
      <c r="G70" s="1" t="inlineStr">
        <is>
          <t xml:space="preserve">好みです
</t>
        </is>
      </c>
      <c r="H70" s="1" t="inlineStr">
        <is>
          <t xml:space="preserve">1.0.3
</t>
        </is>
      </c>
      <c r="I70" s="1" t="inlineStr">
        <is>
          <t xml:space="preserve">無し
</t>
        </is>
      </c>
      <c r="J70" s="1" t="inlineStr">
        <is>
          <t xml:space="preserve">なし
</t>
        </is>
      </c>
    </row>
    <row r="71" ht="90" customHeight="1">
      <c r="A71">
        <f>HYPERLINK("https://github.com/matanki-saito/vic3jpadvmod/issues/150",150)</f>
        <v/>
      </c>
      <c r="B71" s="1" t="inlineStr">
        <is>
          <t>【修正提案】併合された州・併合されていない州（Incorporated State, Unincorporated State）</t>
        </is>
      </c>
      <c r="C71" s="1">
        <f>HYPERLINK("https://user-images.githubusercontent.com/42687608/198817798-2469ab14-ffa2-4e27-bf76-6e51cd6c03b5.jpg","screenshot")
</f>
        <v/>
      </c>
      <c r="D71" s="1" t="inlineStr">
        <is>
          <t xml:space="preserve">併合された州 / 併合されていない州
</t>
        </is>
      </c>
      <c r="E71" s="1" t="inlineStr">
        <is>
          <t xml:space="preserve">Incorporated State / Unincorporated State
</t>
        </is>
      </c>
      <c r="F71" s="1" t="inlineStr">
        <is>
          <t xml:space="preserve">編入州 / 未編入州
</t>
        </is>
      </c>
      <c r="G71" s="1" t="inlineStr">
        <is>
          <t xml:space="preserve">「併合」は国を併合するAnnexの訳語としても使われており、重複している。
また、「併合済」（Incorporated）という表記ゆれもある。
訳語が無駄に長いので、短くする方針で「併合」とは異なる訳をあてるべき。
</t>
        </is>
      </c>
      <c r="H71" s="1" t="inlineStr">
        <is>
          <t xml:space="preserve">1.0.3
</t>
        </is>
      </c>
      <c r="I71" s="1" t="inlineStr">
        <is>
          <t xml:space="preserve">- Victoria II Remastered Soundtrack
- American Buildings Pack
</t>
        </is>
      </c>
      <c r="J71" s="1" t="inlineStr">
        <is>
          <t xml:space="preserve">なし
</t>
        </is>
      </c>
    </row>
    <row r="72" ht="90" customHeight="1">
      <c r="A72">
        <f>HYPERLINK("https://github.com/matanki-saito/vic3jpadvmod/issues/149",149)</f>
        <v/>
      </c>
      <c r="B72" s="1" t="inlineStr">
        <is>
          <t>【修正提案】官僚</t>
        </is>
      </c>
      <c r="C72" s="1">
        <f>HYPERLINK("https://user-images.githubusercontent.com/29382778/198817650-c246a470-2777-45f7-8652-c8a86c2b2c73.png","screenshot")
</f>
        <v/>
      </c>
      <c r="D72" s="1" t="inlineStr">
        <is>
          <t xml:space="preserve">官僚
</t>
        </is>
      </c>
      <c r="E72" s="1" t="inlineStr">
        <is>
          <t xml:space="preserve">Bureaucrats
</t>
        </is>
      </c>
      <c r="F72" s="1" t="inlineStr">
        <is>
          <t xml:space="preserve">公務員
</t>
        </is>
      </c>
      <c r="G72" s="1" t="inlineStr">
        <is>
          <t xml:space="preserve">官僚は主に中央省庁の公務員を指すが、今作では公共セクターで働く事務員のことを言っているため
</t>
        </is>
      </c>
      <c r="H72" s="1" t="inlineStr">
        <is>
          <t xml:space="preserve">1.0.3
</t>
        </is>
      </c>
      <c r="I72" s="1" t="inlineStr">
        <is>
          <t xml:space="preserve">無し
</t>
        </is>
      </c>
      <c r="J72" s="1" t="inlineStr">
        <is>
          <t xml:space="preserve">なし
</t>
        </is>
      </c>
    </row>
    <row r="73" ht="90" customHeight="1">
      <c r="A73">
        <f>HYPERLINK("https://github.com/matanki-saito/vic3jpadvmod/issues/147",147)</f>
        <v/>
      </c>
      <c r="B73" s="1" t="inlineStr">
        <is>
          <t>【修正提案】軍人</t>
        </is>
      </c>
      <c r="C73" s="1">
        <f>HYPERLINK("https://user-images.githubusercontent.com/29382778/198817606-acb4cdf3-fbf1-471f-9503-ecee33070b62.png","screenshot")
</f>
        <v/>
      </c>
      <c r="D73" s="1" t="inlineStr">
        <is>
          <t xml:space="preserve">軍人
</t>
        </is>
      </c>
      <c r="E73" s="1" t="inlineStr">
        <is>
          <t xml:space="preserve">Servicemen
</t>
        </is>
      </c>
      <c r="F73" s="1" t="inlineStr">
        <is>
          <t xml:space="preserve">兵士
</t>
        </is>
      </c>
      <c r="G73" s="1" t="inlineStr">
        <is>
          <t xml:space="preserve">軍人だと高位の士官・将校を含む概念であるため
</t>
        </is>
      </c>
      <c r="H73" s="1" t="inlineStr">
        <is>
          <t xml:space="preserve">1.0.3
</t>
        </is>
      </c>
      <c r="I73" s="1" t="inlineStr">
        <is>
          <t xml:space="preserve">Grand Edition
</t>
        </is>
      </c>
      <c r="J73" s="1" t="inlineStr">
        <is>
          <t xml:space="preserve">なし
</t>
        </is>
      </c>
    </row>
    <row r="74" ht="90" customHeight="1">
      <c r="A74">
        <f>HYPERLINK("https://github.com/matanki-saito/vic3jpadvmod/issues/146",146)</f>
        <v/>
      </c>
      <c r="B74" s="1" t="inlineStr">
        <is>
          <t>【修正提案】店主</t>
        </is>
      </c>
      <c r="C74" s="1">
        <f>HYPERLINK("https://user-images.githubusercontent.com/29382778/198817505-8fb2c438-dc48-4082-a9c2-fc03ce613b50.png","screenshot")
</f>
        <v/>
      </c>
      <c r="D74" s="1" t="inlineStr">
        <is>
          <t xml:space="preserve">店主
</t>
        </is>
      </c>
      <c r="E74" s="1" t="inlineStr">
        <is>
          <t xml:space="preserve">Shopkeepers
</t>
        </is>
      </c>
      <c r="F74" s="1" t="inlineStr">
        <is>
          <t xml:space="preserve">商店主
</t>
        </is>
      </c>
      <c r="G74" s="1" t="inlineStr">
        <is>
          <t xml:space="preserve">好みです。
</t>
        </is>
      </c>
      <c r="H74" s="1" t="inlineStr">
        <is>
          <t xml:space="preserve">1.0.3
</t>
        </is>
      </c>
      <c r="I74" s="1" t="inlineStr">
        <is>
          <t xml:space="preserve">Grand Edition
</t>
        </is>
      </c>
      <c r="J74" s="1" t="inlineStr">
        <is>
          <t xml:space="preserve">なし
</t>
        </is>
      </c>
    </row>
    <row r="75" ht="90" customHeight="1">
      <c r="A75">
        <f>HYPERLINK("https://github.com/matanki-saito/vic3jpadvmod/issues/145",145)</f>
        <v/>
      </c>
      <c r="B75" s="1" t="inlineStr">
        <is>
          <t>【修正提案】下層民・中堅層・上流層（Lower Strata, Middle Strata, Upper Strata）</t>
        </is>
      </c>
      <c r="C75" s="1">
        <f>HYPERLINK("https://user-images.githubusercontent.com/42687608/198817346-4e6d2ded-7d78-4fd9-ad56-190388786bf1.jpg","screenshot")
</f>
        <v/>
      </c>
      <c r="D75" s="1" t="inlineStr">
        <is>
          <t xml:space="preserve">下層民/中堅層/上流層
</t>
        </is>
      </c>
      <c r="E75" s="1" t="inlineStr">
        <is>
          <t xml:space="preserve">Lower Strata / Middle Strata / Upper Strata
</t>
        </is>
      </c>
      <c r="F75" s="1" t="inlineStr">
        <is>
          <t xml:space="preserve">下流階級、中流階級、上流階級
</t>
        </is>
      </c>
      <c r="G75" s="1" t="inlineStr">
        <is>
          <t xml:space="preserve">3つの訳語が対になっていないため。
strataは「社会階層」を表す言葉だが、一般的にはclass（階級）が用いられる。
https://ja.wikipedia.org/wiki/%E7%A4%BE%E4%BC%9A%E9%9A%8E%E7%B4%9A
</t>
        </is>
      </c>
      <c r="H75" s="1" t="inlineStr">
        <is>
          <t xml:space="preserve">1.0.3
</t>
        </is>
      </c>
      <c r="I75" s="1" t="inlineStr">
        <is>
          <t xml:space="preserve">- Victoria II Remastered Soundtrack
- American Buildings Pack
</t>
        </is>
      </c>
      <c r="J75" s="1" t="inlineStr">
        <is>
          <t xml:space="preserve">なし
</t>
        </is>
      </c>
    </row>
    <row r="76" ht="90" customHeight="1">
      <c r="A76">
        <f>HYPERLINK("https://github.com/matanki-saito/vic3jpadvmod/issues/141",141)</f>
        <v/>
      </c>
      <c r="B76" s="1" t="inlineStr">
        <is>
          <t>【修正提案】サプライネットワーク（Supply Network）</t>
        </is>
      </c>
      <c r="C76" s="1">
        <f>HYPERLINK("https://user-images.githubusercontent.com/42687608/198816016-0de323c4-dfac-4484-98e2-672b1c30700b.jpg","screenshot")
</f>
        <v/>
      </c>
      <c r="D76" s="1" t="inlineStr">
        <is>
          <t xml:space="preserve">サプライネットワーク
</t>
        </is>
      </c>
      <c r="E76" s="1" t="inlineStr">
        <is>
          <t xml:space="preserve">Supply Network
</t>
        </is>
      </c>
      <c r="F76" s="1" t="inlineStr">
        <is>
          <t xml:space="preserve">供給ネットワーク
</t>
        </is>
      </c>
      <c r="G76" s="1" t="inlineStr">
        <is>
          <t xml:space="preserve">カタカナではわかりにくいため。
「供給網」はSupply Chainの定訳らしいので「供給ネットワーク」とした。
軍事にしか使われない用語なら「兵站〜」もあり。
</t>
        </is>
      </c>
      <c r="H76" s="1" t="inlineStr">
        <is>
          <t xml:space="preserve">1.0.3
</t>
        </is>
      </c>
      <c r="I76" s="1" t="inlineStr">
        <is>
          <t xml:space="preserve">- Victoria II Remastered Soundtrack
- American Buildings Pack
</t>
        </is>
      </c>
      <c r="J76" s="1" t="inlineStr">
        <is>
          <t xml:space="preserve">なし
</t>
        </is>
      </c>
    </row>
    <row r="77" ht="90" customHeight="1">
      <c r="A77">
        <f>HYPERLINK("https://github.com/matanki-saito/vic3jpadvmod/issues/140",140)</f>
        <v/>
      </c>
      <c r="B77" s="1" t="inlineStr">
        <is>
          <t>【修正提案】利益（Interest）</t>
        </is>
      </c>
      <c r="C77" s="1">
        <f>HYPERLINK("https://user-images.githubusercontent.com/42687608/198815756-2302fcd8-2d91-455e-855a-509f93a601be.jpg","screenshot")
</f>
        <v/>
      </c>
      <c r="D77" s="1" t="inlineStr">
        <is>
          <t xml:space="preserve">利益
</t>
        </is>
      </c>
      <c r="E77" s="1" t="inlineStr">
        <is>
          <t xml:space="preserve">Interest（キーはconcept_budget_interest）
</t>
        </is>
      </c>
      <c r="F77" s="1" t="inlineStr">
        <is>
          <t xml:space="preserve">利子
</t>
        </is>
      </c>
      <c r="G77" s="1" t="inlineStr">
        <is>
          <t xml:space="preserve">誤訳。
支出欄の細目であり、まったく逆の意味になっている。
</t>
        </is>
      </c>
      <c r="H77" s="1" t="inlineStr">
        <is>
          <t xml:space="preserve">1.0.3
</t>
        </is>
      </c>
      <c r="I77" s="1" t="inlineStr">
        <is>
          <t xml:space="preserve">- Victoria II Remastered Soundtrack
- American Buildings Pack
</t>
        </is>
      </c>
      <c r="J77" s="1" t="inlineStr">
        <is>
          <t xml:space="preserve">なし
</t>
        </is>
      </c>
    </row>
    <row r="78" ht="90" customHeight="1">
      <c r="A78">
        <f>HYPERLINK("https://github.com/matanki-saito/vic3jpadvmod/issues/139",139)</f>
        <v/>
      </c>
      <c r="B78" s="1" t="inlineStr">
        <is>
          <t>【修正提案】動揺度（Turmoil）</t>
        </is>
      </c>
      <c r="C78" s="1">
        <f>HYPERLINK("https://user-images.githubusercontent.com/42687608/198815528-12fc3921-52ed-4e5d-b8a2-3a45f0f80cd7.jpg","screenshot")
</f>
        <v/>
      </c>
      <c r="D78" s="1" t="inlineStr">
        <is>
          <t xml:space="preserve">動揺度
</t>
        </is>
      </c>
      <c r="E78" s="1" t="inlineStr">
        <is>
          <t xml:space="preserve">Turmoil
</t>
        </is>
      </c>
      <c r="F78" s="1" t="inlineStr">
        <is>
          <t xml:space="preserve">騒乱度/混乱度
</t>
        </is>
      </c>
      <c r="G78" s="1" t="inlineStr">
        <is>
          <t xml:space="preserve">ゲーム上の意味は、州ごとの急進派の割合を示すパラメーター。
値がhighやlowで言及されるので「度」をつけることには賛成。
動揺は人間の状態を表す言葉なので、州の状態を表す言葉に変更したい。
</t>
        </is>
      </c>
      <c r="H78" s="1" t="inlineStr">
        <is>
          <t xml:space="preserve">1.0.3
</t>
        </is>
      </c>
      <c r="I78" s="1" t="inlineStr">
        <is>
          <t xml:space="preserve">- Victoria II Remastered Soundtrack
- American Buildings Pack
</t>
        </is>
      </c>
      <c r="J78" s="1" t="inlineStr">
        <is>
          <t xml:space="preserve">なし
</t>
        </is>
      </c>
    </row>
    <row r="79" ht="90" customHeight="1">
      <c r="A79">
        <f>HYPERLINK("https://github.com/matanki-saito/vic3jpadvmod/issues/138",138)</f>
        <v/>
      </c>
      <c r="B79" s="1" t="inlineStr">
        <is>
          <t>【修正提案】政府体制支持者（Loyalist）</t>
        </is>
      </c>
      <c r="C79" s="1">
        <f>HYPERLINK("https://user-images.githubusercontent.com/42687608/198815222-cccb4f34-e4ad-493f-b45d-0b11ce2ef181.jpg","screenshot")
</f>
        <v/>
      </c>
      <c r="D79" s="1" t="inlineStr">
        <is>
          <t xml:space="preserve">政府体制支持者
</t>
        </is>
      </c>
      <c r="E79" s="1" t="inlineStr">
        <is>
          <t xml:space="preserve">Loyalist
</t>
        </is>
      </c>
      <c r="F79" s="1" t="inlineStr">
        <is>
          <t xml:space="preserve">体制派
</t>
        </is>
      </c>
      <c r="G79" s="1" t="inlineStr">
        <is>
          <t xml:space="preserve">対になる急進派（Radical）と対になっておらず、一部の画面では文字あふれを起こしているため。
</t>
        </is>
      </c>
      <c r="H79" s="1" t="inlineStr">
        <is>
          <t xml:space="preserve">1.0.3
</t>
        </is>
      </c>
      <c r="I79" s="1" t="inlineStr">
        <is>
          <t xml:space="preserve">- Victoria II Remastered Soundtrack
- American Buildings Pack
</t>
        </is>
      </c>
      <c r="J79" s="1" t="inlineStr">
        <is>
          <t xml:space="preserve">なし
</t>
        </is>
      </c>
    </row>
    <row r="80" ht="90" customHeight="1">
      <c r="A80">
        <f>HYPERLINK("https://github.com/matanki-saito/vic3jpadvmod/issues/137",137)</f>
        <v/>
      </c>
      <c r="B80" s="1" t="inlineStr">
        <is>
          <t>【修正提案】法定相続人（Heir Apparent）</t>
        </is>
      </c>
      <c r="C80" s="1">
        <f>HYPERLINK("https://user-images.githubusercontent.com/42687608/198815067-7836759a-9826-4e6c-9d00-97135618eec1.jpg","screenshot")
</f>
        <v/>
      </c>
      <c r="D80" s="1" t="inlineStr">
        <is>
          <t xml:space="preserve">法定相続人
</t>
        </is>
      </c>
      <c r="E80" s="1" t="inlineStr">
        <is>
          <t xml:space="preserve">Heir Apparent
</t>
        </is>
      </c>
      <c r="F80" s="1" t="inlineStr">
        <is>
          <t xml:space="preserve">後継者
</t>
        </is>
      </c>
      <c r="G80" s="1" t="inlineStr">
        <is>
          <t xml:space="preserve">誤訳のため。
</t>
        </is>
      </c>
      <c r="H80" s="1" t="inlineStr">
        <is>
          <t xml:space="preserve">1.0.3
</t>
        </is>
      </c>
      <c r="I80" s="1" t="inlineStr">
        <is>
          <t xml:space="preserve">- Victoria II Remastered Soundtrack
- American Buildings Pack
</t>
        </is>
      </c>
      <c r="J80" s="1" t="inlineStr">
        <is>
          <t xml:space="preserve">なし
</t>
        </is>
      </c>
    </row>
    <row r="81" ht="90" customHeight="1">
      <c r="A81">
        <f>HYPERLINK("https://github.com/matanki-saito/vic3jpadvmod/issues/136",136)</f>
        <v/>
      </c>
      <c r="B81" s="1" t="inlineStr">
        <is>
          <t>【修正提案】周縁集団（Marginalized）</t>
        </is>
      </c>
      <c r="C81" s="1">
        <f>HYPERLINK("https://user-images.githubusercontent.com/42687608/198814821-d95bdadc-4aee-400b-8ea1-cfcd262eb962.jpg","screenshot")
</f>
        <v/>
      </c>
      <c r="D81" s="1" t="inlineStr">
        <is>
          <t xml:space="preserve">周縁集団
</t>
        </is>
      </c>
      <c r="E81" s="1" t="inlineStr">
        <is>
          <t xml:space="preserve">Marginalized
</t>
        </is>
      </c>
      <c r="F81" s="1" t="inlineStr">
        <is>
          <t xml:space="preserve">非主流派
</t>
        </is>
      </c>
      <c r="G81" s="1" t="inlineStr">
        <is>
          <t xml:space="preserve">誤訳のため。
Marginalizedは形容詞として名詞を修飾するだけでなく、補語として単独でも使われるので訳語の選択には注意が必要。
</t>
        </is>
      </c>
      <c r="H81" s="1" t="inlineStr">
        <is>
          <t xml:space="preserve">1.0.3
</t>
        </is>
      </c>
      <c r="I81" s="1" t="inlineStr">
        <is>
          <t xml:space="preserve">- Victoria II Remastered Soundtrack
- American Buildings Pack
</t>
        </is>
      </c>
      <c r="J81" s="1" t="inlineStr">
        <is>
          <t xml:space="preserve">なし
</t>
        </is>
      </c>
    </row>
    <row r="82" ht="90" customHeight="1">
      <c r="A82">
        <f>HYPERLINK("https://github.com/matanki-saito/vic3jpadvmod/issues/135",135)</f>
        <v/>
      </c>
      <c r="B82" s="1" t="inlineStr">
        <is>
          <t>【修正提案】将軍（Shogun/General）</t>
        </is>
      </c>
      <c r="C82" s="1">
        <f>HYPERLINK("https://user-images.githubusercontent.com/42687608/198814645-19e57a85-2eda-4b23-85ee-82a424844a89.jpg","screenshot")
</f>
        <v/>
      </c>
      <c r="D82" s="1" t="inlineStr">
        <is>
          <t xml:space="preserve">将軍
</t>
        </is>
      </c>
      <c r="E82" s="1" t="inlineStr">
        <is>
          <t xml:space="preserve">Shogun/General
</t>
        </is>
      </c>
      <c r="F82" s="1" t="inlineStr">
        <is>
          <t xml:space="preserve">征夷大将軍/将軍
</t>
        </is>
      </c>
      <c r="G82" s="1" t="inlineStr">
        <is>
          <t xml:space="preserve">用語が重複しており、日本プレイではShogunとGeneralの見分けがつかないため。
Shogunを「征夷大将軍」、Generalを「将軍」と訳し分けることで区別できるようにする。
</t>
        </is>
      </c>
      <c r="H82" s="1" t="inlineStr">
        <is>
          <t xml:space="preserve">1.0.3
</t>
        </is>
      </c>
      <c r="I82" s="1" t="inlineStr">
        <is>
          <t xml:space="preserve">- Victoria II Remastered Soundtrack
- American Buildings Pack
</t>
        </is>
      </c>
      <c r="J82" s="1" t="inlineStr">
        <is>
          <t xml:space="preserve">なし
</t>
        </is>
      </c>
    </row>
    <row r="83" ht="90" customHeight="1">
      <c r="A83">
        <f>HYPERLINK("https://github.com/matanki-saito/vic3jpadvmod/issues/134",134)</f>
        <v/>
      </c>
      <c r="B83" s="1" t="inlineStr">
        <is>
          <t>【修正提案】揺さぶり（Sway）</t>
        </is>
      </c>
      <c r="C83" s="1">
        <f>HYPERLINK("https://user-images.githubusercontent.com/42687608/198814453-1f6c51b5-1692-4b1e-aadc-2bf9d37cc258.jpg","screenshot")
</f>
        <v/>
      </c>
      <c r="D83" s="1" t="inlineStr">
        <is>
          <t xml:space="preserve">揺さぶり
</t>
        </is>
      </c>
      <c r="E83" s="1" t="inlineStr">
        <is>
          <t xml:space="preserve">Sway
</t>
        </is>
      </c>
      <c r="F83" s="1" t="inlineStr">
        <is>
          <t xml:space="preserve">懐柔
</t>
        </is>
      </c>
      <c r="G83" s="1" t="inlineStr">
        <is>
          <t xml:space="preserve">直訳としては間違っていないが、CK2/CK3では同じ単語を「懐柔」と訳しているため共通にしたい。
また、用語が別の場面で引用される場合、熟語の方がなにかと扱いやすい。
</t>
        </is>
      </c>
      <c r="H83" s="1" t="inlineStr">
        <is>
          <t xml:space="preserve">1.0.3
</t>
        </is>
      </c>
      <c r="I83" s="1" t="inlineStr">
        <is>
          <t xml:space="preserve">- Victoria II Remastered Soundtrack
- American Buildings Pack
</t>
        </is>
      </c>
      <c r="J83" s="1" t="inlineStr">
        <is>
          <t xml:space="preserve">なし
</t>
        </is>
      </c>
    </row>
    <row r="84" ht="90" customHeight="1">
      <c r="A84">
        <f>HYPERLINK("https://github.com/matanki-saito/vic3jpadvmod/issues/133",133)</f>
        <v/>
      </c>
      <c r="B84" s="1" t="inlineStr">
        <is>
          <t>【表記ゆれ】義務と恩義（Obligation）</t>
        </is>
      </c>
      <c r="C84" s="1">
        <f>HYPERLINK("https://user-images.githubusercontent.com/42687608/198814136-b23fed74-3ddb-402c-925f-5e99eb7507a1.jpg","screenshot")
</f>
        <v/>
      </c>
      <c r="D84" s="1" t="inlineStr">
        <is>
          <t xml:space="preserve">義務/恩義
</t>
        </is>
      </c>
      <c r="E84" s="1" t="inlineStr">
        <is>
          <t xml:space="preserve">Obligation
</t>
        </is>
      </c>
      <c r="F84" s="1" t="inlineStr">
        <is>
          <t xml:space="preserve">借り
</t>
        </is>
      </c>
      <c r="G84" s="1" t="inlineStr">
        <is>
          <t xml:space="preserve">場所によって「義務」と「恩義」で表記ゆれを起こしている。
ゲーム上の意味は外交上の貸し借り。CK3のフックに相当する。
訳は「恩義」でも構わないが、個人的には意味がわかりやすい「借り」に変更したい。
</t>
        </is>
      </c>
      <c r="H84" s="1" t="inlineStr">
        <is>
          <t xml:space="preserve">1.0.3
</t>
        </is>
      </c>
      <c r="I84" s="1" t="inlineStr">
        <is>
          <t xml:space="preserve">- Victoria II Remastered Soundtrack
- American Buildings Pack
</t>
        </is>
      </c>
      <c r="J84" s="1" t="inlineStr">
        <is>
          <t xml:space="preserve">なし
</t>
        </is>
      </c>
    </row>
    <row r="85" ht="90" customHeight="1">
      <c r="A85">
        <f>HYPERLINK("https://github.com/matanki-saito/vic3jpadvmod/issues/132",132)</f>
        <v/>
      </c>
      <c r="B85" s="1" t="inlineStr">
        <is>
          <t>【修正提案】競争（Rivalry）</t>
        </is>
      </c>
      <c r="C85" s="1">
        <f>HYPERLINK("https://user-images.githubusercontent.com/42687608/198813346-03cc59ac-b902-4928-823f-f814d9423195.jpg","screenshot")
</f>
        <v/>
      </c>
      <c r="D85" s="1" t="inlineStr">
        <is>
          <t xml:space="preserve">競争
</t>
        </is>
      </c>
      <c r="E85" s="1" t="inlineStr">
        <is>
          <t xml:space="preserve">Rivalry
</t>
        </is>
      </c>
      <c r="F85" s="1" t="inlineStr">
        <is>
          <t xml:space="preserve">ライバル
</t>
        </is>
      </c>
      <c r="G85" s="1" t="inlineStr">
        <is>
          <t xml:space="preserve">他のParadox作品の定訳に合わせるため。
ゲーム上の効果は両国間の関係を悪化させる代わりに影響力を獲得するというもの。
</t>
        </is>
      </c>
      <c r="H85" s="1" t="inlineStr">
        <is>
          <t xml:space="preserve">1.0.3
</t>
        </is>
      </c>
      <c r="I85" s="1" t="inlineStr">
        <is>
          <t xml:space="preserve">- Victoria II Remastered Soundtrack
- American Buildings Pack
</t>
        </is>
      </c>
      <c r="J85" s="1" t="inlineStr">
        <is>
          <t xml:space="preserve">なし
</t>
        </is>
      </c>
    </row>
    <row r="86" ht="90" customHeight="1">
      <c r="A86">
        <f>HYPERLINK("https://github.com/matanki-saito/vic3jpadvmod/issues/125",125)</f>
        <v/>
      </c>
      <c r="B86" s="1" t="inlineStr">
        <is>
          <t>【修正提案】地主</t>
        </is>
      </c>
      <c r="C86" s="1">
        <f>HYPERLINK("https://user-images.githubusercontent.com/43299334/198631355-f60ea1a7-a463-48fd-b47a-e3627dd271c1.jpg","screenshot")
</f>
        <v/>
      </c>
      <c r="D86" s="1" t="inlineStr">
        <is>
          <t xml:space="preserve">地主
</t>
        </is>
      </c>
      <c r="E86" s="1" t="inlineStr">
        <is>
          <t xml:space="preserve">Landowners
</t>
        </is>
      </c>
      <c r="F86" s="1" t="inlineStr">
        <is>
          <t xml:space="preserve">地主貴族
</t>
        </is>
      </c>
      <c r="G86" s="1" t="inlineStr">
        <is>
          <t xml:space="preserve">画像のように、単なる土地所有者というよりは貴族的な色彩が強いため。
ユンカーなどの地主貴族（土地貴族）が含まれる。
</t>
        </is>
      </c>
      <c r="H86" s="1" t="inlineStr">
        <is>
          <t xml:space="preserve">1.0.3
</t>
        </is>
      </c>
      <c r="I86" s="1" t="inlineStr">
        <is>
          <t xml:space="preserve">なし
</t>
        </is>
      </c>
      <c r="J86" s="1" t="inlineStr">
        <is>
          <t xml:space="preserve">なし
</t>
        </is>
      </c>
    </row>
    <row r="87" ht="180" customHeight="1">
      <c r="A87">
        <f>HYPERLINK("https://github.com/matanki-saito/vic3jpadvmod/issues/124",124)</f>
        <v/>
      </c>
      <c r="B87" s="1" t="inlineStr">
        <is>
          <t>【表記ゆれ】護衛/輸送船団　Convoys</t>
        </is>
      </c>
      <c r="C87" s="1">
        <f>HYPERLINK("https://user-images.githubusercontent.com/37979626/198627653-e9af1aa3-ff0b-4f1a-a9ad-f7eeb1dc8c23.png","screenshot")
=HYPERLINK("https://user-images.githubusercontent.com/37979626/198627977-5d85e3c6-06f9-4b89-a8d8-fbfa6ad1b43d.png","screenshot")
</f>
        <v/>
      </c>
      <c r="D87" s="1" t="inlineStr">
        <is>
          <t xml:space="preserve">護衛
</t>
        </is>
      </c>
      <c r="E87" s="1" t="inlineStr">
        <is>
          <t xml:space="preserve">Convoys
</t>
        </is>
      </c>
      <c r="F87" s="1" t="inlineStr">
        <is>
          <t xml:space="preserve">輸送船団
</t>
        </is>
      </c>
      <c r="G87" s="1" t="inlineStr">
        <is>
          <t xml:space="preserve">ここだけ表記ゆれを起こしているため
</t>
        </is>
      </c>
      <c r="H87" s="1" t="inlineStr">
        <is>
          <t xml:space="preserve">1.0.1
</t>
        </is>
      </c>
      <c r="I87" s="1" t="inlineStr">
        <is>
          <t xml:space="preserve">無し
</t>
        </is>
      </c>
      <c r="J87" s="1" t="inlineStr">
        <is>
          <t xml:space="preserve">なし
</t>
        </is>
      </c>
    </row>
    <row r="88" ht="90" customHeight="1">
      <c r="A88">
        <f>HYPERLINK("https://github.com/matanki-saito/vic3jpadvmod/issues/123",123)</f>
        <v/>
      </c>
      <c r="B88" s="1" t="inlineStr">
        <is>
          <t>【修正提案】教育自由度 Education Access</t>
        </is>
      </c>
      <c r="C88" s="1">
        <f>HYPERLINK("https://user-images.githubusercontent.com/50406316/198598819-fae86eeb-3cc1-42bf-9288-aa4c8b112382.png","screenshot")
</f>
        <v/>
      </c>
      <c r="D88" s="1" t="inlineStr">
        <is>
          <t xml:space="preserve">教育自由度
</t>
        </is>
      </c>
      <c r="E88" s="1" t="inlineStr">
        <is>
          <t xml:space="preserve">Education Access
</t>
        </is>
      </c>
      <c r="F88" s="1" t="inlineStr">
        <is>
          <t xml:space="preserve">教育アクセス
</t>
        </is>
      </c>
      <c r="G88" s="1" t="inlineStr">
        <is>
          <t xml:space="preserve">時間とともに各POPの識字率は生活水準や諸々の補正に従ったターゲットに向けて近付いていくが、そのターゲット値にかかる補正値のこと。
原文と訳語が異なっている。
</t>
        </is>
      </c>
      <c r="H88" s="1" t="inlineStr">
        <is>
          <t xml:space="preserve">1.0.3
</t>
        </is>
      </c>
      <c r="I88" s="1" t="inlineStr">
        <is>
          <t xml:space="preserve">無し
</t>
        </is>
      </c>
      <c r="J88" s="1" t="inlineStr">
        <is>
          <t xml:space="preserve">なし
</t>
        </is>
      </c>
    </row>
    <row r="89" ht="90" customHeight="1">
      <c r="A89">
        <f>HYPERLINK("https://github.com/matanki-saito/vic3jpadvmod/issues/119",119)</f>
        <v/>
      </c>
      <c r="B89" s="1" t="inlineStr">
        <is>
          <t>【修正提案】軍事における「本部」HQ</t>
        </is>
      </c>
      <c r="C89" s="1">
        <f>HYPERLINK("https://user-images.githubusercontent.com/37979626/198565670-7203baf8-df1d-4bed-af62-89958c090811.png","screenshot")
</f>
        <v/>
      </c>
      <c r="D89" s="1" t="inlineStr">
        <is>
          <t xml:space="preserve">本部
</t>
        </is>
      </c>
      <c r="E89" s="1" t="inlineStr">
        <is>
          <t xml:space="preserve">HQ
Headquarter
</t>
        </is>
      </c>
      <c r="F89" s="1" t="inlineStr">
        <is>
          <t xml:space="preserve">司令部
</t>
        </is>
      </c>
      <c r="G89" s="1" t="inlineStr">
        <is>
          <t xml:space="preserve">一般的な用語への変更（誤訳と思われる）
</t>
        </is>
      </c>
      <c r="H89" s="1" t="inlineStr">
        <is>
          <t xml:space="preserve">1.0.1
</t>
        </is>
      </c>
      <c r="I89" s="1" t="inlineStr">
        <is>
          <t xml:space="preserve">無し
</t>
        </is>
      </c>
      <c r="J89" s="1" t="inlineStr">
        <is>
          <t xml:space="preserve">なし
</t>
        </is>
      </c>
    </row>
    <row r="90" ht="15" customHeight="1">
      <c r="A90">
        <f>HYPERLINK("https://github.com/matanki-saito/vic3jpadvmod/issues/115",115)</f>
        <v/>
      </c>
      <c r="B90" s="1" t="inlineStr">
        <is>
          <t>【修正提案】公共施設 Institution</t>
        </is>
      </c>
      <c r="C90" s="1" t="inlineStr">
        <is>
          <t xml:space="preserve">なし
</t>
        </is>
      </c>
      <c r="D90" s="1" t="inlineStr">
        <is>
          <t xml:space="preserve">公共施設
</t>
        </is>
      </c>
      <c r="E90" s="1" t="inlineStr">
        <is>
          <t xml:space="preserve">Institution
</t>
        </is>
      </c>
      <c r="F90" s="1" t="inlineStr">
        <is>
          <t xml:space="preserve">政府機関、行政機関など
</t>
        </is>
      </c>
      <c r="G90" s="1" t="inlineStr">
        <is>
          <t xml:space="preserve">政府において行政を遂行するような、官公庁の役割を果たしているため。
</t>
        </is>
      </c>
      <c r="H90" s="1" t="inlineStr">
        <is>
          <t xml:space="preserve">1.0.3
</t>
        </is>
      </c>
      <c r="I90" s="1" t="inlineStr">
        <is>
          <t xml:space="preserve">無し
</t>
        </is>
      </c>
      <c r="J90" s="1" t="inlineStr">
        <is>
          <t xml:space="preserve">なし
</t>
        </is>
      </c>
    </row>
    <row r="91" ht="90" customHeight="1">
      <c r="A91">
        <f>HYPERLINK("https://github.com/matanki-saito/vic3jpadvmod/issues/114",114)</f>
        <v/>
      </c>
      <c r="B91" s="1" t="inlineStr">
        <is>
          <t>【修正提案】臣下 subjet および君主国 overlord</t>
        </is>
      </c>
      <c r="C91" s="1" t="inlineStr">
        <is>
          <t xml:space="preserve">なし
</t>
        </is>
      </c>
      <c r="D91" s="1" t="inlineStr">
        <is>
          <t xml:space="preserve">臣下
君主国
</t>
        </is>
      </c>
      <c r="E91" s="1" t="inlineStr">
        <is>
          <t xml:space="preserve">subject
overlord
</t>
        </is>
      </c>
      <c r="F91" s="1" t="inlineStr">
        <is>
          <t xml:space="preserve">従属国
宗主国
</t>
        </is>
      </c>
      <c r="G91" s="1" t="inlineStr">
        <is>
          <t xml:space="preserve">外交関係を示す適切な用語ではないため。
puppet, tributary, dominion, protectorateなど幅広い主従関係を包括する用語なので、広い意味を持つ訳語を充てたい。
また、地の分としてもいくらか使われているため、そちらも変更すべき。
</t>
        </is>
      </c>
      <c r="H91" s="1" t="inlineStr">
        <is>
          <t xml:space="preserve">1.0.3
</t>
        </is>
      </c>
      <c r="I91" s="1" t="inlineStr">
        <is>
          <t xml:space="preserve">無し
</t>
        </is>
      </c>
      <c r="J91" s="1" t="inlineStr">
        <is>
          <t xml:space="preserve">無し
</t>
        </is>
      </c>
    </row>
    <row r="92" ht="180" customHeight="1">
      <c r="A92">
        <f>HYPERLINK("https://github.com/matanki-saito/vic3jpadvmod/issues/113",113)</f>
        <v/>
      </c>
      <c r="B92" s="1" t="inlineStr">
        <is>
          <t>Heritage</t>
        </is>
      </c>
      <c r="C92" s="1">
        <f>HYPERLINK("https://user-images.githubusercontent.com/50406316/198508714-9a9287c4-bc74-45f3-a64b-903c1ddbb27e.png","screenshot")
=HYPERLINK("https://user-images.githubusercontent.com/50406316/198508738-d3036aaf-1a86-4837-85f0-99cb31772aa6.png","screenshot")
</f>
        <v/>
      </c>
      <c r="D92" s="1" t="inlineStr">
        <is>
          <t xml:space="preserve">伝統/遺産
</t>
        </is>
      </c>
      <c r="E92" s="1" t="inlineStr">
        <is>
          <t xml:space="preserve">Heritage
</t>
        </is>
      </c>
      <c r="F92" s="1" t="inlineStr">
        <is>
          <t xml:space="preserve">表記ゆれがあって統一したいが、適切な訳語が無いので議論参加希望します
</t>
        </is>
      </c>
      <c r="G92" s="1" t="inlineStr">
        <is>
          <t xml:space="preserve">各文化についている特性の一つで、主に出身地に紐づけられているが、実際は19世紀当時における人種の概念を意味していると思われる。
ただ現在のゲームで人種と書くのは政治的問題があるせいでぼかした造語にしていると思われ、そのせいで適切な訳語が無い。個人的には「伝統」も「遺産」も違和感がある。
少なくとも表記ゆれがあるとゲームルールの理解の妨げになるので、何らかの表記に統一はしたい。
</t>
        </is>
      </c>
      <c r="H92" s="1" t="inlineStr">
        <is>
          <t xml:space="preserve">1.0.3
</t>
        </is>
      </c>
      <c r="I92" s="1" t="inlineStr">
        <is>
          <t xml:space="preserve">無し
</t>
        </is>
      </c>
      <c r="J92" s="1" t="inlineStr">
        <is>
          <t xml:space="preserve">なし
</t>
        </is>
      </c>
    </row>
    <row r="93" ht="90" customHeight="1">
      <c r="A93">
        <f>HYPERLINK("https://github.com/matanki-saito/vic3jpadvmod/issues/111",111)</f>
        <v/>
      </c>
      <c r="B93" s="1" t="inlineStr">
        <is>
          <t>【修正提案】奉仕 Services</t>
        </is>
      </c>
      <c r="C93" s="1">
        <f>HYPERLINK("https://user-images.githubusercontent.com/50406316/198501441-58c1a770-0c90-4881-aaf1-49759153a3de.png","screenshot")
</f>
        <v/>
      </c>
      <c r="D93" s="1" t="inlineStr">
        <is>
          <t xml:space="preserve">奉仕
</t>
        </is>
      </c>
      <c r="E93" s="1" t="inlineStr">
        <is>
          <t xml:space="preserve">Services
</t>
        </is>
      </c>
      <c r="F93" s="1" t="inlineStr">
        <is>
          <t xml:space="preserve">サービス
</t>
        </is>
      </c>
      <c r="G93" s="1" t="inlineStr">
        <is>
          <t xml:space="preserve">奉仕では直訳で違和感がある。Urban Center（市街地）で生産されるので、サービス業の役務提供を想定していると思われるため。
</t>
        </is>
      </c>
      <c r="H93" s="1" t="inlineStr">
        <is>
          <t xml:space="preserve">1.0.3
</t>
        </is>
      </c>
      <c r="I93" s="1" t="inlineStr">
        <is>
          <t xml:space="preserve">無し
</t>
        </is>
      </c>
      <c r="J93" s="1" t="inlineStr">
        <is>
          <t xml:space="preserve">なし
</t>
        </is>
      </c>
    </row>
    <row r="94" ht="90" customHeight="1">
      <c r="A94">
        <f>HYPERLINK("https://github.com/matanki-saito/vic3jpadvmod/issues/110",110)</f>
        <v/>
      </c>
      <c r="B94" s="1" t="inlineStr">
        <is>
          <t>【修正提案】利益 Interest</t>
        </is>
      </c>
      <c r="C94" s="1">
        <f>HYPERLINK("https://user-images.githubusercontent.com/50406316/198495500-4e1f4ff7-798f-46cd-839d-d59bfb8250c9.png","screenshot")
</f>
        <v/>
      </c>
      <c r="D94" s="1" t="inlineStr">
        <is>
          <t xml:space="preserve">利益
</t>
        </is>
      </c>
      <c r="E94" s="1" t="inlineStr">
        <is>
          <t xml:space="preserve">Interest
</t>
        </is>
      </c>
      <c r="F94" s="1" t="inlineStr">
        <is>
          <t xml:space="preserve">利息
</t>
        </is>
      </c>
      <c r="G94" s="1" t="inlineStr">
        <is>
          <t xml:space="preserve">誤訳修正
</t>
        </is>
      </c>
      <c r="H94" s="1" t="inlineStr">
        <is>
          <t xml:space="preserve">1.0.3
</t>
        </is>
      </c>
      <c r="I94" s="1" t="inlineStr">
        <is>
          <t xml:space="preserve">無し
</t>
        </is>
      </c>
      <c r="J94" s="1" t="inlineStr">
        <is>
          <t xml:space="preserve">なし
</t>
        </is>
      </c>
    </row>
    <row r="95" ht="90" customHeight="1">
      <c r="A95">
        <f>HYPERLINK("https://github.com/matanki-saito/vic3jpadvmod/issues/108",108)</f>
        <v/>
      </c>
      <c r="B95" s="1" t="inlineStr">
        <is>
          <t>【修正提案】国家至上 National Supremacy</t>
        </is>
      </c>
      <c r="C95" s="1">
        <f>HYPERLINK("https://user-images.githubusercontent.com/50406316/198470547-ca079382-c63f-42bb-974b-b293e0da8411.png","screenshot")
</f>
        <v/>
      </c>
      <c r="D95" s="1" t="inlineStr">
        <is>
          <t xml:space="preserve">国家至上 
</t>
        </is>
      </c>
      <c r="E95" s="1" t="inlineStr">
        <is>
          <t xml:space="preserve">National Supremacy
</t>
        </is>
      </c>
      <c r="F95" s="1" t="inlineStr">
        <is>
          <t xml:space="preserve">国民至上
</t>
        </is>
      </c>
      <c r="G95" s="1" t="inlineStr">
        <is>
          <t xml:space="preserve">主要文化とheriageおよび言語が共通の文化だけ市民権がある、いわゆる国民国家（Nation State）を想定した制度であり、Nationalは国家よりは国民と訳したほうが適切だと考えるため
</t>
        </is>
      </c>
      <c r="H95" s="1" t="inlineStr">
        <is>
          <t xml:space="preserve">1.0.3
</t>
        </is>
      </c>
      <c r="I95" s="1" t="inlineStr">
        <is>
          <t xml:space="preserve">無し
</t>
        </is>
      </c>
      <c r="J95" s="1" t="inlineStr">
        <is>
          <t xml:space="preserve">なし
</t>
        </is>
      </c>
    </row>
    <row r="96" ht="90" customHeight="1">
      <c r="A96">
        <f>HYPERLINK("https://github.com/matanki-saito/vic3jpadvmod/issues/107",107)</f>
        <v/>
      </c>
      <c r="B96" s="1" t="inlineStr">
        <is>
          <t>【修正提案】後見人 Legal Guardianship</t>
        </is>
      </c>
      <c r="C96" s="1">
        <f>HYPERLINK("https://user-images.githubusercontent.com/50406316/198466314-498b3d79-5bab-4363-ac90-7bade07f6b7c.png","screenshot")
</f>
        <v/>
      </c>
      <c r="D96" s="1" t="inlineStr">
        <is>
          <t xml:space="preserve">後見人
女性は法的には男性の保護下にあり、ほとんど権利を享受していません。
</t>
        </is>
      </c>
      <c r="E96" s="1" t="inlineStr">
        <is>
          <t xml:space="preserve">Legal Guardianship
Women are legally under the guardianship of men and enjoy very few rights.
</t>
        </is>
      </c>
      <c r="F96" s="1" t="inlineStr">
        <is>
          <t xml:space="preserve">被後見
女性は法的には男性の後見下にあり、ほとんど権利を享受していません。
</t>
        </is>
      </c>
      <c r="G96" s="1" t="inlineStr">
        <is>
          <t xml:space="preserve">後見している側ではなくされている側を指すため。
説明テキストではguardianship が保護とされており、訳語不統一になっているため、こちらも後見に統一する。
</t>
        </is>
      </c>
      <c r="H96" s="1" t="inlineStr">
        <is>
          <t xml:space="preserve">1.0.3
</t>
        </is>
      </c>
      <c r="I96" s="1" t="inlineStr">
        <is>
          <t xml:space="preserve">無し
</t>
        </is>
      </c>
      <c r="J96" s="1" t="inlineStr">
        <is>
          <t xml:space="preserve">なし
</t>
        </is>
      </c>
    </row>
    <row r="97" ht="90" customHeight="1">
      <c r="A97">
        <f>HYPERLINK("https://github.com/matanki-saito/vic3jpadvmod/issues/106",106)</f>
        <v/>
      </c>
      <c r="B97" s="1" t="inlineStr">
        <is>
          <t>【修正提案】製鋼工場 Steel Mills</t>
        </is>
      </c>
      <c r="C97" s="1">
        <f>HYPERLINK("https://user-images.githubusercontent.com/50406316/198462562-0bc929c9-7a49-4407-839b-337c231632d7.png","screenshot")
</f>
        <v/>
      </c>
      <c r="D97" s="1" t="inlineStr">
        <is>
          <t xml:space="preserve">製鋼工場
</t>
        </is>
      </c>
      <c r="E97" s="1" t="inlineStr">
        <is>
          <t xml:space="preserve">Steel Mills
</t>
        </is>
      </c>
      <c r="F97" s="1" t="inlineStr">
        <is>
          <t xml:space="preserve">製鉄所
</t>
        </is>
      </c>
      <c r="G97" s="1" t="inlineStr">
        <is>
          <t xml:space="preserve">製鋼工場でも間違いではないが、製鉄所のほうがより一般的な訳語であるため
</t>
        </is>
      </c>
      <c r="H97" s="1" t="inlineStr">
        <is>
          <t xml:space="preserve">1.0.3
</t>
        </is>
      </c>
      <c r="I97" s="1" t="inlineStr">
        <is>
          <t xml:space="preserve">無し
</t>
        </is>
      </c>
      <c r="J97" s="1" t="inlineStr">
        <is>
          <t xml:space="preserve">なし
</t>
        </is>
      </c>
    </row>
    <row r="98" ht="90" customHeight="1">
      <c r="A98">
        <f>HYPERLINK("https://github.com/matanki-saito/vic3jpadvmod/issues/105",105)</f>
        <v/>
      </c>
      <c r="B98" s="1" t="inlineStr">
        <is>
          <t>【修正提案】電力プラント Power Plants</t>
        </is>
      </c>
      <c r="C98" s="1">
        <f>HYPERLINK("https://user-images.githubusercontent.com/50406316/198455497-d46629cd-eb05-42a0-a0eb-7244066d0954.png","screenshot")
</f>
        <v/>
      </c>
      <c r="D98" s="1" t="inlineStr">
        <is>
          <t xml:space="preserve">電力プラント
</t>
        </is>
      </c>
      <c r="E98" s="1" t="inlineStr">
        <is>
          <t xml:space="preserve">Power Plants
</t>
        </is>
      </c>
      <c r="F98" s="1" t="inlineStr">
        <is>
          <t xml:space="preserve">発電所
</t>
        </is>
      </c>
      <c r="G98" s="1" t="inlineStr">
        <is>
          <t xml:space="preserve">電力プラントでも間違いではないが、一般的には発電所と訳すのが定訳であるため
</t>
        </is>
      </c>
      <c r="H98" s="1" t="inlineStr">
        <is>
          <t xml:space="preserve">1.0.3
</t>
        </is>
      </c>
      <c r="I98" s="1" t="inlineStr">
        <is>
          <t xml:space="preserve">無し
</t>
        </is>
      </c>
      <c r="J98" s="1" t="inlineStr">
        <is>
          <t xml:space="preserve">なし
</t>
        </is>
      </c>
    </row>
    <row r="99" ht="90" customHeight="1">
      <c r="A99">
        <f>HYPERLINK("https://github.com/matanki-saito/vic3jpadvmod/issues/104",104)</f>
        <v/>
      </c>
      <c r="B99" s="1" t="inlineStr">
        <is>
          <t>【修正提案】都市センター Urban Center</t>
        </is>
      </c>
      <c r="C99" s="1">
        <f>HYPERLINK("https://user-images.githubusercontent.com/50406316/198453869-12a43e5e-a760-445b-a1d9-520a3ce23cb3.png","screenshot")
</f>
        <v/>
      </c>
      <c r="D99" s="1" t="inlineStr">
        <is>
          <t xml:space="preserve">都市センター
</t>
        </is>
      </c>
      <c r="E99" s="1" t="inlineStr">
        <is>
          <t xml:space="preserve">Urban Center
</t>
        </is>
      </c>
      <c r="F99" s="1" t="inlineStr">
        <is>
          <t xml:space="preserve">市街地
</t>
        </is>
      </c>
      <c r="G99" s="1" t="inlineStr">
        <is>
          <t xml:space="preserve">誤訳の修正
</t>
        </is>
      </c>
      <c r="H99" s="1" t="inlineStr">
        <is>
          <t xml:space="preserve">1.0.3
</t>
        </is>
      </c>
      <c r="I99" s="1" t="inlineStr">
        <is>
          <t xml:space="preserve">無し
</t>
        </is>
      </c>
      <c r="J99" s="1" t="inlineStr">
        <is>
          <t xml:space="preserve">なし
</t>
        </is>
      </c>
    </row>
    <row r="100" ht="120" customHeight="1">
      <c r="A100">
        <f>HYPERLINK("https://github.com/matanki-saito/vic3jpadvmod/issues/103",103)</f>
        <v/>
      </c>
      <c r="B100" s="1" t="inlineStr">
        <is>
          <t>【修正提案】紅茶農園 Tea Plantations</t>
        </is>
      </c>
      <c r="C100" s="1">
        <f>HYPERLINK("https://user-images.githubusercontent.com/50406316/198449678-4ad3583d-06fe-4ac2-b39f-339010f67375.png","screenshot")
</f>
        <v/>
      </c>
      <c r="D100" s="1" t="inlineStr">
        <is>
          <t xml:space="preserve">紅茶農園
</t>
        </is>
      </c>
      <c r="E100" s="1" t="inlineStr">
        <is>
          <t xml:space="preserve">Tea Plantations
</t>
        </is>
      </c>
      <c r="F100" s="1" t="inlineStr">
        <is>
          <t xml:space="preserve">茶農園 or 茶畑
</t>
        </is>
      </c>
      <c r="G100" s="1" t="inlineStr">
        <is>
          <t xml:space="preserve">紅茶はあくまで製法の違いによってできるもので、栽培の時点では紅茶も緑茶その他もすべて同じチャノキであり、紅茶と限定する必要が無い。ゲーム上でも、インドでも日本でも同じ建造物が作れるので紅茶限定ではない。
Plantationsが他の建造物で農園と訳されているので表現を合わせるなら「茶農園」になるが、より一般的な日本語では「茶畑」になる。
</t>
        </is>
      </c>
      <c r="H100" s="1" t="inlineStr">
        <is>
          <t xml:space="preserve">1.0.3
</t>
        </is>
      </c>
      <c r="I100" s="1" t="inlineStr">
        <is>
          <t xml:space="preserve">無し
</t>
        </is>
      </c>
      <c r="J100" s="1" t="inlineStr">
        <is>
          <t xml:space="preserve">なし
</t>
        </is>
      </c>
    </row>
    <row r="101" ht="15" customHeight="1">
      <c r="A101">
        <f>HYPERLINK("https://github.com/matanki-saito/vic3jpadvmod/issues/97",97)</f>
        <v/>
      </c>
      <c r="B101" s="1" t="inlineStr">
        <is>
          <t>【修正提案】Wood</t>
        </is>
      </c>
      <c r="C101" s="1" t="inlineStr">
        <is>
          <t xml:space="preserve">なし
</t>
        </is>
      </c>
      <c r="D101" s="1" t="inlineStr">
        <is>
          <t xml:space="preserve">木
</t>
        </is>
      </c>
      <c r="E101" s="1" t="inlineStr">
        <is>
          <t xml:space="preserve">Wood
</t>
        </is>
      </c>
      <c r="F101" s="1" t="inlineStr">
        <is>
          <t xml:space="preserve">木材
</t>
        </is>
      </c>
      <c r="G101" s="1" t="inlineStr">
        <is>
          <t xml:space="preserve">資源としてより適切な用語にしたい
</t>
        </is>
      </c>
      <c r="H101" s="1" t="inlineStr">
        <is>
          <t xml:space="preserve">1.0.3
</t>
        </is>
      </c>
      <c r="I101" s="1" t="inlineStr">
        <is>
          <t xml:space="preserve">Grand Edition
</t>
        </is>
      </c>
      <c r="J101" s="1" t="inlineStr">
        <is>
          <t xml:space="preserve">フォント置き換えMOD
</t>
        </is>
      </c>
    </row>
    <row r="102" ht="90" customHeight="1">
      <c r="A102">
        <f>HYPERLINK("https://github.com/matanki-saito/vic3jpadvmod/issues/94",94)</f>
        <v/>
      </c>
      <c r="B102" s="1" t="inlineStr">
        <is>
          <t>【修正提案】武器産業、軍需工場</t>
        </is>
      </c>
      <c r="C102" s="1">
        <f>HYPERLINK("https://user-images.githubusercontent.com/70930137/198341488-f03ed2cd-135f-412f-861e-8d6c0f2addd2.png","screenshot")
</f>
        <v/>
      </c>
      <c r="D102" s="1" t="inlineStr">
        <is>
          <t xml:space="preserve">武器産業
軍需工場
</t>
        </is>
      </c>
      <c r="E102" s="1" t="inlineStr">
        <is>
          <t xml:space="preserve">Arms Industries
Munition Plants
</t>
        </is>
      </c>
      <c r="F102" s="1" t="inlineStr">
        <is>
          <t xml:space="preserve">武器工場
弾薬工場
</t>
        </is>
      </c>
      <c r="G102" s="1" t="inlineStr">
        <is>
          <t xml:space="preserve">武器と弾薬それぞれ工場があり軍需工場だと武器も含まれてしまうためです
</t>
        </is>
      </c>
      <c r="H102" s="1" t="inlineStr">
        <is>
          <t xml:space="preserve">1.0.1
</t>
        </is>
      </c>
      <c r="I102" s="1" t="inlineStr">
        <is>
          <t xml:space="preserve">無し
</t>
        </is>
      </c>
      <c r="J102" s="1" t="inlineStr">
        <is>
          <t xml:space="preserve">なし
</t>
        </is>
      </c>
    </row>
    <row r="103" ht="90" customHeight="1">
      <c r="A103">
        <f>HYPERLINK("https://github.com/matanki-saito/vic3jpadvmod/issues/93",93)</f>
        <v/>
      </c>
      <c r="B103" s="1" t="inlineStr">
        <is>
          <t>【修正提案】医学学位</t>
        </is>
      </c>
      <c r="C103" s="1">
        <f>HYPERLINK("https://user-images.githubusercontent.com/70930137/198334336-294cbf7c-b64d-4afe-98c4-75689ebabb08.png","screenshot")
</f>
        <v/>
      </c>
      <c r="D103" s="1" t="inlineStr">
        <is>
          <t xml:space="preserve">医学学位
</t>
        </is>
      </c>
      <c r="E103" s="1" t="inlineStr">
        <is>
          <t xml:space="preserve">Medical Degrees
</t>
        </is>
      </c>
      <c r="F103" s="1" t="inlineStr">
        <is>
          <t xml:space="preserve">医学士
</t>
        </is>
      </c>
      <c r="G103" s="1" t="inlineStr">
        <is>
          <t xml:space="preserve">こちらのほうがより一般的と思われます
</t>
        </is>
      </c>
      <c r="H103" s="1" t="inlineStr">
        <is>
          <t xml:space="preserve">1.0.1
</t>
        </is>
      </c>
      <c r="I103" s="1" t="inlineStr">
        <is>
          <t xml:space="preserve">無し
</t>
        </is>
      </c>
      <c r="J103" s="1" t="inlineStr">
        <is>
          <t xml:space="preserve">なし
</t>
        </is>
      </c>
    </row>
    <row r="104" ht="90" customHeight="1">
      <c r="A104">
        <f>HYPERLINK("https://github.com/matanki-saito/vic3jpadvmod/issues/92",92)</f>
        <v/>
      </c>
      <c r="B104" s="1" t="inlineStr">
        <is>
          <t>【修正提案】学界</t>
        </is>
      </c>
      <c r="C104" s="1">
        <f>HYPERLINK("https://user-images.githubusercontent.com/70930137/198333050-8357345a-ad91-4b5b-94a1-6e4b39d2bff4.png","screenshot")
</f>
        <v/>
      </c>
      <c r="D104" s="1" t="inlineStr">
        <is>
          <t xml:space="preserve">学界
</t>
        </is>
      </c>
      <c r="E104" s="1" t="inlineStr">
        <is>
          <t xml:space="preserve">Academia
</t>
        </is>
      </c>
      <c r="F104" s="1" t="inlineStr">
        <is>
          <t xml:space="preserve">学術機関
</t>
        </is>
      </c>
      <c r="G104" s="1" t="inlineStr">
        <is>
          <t xml:space="preserve">内容が学問の世界という訳ではないと思われます
</t>
        </is>
      </c>
      <c r="H104" s="1" t="inlineStr">
        <is>
          <t xml:space="preserve">1.0.1
</t>
        </is>
      </c>
      <c r="I104" s="1" t="inlineStr">
        <is>
          <t xml:space="preserve">無し
</t>
        </is>
      </c>
      <c r="J104" s="1" t="inlineStr">
        <is>
          <t xml:space="preserve">なし
</t>
        </is>
      </c>
    </row>
    <row r="105" ht="90" customHeight="1">
      <c r="A105">
        <f>HYPERLINK("https://github.com/matanki-saito/vic3jpadvmod/issues/91",91)</f>
        <v/>
      </c>
      <c r="B105" s="1" t="inlineStr">
        <is>
          <t>【修正提案】活動休止</t>
        </is>
      </c>
      <c r="C105" s="1">
        <f>HYPERLINK("https://user-images.githubusercontent.com/70930137/198326573-25a678fb-2187-4035-ae5a-e1de92791d0c.png","screenshot")
</f>
        <v/>
      </c>
      <c r="D105" s="1" t="inlineStr">
        <is>
          <t xml:space="preserve">活動休止
</t>
        </is>
      </c>
      <c r="E105" s="1" t="inlineStr">
        <is>
          <t xml:space="preserve">(Inactive)
</t>
        </is>
      </c>
      <c r="F105" s="1" t="inlineStr">
        <is>
          <t xml:space="preserve">非アクティブ
</t>
        </is>
      </c>
      <c r="G105" s="1" t="inlineStr">
        <is>
          <t xml:space="preserve">有効なものをアクティブ、有効でないものを非アクティブとした方が分かりやすいと思われます
</t>
        </is>
      </c>
      <c r="H105" s="1" t="inlineStr">
        <is>
          <t xml:space="preserve">1.0.1
</t>
        </is>
      </c>
      <c r="I105" s="1" t="inlineStr">
        <is>
          <t xml:space="preserve">無し
</t>
        </is>
      </c>
      <c r="J105" s="1" t="inlineStr">
        <is>
          <t xml:space="preserve">なし
</t>
        </is>
      </c>
    </row>
    <row r="106" ht="90" customHeight="1">
      <c r="A106">
        <f>HYPERLINK("https://github.com/matanki-saito/vic3jpadvmod/issues/90",90)</f>
        <v/>
      </c>
      <c r="B106" s="1" t="inlineStr">
        <is>
          <t>【修正提案】官僚制</t>
        </is>
      </c>
      <c r="C106" s="1">
        <f>HYPERLINK("https://user-images.githubusercontent.com/29382778/198324882-f4044cb3-8c50-4895-a683-d04767466321.png","screenshot")
</f>
        <v/>
      </c>
      <c r="D106" s="1" t="inlineStr">
        <is>
          <t xml:space="preserve">官僚制
</t>
        </is>
      </c>
      <c r="E106" s="1" t="inlineStr">
        <is>
          <t xml:space="preserve">Bureaucracy
</t>
        </is>
      </c>
      <c r="F106" s="1" t="inlineStr">
        <is>
          <t xml:space="preserve">行政力
</t>
        </is>
      </c>
      <c r="G106" s="1" t="inlineStr">
        <is>
          <t xml:space="preserve">制度の名称ではないため
</t>
        </is>
      </c>
      <c r="H106" s="1" t="inlineStr">
        <is>
          <t xml:space="preserve">1.0.3
</t>
        </is>
      </c>
      <c r="I106" s="1" t="inlineStr">
        <is>
          <t xml:space="preserve">Grand Edition
</t>
        </is>
      </c>
      <c r="J106" s="1" t="inlineStr">
        <is>
          <t xml:space="preserve">フォント置き換えMOD
</t>
        </is>
      </c>
    </row>
    <row r="107" ht="195" customHeight="1">
      <c r="A107">
        <f>HYPERLINK("https://github.com/matanki-saito/vic3jpadvmod/issues/88",88)</f>
        <v/>
      </c>
      <c r="B107" s="1" t="inlineStr">
        <is>
          <t>【修正提案】エンクロージャー</t>
        </is>
      </c>
      <c r="C107" s="1">
        <f>HYPERLINK("https://user-images.githubusercontent.com/70930137/198315130-8df2f97b-3017-498f-8aa7-b114ea574452.png","screenshot")
</f>
        <v/>
      </c>
      <c r="D107" s="1" t="inlineStr">
        <is>
          <t xml:space="preserve">エンクロージャー
</t>
        </is>
      </c>
      <c r="E107" s="1" t="inlineStr">
        <is>
          <t xml:space="preserve">Enclosure
</t>
        </is>
      </c>
      <c r="F107" s="1" t="inlineStr">
        <is>
          <t xml:space="preserve">囲い込み
</t>
        </is>
      </c>
      <c r="G107" s="1" t="inlineStr">
        <is>
          <t xml:space="preserve">https://ja.wikipedia.org/wiki/%E5%9B%B2%E3%81%84%E8%BE%BC%E3%81%BF#:~:text=%E5%9B%B2%E3%81%84%E8%BE%BC%E3%81%BF%EF%BC%88%E3%81%8B%E3%81%93%E3%81%84%E3%81%93%E3%81%BF%E3%80%81%E8%8B%B1%E8%AA%9E%3A,%E3%82%8F%E3%82%8C%E3%81%9F%E3%82%82%E3%81%AE%E3%82%92%E6%8C%87%E3%81%99%E3%80%82
</t>
        </is>
      </c>
      <c r="H107" s="1" t="inlineStr">
        <is>
          <t xml:space="preserve">1.0.1
</t>
        </is>
      </c>
      <c r="I107" s="1" t="inlineStr">
        <is>
          <t xml:space="preserve">無し
</t>
        </is>
      </c>
      <c r="J107" s="1" t="inlineStr">
        <is>
          <t xml:space="preserve">なし
</t>
        </is>
      </c>
    </row>
    <row r="108" ht="90" customHeight="1">
      <c r="A108">
        <f>HYPERLINK("https://github.com/matanki-saito/vic3jpadvmod/issues/87",87)</f>
        <v/>
      </c>
      <c r="B108" s="1" t="inlineStr">
        <is>
          <t>【修正提案】戦争宣伝</t>
        </is>
      </c>
      <c r="C108" s="1">
        <f>HYPERLINK("https://user-images.githubusercontent.com/70930137/198313322-9b886dc8-3bf2-49b4-afae-5537194bb4cd.png","screenshot")
</f>
        <v/>
      </c>
      <c r="D108" s="1" t="inlineStr">
        <is>
          <t xml:space="preserve">戦争宣伝
</t>
        </is>
      </c>
      <c r="E108" s="1" t="inlineStr">
        <is>
          <t xml:space="preserve">War Propaganda
</t>
        </is>
      </c>
      <c r="F108" s="1" t="inlineStr">
        <is>
          <t xml:space="preserve">戦争プロパガンダ
</t>
        </is>
      </c>
      <c r="G108" s="1" t="inlineStr">
        <is>
          <t xml:space="preserve">こちらのほうが馴染みのある表現だと思われます
</t>
        </is>
      </c>
      <c r="H108" s="1" t="inlineStr">
        <is>
          <t xml:space="preserve">1.0.1
</t>
        </is>
      </c>
      <c r="I108" s="1" t="inlineStr">
        <is>
          <t xml:space="preserve">無し
</t>
        </is>
      </c>
      <c r="J108" s="1" t="inlineStr">
        <is>
          <t xml:space="preserve">なし
</t>
        </is>
      </c>
    </row>
    <row r="109" ht="90" customHeight="1">
      <c r="A109">
        <f>HYPERLINK("https://github.com/matanki-saito/vic3jpadvmod/issues/86",86)</f>
        <v/>
      </c>
      <c r="B109" s="1" t="inlineStr">
        <is>
          <t>【修正提案】必須兵役</t>
        </is>
      </c>
      <c r="C109" s="1">
        <f>HYPERLINK("https://user-images.githubusercontent.com/70930137/198309576-8e69cf02-d31c-4e03-a9d3-49abc116d7a5.png","screenshot")
</f>
        <v/>
      </c>
      <c r="D109" s="1" t="inlineStr">
        <is>
          <t xml:space="preserve">必須兵役
</t>
        </is>
      </c>
      <c r="E109" s="1" t="inlineStr">
        <is>
          <t xml:space="preserve">省略
</t>
        </is>
      </c>
      <c r="F109" s="1" t="inlineStr">
        <is>
          <t xml:space="preserve">国民皆兵
</t>
        </is>
      </c>
      <c r="G109" s="1" t="inlineStr">
        <is>
          <t xml:space="preserve">説明文を見るに、国民皆兵のことを指していると思われます
</t>
        </is>
      </c>
      <c r="H109" s="1" t="inlineStr">
        <is>
          <t xml:space="preserve">1.0.1
</t>
        </is>
      </c>
      <c r="I109" s="1" t="inlineStr">
        <is>
          <t xml:space="preserve">なし
</t>
        </is>
      </c>
      <c r="J109" s="1" t="inlineStr">
        <is>
          <t xml:space="preserve">なし
</t>
        </is>
      </c>
    </row>
    <row r="110" ht="90" customHeight="1">
      <c r="A110">
        <f>HYPERLINK("https://github.com/matanki-saito/vic3jpadvmod/issues/85",85)</f>
        <v/>
      </c>
      <c r="B110" s="1" t="inlineStr">
        <is>
          <t>【修正提案】教化ミッション</t>
        </is>
      </c>
      <c r="C110" s="1">
        <f>HYPERLINK("https://user-images.githubusercontent.com/70930137/198306961-0f9fa5d5-8676-40bc-aad2-500ef959365e.png","screenshot")
</f>
        <v/>
      </c>
      <c r="D110" s="1" t="inlineStr">
        <is>
          <t xml:space="preserve">教化ミッション
</t>
        </is>
      </c>
      <c r="E110" s="1" t="inlineStr">
        <is>
          <t xml:space="preserve">文明化の使命
</t>
        </is>
      </c>
      <c r="F110" s="1" t="inlineStr">
        <is>
          <t xml:space="preserve">https://en.wikipedia.org/wiki/Civilizing_mission
</t>
        </is>
      </c>
      <c r="G110" s="1" t="inlineStr">
        <is>
          <t xml:space="preserve">1.0.1
</t>
        </is>
      </c>
      <c r="H110" s="1" t="inlineStr">
        <is>
          <t xml:space="preserve">なし
</t>
        </is>
      </c>
      <c r="I110" s="1" t="inlineStr">
        <is>
          <t xml:space="preserve">なし
</t>
        </is>
      </c>
      <c r="J110" s="1" t="n"/>
    </row>
    <row r="111" ht="90" customHeight="1">
      <c r="A111">
        <f>HYPERLINK("https://github.com/matanki-saito/vic3jpadvmod/issues/75",75)</f>
        <v/>
      </c>
      <c r="B111" s="1" t="inlineStr">
        <is>
          <t>【修正提案】稲畑 Rice Farms</t>
        </is>
      </c>
      <c r="C111" s="1">
        <f>HYPERLINK("https://user-images.githubusercontent.com/50406316/198260001-0c939942-a515-4b7c-ac98-321e7154109f.png","screenshot")
</f>
        <v/>
      </c>
      <c r="D111" s="1" t="inlineStr">
        <is>
          <t xml:space="preserve">稲畑
</t>
        </is>
      </c>
      <c r="E111" s="1" t="inlineStr">
        <is>
          <t xml:space="preserve">Rice Farms
</t>
        </is>
      </c>
      <c r="F111" s="1" t="inlineStr">
        <is>
          <t xml:space="preserve">田
</t>
        </is>
      </c>
      <c r="G111" s="1" t="inlineStr">
        <is>
          <t xml:space="preserve">日本語として通常使う呼び名ではなく、誤訳であるため
</t>
        </is>
      </c>
      <c r="H111" s="1" t="inlineStr">
        <is>
          <t xml:space="preserve">1.0.3
</t>
        </is>
      </c>
      <c r="I111" s="1" t="inlineStr">
        <is>
          <t xml:space="preserve">無し
</t>
        </is>
      </c>
      <c r="J111" s="1" t="inlineStr">
        <is>
          <t xml:space="preserve">なし
</t>
        </is>
      </c>
    </row>
    <row r="112" ht="120" customHeight="1">
      <c r="A112">
        <f>HYPERLINK("https://github.com/matanki-saito/vic3jpadvmod/issues/72",72)</f>
        <v/>
      </c>
      <c r="B112" s="1" t="inlineStr">
        <is>
          <t>【修正提案】トリガーの条件文</t>
        </is>
      </c>
      <c r="C112" s="1">
        <f>HYPERLINK("https://user-images.githubusercontent.com/42710893/198226431-d8ddfb60-64b8-472f-9bf2-8f3daf0fa6d7.jpg","screenshot")
</f>
        <v/>
      </c>
      <c r="D112" s="1" t="inlineStr">
        <is>
          <t xml:space="preserve">手元資金は以上25％です
週次利益以上0.00
労働者稼働率は以上75％です
スクショではこれだけですが、他にも同様な箇所が多数あります
</t>
        </is>
      </c>
      <c r="E112" s="1" t="inlineStr">
        <is>
          <t xml:space="preserve">`The [concept_cash_reserves] is $COMPARATOR$ $NUM|%0v$`
`Weekly profit $COMPARATOR$ #variable $NUM$#!`
`The workforce [concept_occupancy] is $COMPARATOR$ #variable $NUM|%0v$#!`
</t>
        </is>
      </c>
      <c r="F112" s="1" t="inlineStr">
        <is>
          <t xml:space="preserve">手元資金は25％以上です
週次利益**は**0.00以上です
労働者稼働率は75％以上です　等
あるいは、トリガー条件文のため、文体は
○○○○**が**△△以上**である**　とした方が良いかもしれません。
</t>
        </is>
      </c>
      <c r="G112" s="1" t="inlineStr">
        <is>
          <t xml:space="preserve">日本語として不自然なため
</t>
        </is>
      </c>
      <c r="H112" s="1" t="inlineStr">
        <is>
          <t xml:space="preserve">1.0.3
</t>
        </is>
      </c>
      <c r="I112" s="1" t="inlineStr">
        <is>
          <t xml:space="preserve">無し
</t>
        </is>
      </c>
      <c r="J112" s="1" t="inlineStr">
        <is>
          <t xml:space="preserve">なし
</t>
        </is>
      </c>
    </row>
    <row r="113" ht="90" customHeight="1">
      <c r="A113">
        <f>HYPERLINK("https://github.com/matanki-saito/vic3jpadvmod/issues/71",71)</f>
        <v/>
      </c>
      <c r="B113" s="1" t="inlineStr">
        <is>
          <t>【修正提案】製法</t>
        </is>
      </c>
      <c r="C113" s="1">
        <f>HYPERLINK("https://user-images.githubusercontent.com/43299334/198203237-83687da9-61ff-4f48-91d1-3f23e83ea7c3.jpg","screenshot")
</f>
        <v/>
      </c>
      <c r="D113" s="1" t="inlineStr">
        <is>
          <t xml:space="preserve">製法
</t>
        </is>
      </c>
      <c r="E113" s="1" t="inlineStr">
        <is>
          <t xml:space="preserve">Production Method
</t>
        </is>
      </c>
      <c r="F113" s="1" t="inlineStr">
        <is>
          <t xml:space="preserve">生産方式、仕様など
</t>
        </is>
      </c>
      <c r="G113" s="1" t="inlineStr">
        <is>
          <t xml:space="preserve">画像のように、製造業以外の施設にも適用されるため。
Production Methodの定訳としては生産方式だが、どちらにしてもユニットの性質などの話になってくると違和感が強いため、別の案としてとりあえず「仕様」を挙げておく。
</t>
        </is>
      </c>
      <c r="H113" s="1" t="inlineStr">
        <is>
          <t xml:space="preserve">1.0.3
</t>
        </is>
      </c>
      <c r="I113" s="1" t="inlineStr">
        <is>
          <t xml:space="preserve">なし
</t>
        </is>
      </c>
      <c r="J113" s="1" t="inlineStr">
        <is>
          <t xml:space="preserve">なし
</t>
        </is>
      </c>
    </row>
    <row r="114" ht="90" customHeight="1">
      <c r="A114">
        <f>HYPERLINK("https://github.com/matanki-saito/vic3jpadvmod/issues/70",70)</f>
        <v/>
      </c>
      <c r="B114" s="1" t="inlineStr">
        <is>
          <t>【修正提案】ロウ（法律）</t>
        </is>
      </c>
      <c r="C114" s="1">
        <f>HYPERLINK("https://user-images.githubusercontent.com/43299334/198201578-e1b3bbfe-cd49-4ebf-bbf9-cebb28544e98.jpg","screenshot")
</f>
        <v/>
      </c>
      <c r="D114" s="1" t="inlineStr">
        <is>
          <t xml:space="preserve">ロウ
</t>
        </is>
      </c>
      <c r="E114" s="1" t="inlineStr">
        <is>
          <t xml:space="preserve">Law
</t>
        </is>
      </c>
      <c r="F114" s="1" t="inlineStr">
        <is>
          <t xml:space="preserve">法律
</t>
        </is>
      </c>
      <c r="G114" s="1" t="inlineStr">
        <is>
          <t xml:space="preserve">なぜか音写されている。ちなみにLawsは法律と訳されている。
</t>
        </is>
      </c>
      <c r="H114" s="1" t="inlineStr">
        <is>
          <t xml:space="preserve">1.0.3
</t>
        </is>
      </c>
      <c r="I114" s="1" t="inlineStr">
        <is>
          <t xml:space="preserve">なし
</t>
        </is>
      </c>
      <c r="J114" s="1" t="inlineStr">
        <is>
          <t xml:space="preserve">なし
</t>
        </is>
      </c>
    </row>
    <row r="115" ht="90" customHeight="1">
      <c r="A115">
        <f>HYPERLINK("https://github.com/matanki-saito/vic3jpadvmod/issues/69",69)</f>
        <v/>
      </c>
      <c r="B115" s="1" t="inlineStr">
        <is>
          <t>【修正提案】海軍の侵略</t>
        </is>
      </c>
      <c r="C115" s="1">
        <f>HYPERLINK("https://user-images.githubusercontent.com/43299334/198200563-a0bb9198-bd63-4cb2-8765-761e1045bcd3.jpg","screenshot")
</f>
        <v/>
      </c>
      <c r="D115" s="1" t="inlineStr">
        <is>
          <t xml:space="preserve">海軍の侵略
</t>
        </is>
      </c>
      <c r="E115" s="1" t="inlineStr">
        <is>
          <t xml:space="preserve">Naval Invasion
</t>
        </is>
      </c>
      <c r="F115" s="1" t="inlineStr">
        <is>
          <t xml:space="preserve">上陸作戦
</t>
        </is>
      </c>
      <c r="G115" s="1" t="inlineStr">
        <is>
          <t xml:space="preserve">実際のゲームメカニズムと異なっているため
</t>
        </is>
      </c>
      <c r="H115" s="1" t="inlineStr">
        <is>
          <t xml:space="preserve">1.0.3
</t>
        </is>
      </c>
      <c r="I115" s="1" t="inlineStr">
        <is>
          <t xml:space="preserve">なし
</t>
        </is>
      </c>
      <c r="J115" s="1" t="inlineStr">
        <is>
          <t xml:space="preserve">なし
</t>
        </is>
      </c>
    </row>
    <row r="116" ht="105" customHeight="1">
      <c r="A116">
        <f>HYPERLINK("https://github.com/matanki-saito/vic3jpadvmod/issues/68",68)</f>
        <v/>
      </c>
      <c r="B116" s="1" t="inlineStr">
        <is>
          <t>【修正提案】補給艦</t>
        </is>
      </c>
      <c r="C116" s="1">
        <f>HYPERLINK("https://user-images.githubusercontent.com/43299334/198199487-15bb22fb-c514-43df-bfd1-1dcfa9a7cec4.jpg","screenshot")
</f>
        <v/>
      </c>
      <c r="D116" s="1" t="inlineStr">
        <is>
          <t xml:space="preserve">補給艦
</t>
        </is>
      </c>
      <c r="E116" s="1" t="inlineStr">
        <is>
          <t xml:space="preserve">Flotilla
</t>
        </is>
      </c>
      <c r="F116" s="1" t="inlineStr">
        <is>
          <t xml:space="preserve">小艦隊
</t>
        </is>
      </c>
      <c r="G116" s="1" t="inlineStr">
        <is>
          <t xml:space="preserve">誤訳。特に補給艦という意味はないので意訳を試みたものと思われる。
ゲーム的には海軍基地（恐らく）１単位と紐付けられた海軍の最小戦力単位。
艦名もついているようなので１軍艦の可能性もあるが、production methodの内容などから旗艦１隻に駆逐艦等の補助艦が随伴しているものと解釈して上記の訳としている。
</t>
        </is>
      </c>
      <c r="H116" s="1" t="inlineStr">
        <is>
          <t xml:space="preserve">1.0.3
</t>
        </is>
      </c>
      <c r="I116" s="1" t="inlineStr">
        <is>
          <t xml:space="preserve">なし
</t>
        </is>
      </c>
      <c r="J116" s="1" t="inlineStr">
        <is>
          <t xml:space="preserve">なし
</t>
        </is>
      </c>
    </row>
    <row r="117" ht="1485" customHeight="1">
      <c r="A117">
        <f>HYPERLINK("https://github.com/matanki-saito/vic3jpadvmod/issues/60",60)</f>
        <v/>
      </c>
      <c r="B117" s="1" t="inlineStr">
        <is>
          <t>【修正提案】TRIGGER_SHARES</t>
        </is>
      </c>
      <c r="C117" s="1">
        <f>HYPERLINK("https://user-images.githubusercontent.com/50406316/198168974-9f3f6a6d-40d0-4ccd-bc08-7eea76e34b08.png","screenshot")
</f>
        <v/>
      </c>
      <c r="D117" s="1" t="inlineStr">
        <is>
          <t xml:space="preserve">triggers_l_japanese.yml内の下記テキスト
 TRIGGER_SHARES_TRAIT_WITH_ANY_PRIMARY_CULTURE:0 "[CULTURE.GetName]は[TARGET_COUNTRY.GetName]のあらゆる主要文化に共通する特性を持っています"
 TRIGGER_SHARES_TRAIT_WITH_ANY_PRIMARY_CULTURE_NOT:1 "[CULTURE.GetName]は[TARGET_COUNTRY.GetName]のいかなる主要文化とも特性を共有して#bold いません#!"
 TRIGGER_SHARES_HERITAGE_TRAIT_WITH_ANY_PRIMARY_CULTURE:0 "[CULTURE.GetName]は[TARGET_COUNTRY.GetName]のあらゆる主要文化に共通する遺伝形質を持っています"
 TRIGGER_SHARES_HERITAGE_TRAIT_WITH_ANY_PRIMARY_CULTURE_NOT:1 "[CULTURE.GetName]は[TARGET_COUNTRY.GetName]のいかなる主要文化とも遺伝形質を共有して#bold いません#!"
 TRIGGER_SHARES_NON_HERITAGE_TRAIT_WITH_ANY_PRIMARY_CULTURE:0 "[CULTURE.GetName]は[TARGET_COUNTRY.GetName]のあらゆる主要文化に共通する非遺伝形質を持っています"
 TRIGGER_SHARES_NON_HERITAGE_TRAIT_WITH_ANY_PRIMARY_CULTURE_NOT:1 "[CULTURE.GetName]は[TARGET_COUNTRY.GetName]のいかなる主要文化とも非遺伝形質を共有して#bold いません#!"
 TRIGGER_SHARES_HERITAGE_AND_OTHER_TRAIT_WITH_ANY_PRIMARY_CULTURE:0 "[CULTURE.GetName]は、[TARGET_COUNTRY.GetName]における各主要文化と相続的および非相続的な特性を共有しています"
 TRIGGER_SHARES_HERITAGE_AND_OTHER_TRAIT_WITH_ANY_PRIMARY_CULTURE_NOT:1 "[CULTURE.GetName]は[TARGET_COUNTRY.GetName]のいかなる主要文化とも相続的および非相続的な特性を共有して#bold いません#!"
 TRIGGER_SHARES_TRAIT_WITH_STATE_RELIGION:0 "[RELIGION.GetName]は[TARGET_COUNTRY.GetName]の[concept_state_religion]と特性を共有しています"
 TRIGGER_SHARES_TRAIT_WITH_STATE_RELIGION_NOT:1 "[RELIGION.GetName]は[TARGET_COUNTRY.GetName]の[concept_state_religion]と特性を共有して#bold いません#!"
 TRIGGER_SHARES_HERITAGE_TRAIT_WITH_STATE_RELIGION:0 "[RELIGION.GetName]は[TARGET_COUNTRY.GetName]の[concept_state_religion]と特性を共有しています"
 TRIGGER_SHARES_HERITAGE_TRAIT_WITH_STATE_RELIGION_NOT:1 "[RELIGION.GetName]は[TARGET_COUNTRY.GetName]の[concept_state_religion]と特性を共有して#bold いません#!"
</t>
        </is>
      </c>
      <c r="E117" s="1" t="inlineStr">
        <is>
          <t xml:space="preserve"> TRIGGER_SHARES_TRAIT_WITH_ANY_PRIMARY_CULTURE:0 "[CULTURE.GetName] shares a trait with any primary culture in [TARGET_COUNTRY.GetName]"
 TRIGGER_SHARES_TRAIT_WITH_ANY_PRIMARY_CULTURE_NOT:1 "[CULTURE.GetName] does #bold not #!share a trait with any primary culture in [TARGET_COUNTRY.GetName]"
 TRIGGER_SHARES_HERITAGE_TRAIT_WITH_ANY_PRIMARY_CULTURE:0 "[CULTURE.GetName] shares a heritage trait with any primary culture in [TARGET_COUNTRY.GetName]"
 TRIGGER_SHARES_HERITAGE_TRAIT_WITH_ANY_PRIMARY_CULTURE_NOT:1 "[CULTURE.GetName] does #bold not #!share a heritage trait with any primary culture in [TARGET_COUNTRY.GetName]"
 TRIGGER_SHARES_NON_HERITAGE_TRAIT_WITH_ANY_PRIMARY_CULTURE:0 "[CULTURE.GetName] shares a non-heritage trait with any primary culture in [TARGET_COUNTRY.GetName]"
 TRIGGER_SHARES_NON_HERITAGE_TRAIT_WITH_ANY_PRIMARY_CULTURE_NOT:1 "[CULTURE.GetName] does #bold not #!share a non-heritage trait with any primary culture in [TARGET_COUNTRY.GetName]"
 TRIGGER_SHARES_HERITAGE_AND_OTHER_TRAIT_WITH_ANY_PRIMARY_CULTURE:0 "[CULTURE.GetName] shares a heritage and a non-heritage trait with any primary culture in [TARGET_COUNTRY.GetName]"
 TRIGGER_SHARES_HERITAGE_AND_OTHER_TRAIT_WITH_ANY_PRIMARY_CULTURE_NOT:1 "[CULTURE.GetName] does #bold not #!share a heritage and a non-heritage trait with any primary culture in [TARGET_COUNTRY.GetName]"
 TRIGGER_SHARES_TRAIT_WITH_STATE_RELIGION:0 "[RELIGION.GetName] shares a trait with the [concept_state_religion] in [TARGET_COUNTRY.GetName]"
 TRIGGER_SHARES_TRAIT_WITH_STATE_RELIGION_NOT:1 "[RELIGION.GetName] does #bold not #!share a trait with the [concept_state_religion] in [TARGET_COUNTRY.GetName]"
 TRIGGER_SHARES_HERITAGE_TRAIT_WITH_STATE_RELIGION:0 "[RELIGION.GetName] shares a trait with the [concept_state_religion] in [TARGET_COUNTRY.GetName]"
 TRIGGER_SHARES_HERITAGE_TRAIT_WITH_STATE_RELIGION_NOT:1 "[RELIGION.GetName] does #bold not #!share a trait with the [concept_state_religion] in [TARGET_COUNTRY.GetName]"
</t>
        </is>
      </c>
      <c r="F117" s="1" t="inlineStr">
        <is>
          <t xml:space="preserve">以下の太字部分
 TRIGGER_SHARES_TRAIT_WITH_ANY_PRIMARY_CULTURE:0 "[CULTURE.GetName]は[TARGET_COUNTRY.GetName]の**いずれかの主要文化と共通する特性を持っています**"
 TRIGGER_SHARES_TRAIT_WITH_ANY_PRIMARY_CULTURE_NOT:1 "[CULTURE.GetName]は[TARGET_COUNTRY.GetName]のいかなる主要文化とも特性を共有して#bold いません#!"
 TRIGGER_SHARES_HERITAGE_TRAIT_WITH_ANY_PRIMARY_CULTURE:0 "[CULTURE.GetName]は[TARGET_COUNTRY.GetName]の**いずれかの主要文化と共通する伝統文化特性を持っています**"
 TRIGGER_SHARES_HERITAGE_TRAIT_WITH_ANY_PRIMARY_CULTURE_NOT:1 "[CULTURE.GetName]は[TARGET_COUNTRY.GetName]のいかなる主要文化とも**伝統文化特性**を共有して#bold いません#!"
 TRIGGER_SHARES_NON_HERITAGE_TRAIT_WITH_ANY_PRIMARY_CULTURE:0 "[CULTURE.GetName]は[TARGET_COUNTRY.GetName]の**いずれかの主要文化と共通する伝統文化特性でない文化特性を持っています**"
 TRIGGER_SHARES_NON_HERITAGE_TRAIT_WITH_ANY_PRIMARY_CULTURE_NOT:1 "[CULTURE.GetName]は[TARGET_COUNTRY.GetName]のいかなる主要文化とも**伝統文化特性でない文化特性**を共有して#bold いません#!"
 TRIGGER_SHARES_HERITAGE_AND_OTHER_TRAIT_WITH_ANY_PRIMARY_CULTURE:0 "[CULTURE.GetName]は、[TARGET_COUNTRY.GetName]における**いずれかの主要文化伝統文化特性および伝統文化特性でない文化特性を共有しています**"
 TRIGGER_SHARES_HERITAGE_AND_OTHER_TRAIT_WITH_ANY_PRIMARY_CULTURE_NOT:1 "[CULTURE.GetName]は[TARGET_COUNTRY.GetName]のいかなる主要文化とも**主要文化伝統文化特性および伝統文化特性でない文化特性**を共有して#bold いません#!"
 TRIGGER_SHARES_TRAIT_WITH_STATE_RELIGION:0 "[RELIGION.GetName]は[TARGET_COUNTRY.GetName]の[concept_state_religion]と特性を共有しています"
 TRIGGER_SHARES_TRAIT_WITH_STATE_RELIGION_NOT:1 "[RELIGION.GetName]は[TARGET_COUNTRY.GetName]の[concept_state_religion]と特性を共有して#bold いません#!"
 TRIGGER_SHARES_HERITAGE_TRAIT_WITH_STATE_RELIGION:0 "[RELIGION.GetName]は[TARGET_COUNTRY.GetName]の[concept_state_religion]と特性を共有しています"
 TRIGGER_SHARES_HERITAGE_TRAIT_WITH_STATE_RELIGION_NOT:1 "[RELIGION.GetName]は[TARGET_COUNTRY.GetName]の[concept_state_religion]と特性を共有して#bold いません#!"
</t>
        </is>
      </c>
      <c r="G117" s="1" t="inlineStr">
        <is>
          <t xml:space="preserve">heritage/non-heritage traitの表記ゆれ統一およびanyの誤訳修正
</t>
        </is>
      </c>
      <c r="H117" s="1" t="inlineStr">
        <is>
          <t xml:space="preserve">1.0.3
</t>
        </is>
      </c>
      <c r="I117" s="1" t="inlineStr">
        <is>
          <t xml:space="preserve">無し
</t>
        </is>
      </c>
      <c r="J117" s="1" t="inlineStr">
        <is>
          <t xml:space="preserve">なし
</t>
        </is>
      </c>
    </row>
    <row r="118" ht="90" customHeight="1">
      <c r="A118">
        <f>HYPERLINK("https://github.com/matanki-saito/vic3jpadvmod/issues/58",58)</f>
        <v/>
      </c>
      <c r="B118" s="1" t="inlineStr">
        <is>
          <t>【修正提案】Power Structure</t>
        </is>
      </c>
      <c r="C118" s="1">
        <f>HYPERLINK("https://user-images.githubusercontent.com/50406316/198167954-315748ac-cd9c-49e9-86c3-5349223c2a43.png","screenshot")
</f>
        <v/>
      </c>
      <c r="D118" s="1" t="inlineStr">
        <is>
          <t xml:space="preserve">電力建造物
</t>
        </is>
      </c>
      <c r="E118" s="1" t="inlineStr">
        <is>
          <t xml:space="preserve">Power Structure
</t>
        </is>
      </c>
      <c r="F118" s="1" t="inlineStr">
        <is>
          <t xml:space="preserve">権力構造
</t>
        </is>
      </c>
      <c r="G118" s="1" t="inlineStr">
        <is>
          <t xml:space="preserve">誤訳のため
</t>
        </is>
      </c>
      <c r="H118" s="1" t="inlineStr">
        <is>
          <t xml:space="preserve">1.0.3
</t>
        </is>
      </c>
      <c r="I118" s="1" t="inlineStr">
        <is>
          <t xml:space="preserve">無し
</t>
        </is>
      </c>
      <c r="J118" s="1" t="inlineStr">
        <is>
          <t xml:space="preserve">なし
</t>
        </is>
      </c>
    </row>
    <row r="119" ht="90" customHeight="1">
      <c r="A119">
        <f>HYPERLINK("https://github.com/matanki-saito/vic3jpadvmod/issues/54",54)</f>
        <v/>
      </c>
      <c r="B119" s="1" t="inlineStr">
        <is>
          <t>【修正提案】イニシエータと対象</t>
        </is>
      </c>
      <c r="C119" s="1">
        <f>HYPERLINK("https://user-images.githubusercontent.com/43299334/198146264-ffc5b736-99b5-47e6-9645-a67bf68c933c.jpg","screenshot")
</f>
        <v/>
      </c>
      <c r="D119" s="1" t="inlineStr">
        <is>
          <t xml:space="preserve">イニシエータ、対象
</t>
        </is>
      </c>
      <c r="E119" s="1" t="inlineStr">
        <is>
          <t xml:space="preserve">Initiator,Target
</t>
        </is>
      </c>
      <c r="F119" s="1" t="inlineStr">
        <is>
          <t xml:space="preserve">提唱国、対象国
</t>
        </is>
      </c>
      <c r="G119" s="1" t="inlineStr">
        <is>
          <t xml:space="preserve">イニシエータの表記以降、「あなた」の部分などが見切れている。
UIを調整してもよいが、InitiatorとTargetはセットの概念になっており、統一感のあるものとした方が良さそう。
ここでは直訳気味に提唱国、対象国とした。
</t>
        </is>
      </c>
      <c r="H119" s="1" t="inlineStr">
        <is>
          <t xml:space="preserve">1.0.3
</t>
        </is>
      </c>
      <c r="I119" s="1" t="inlineStr">
        <is>
          <t xml:space="preserve">無し
</t>
        </is>
      </c>
      <c r="J119" s="1" t="inlineStr">
        <is>
          <t xml:space="preserve">なし
</t>
        </is>
      </c>
    </row>
    <row r="120" ht="90" customHeight="1">
      <c r="A120">
        <f>HYPERLINK("https://github.com/matanki-saito/vic3jpadvmod/issues/53",53)</f>
        <v/>
      </c>
      <c r="B120" s="1" t="inlineStr">
        <is>
          <t>【修正提案】ウォー</t>
        </is>
      </c>
      <c r="C120" s="1">
        <f>HYPERLINK("https://user-images.githubusercontent.com/43299334/198145714-2b9f57ce-b5d6-42ba-a773-8a909ce21d40.jpg","screenshot")
</f>
        <v/>
      </c>
      <c r="D120" s="1" t="inlineStr">
        <is>
          <t xml:space="preserve">ウォー
</t>
        </is>
      </c>
      <c r="E120" s="1" t="inlineStr">
        <is>
          <t xml:space="preserve">War
</t>
        </is>
      </c>
      <c r="F120" s="1" t="inlineStr">
        <is>
          <t xml:space="preserve">戦争
</t>
        </is>
      </c>
      <c r="G120" s="1" t="inlineStr">
        <is>
          <t xml:space="preserve">なぜか音写されており意味が分かりにくいため。
特に一般的な戦争と異なる概念ではない。
</t>
        </is>
      </c>
      <c r="H120" s="1" t="inlineStr">
        <is>
          <t xml:space="preserve">1.0.3
</t>
        </is>
      </c>
      <c r="I120" s="1" t="inlineStr">
        <is>
          <t xml:space="preserve">無し
</t>
        </is>
      </c>
      <c r="J120" s="1" t="inlineStr">
        <is>
          <t xml:space="preserve">なし
</t>
        </is>
      </c>
    </row>
    <row r="121" ht="90" customHeight="1">
      <c r="A121">
        <f>HYPERLINK("https://github.com/matanki-saito/vic3jpadvmod/issues/52",52)</f>
        <v/>
      </c>
      <c r="B121" s="1" t="inlineStr">
        <is>
          <t>【修正提案】外交プレイ</t>
        </is>
      </c>
      <c r="C121" s="1">
        <f>HYPERLINK("https://user-images.githubusercontent.com/43299334/198144579-8ff5b7d1-d1d8-4f08-b4ca-b953eb5bd865.jpg","screenshot")
</f>
        <v/>
      </c>
      <c r="D121" s="1" t="inlineStr">
        <is>
          <t xml:space="preserve">外交プレイ
</t>
        </is>
      </c>
      <c r="E121" s="1" t="inlineStr">
        <is>
          <t xml:space="preserve">Diplomatic play
</t>
        </is>
      </c>
      <c r="F121" s="1" t="inlineStr">
        <is>
          <t xml:space="preserve">外交戦
</t>
        </is>
      </c>
      <c r="G121" s="1" t="inlineStr">
        <is>
          <t xml:space="preserve">直訳になっているが、直感的に意味がわからず、あまりよい訳語にはなっていない。
グラフィックや、常に敵対する主要対戦相手が一国あることなどからチェスの対戦をイメージしているのは明らかであり、
これに対応した訳語としては外交戦が相応しいであろう。
</t>
        </is>
      </c>
      <c r="H121" s="1" t="inlineStr">
        <is>
          <t xml:space="preserve">1.0.3
</t>
        </is>
      </c>
      <c r="I121" s="1" t="inlineStr">
        <is>
          <t xml:space="preserve">無し
</t>
        </is>
      </c>
      <c r="J121" s="1" t="inlineStr">
        <is>
          <t xml:space="preserve">なし
</t>
        </is>
      </c>
    </row>
    <row r="122" ht="90" customHeight="1">
      <c r="A122">
        <f>HYPERLINK("https://github.com/matanki-saito/vic3jpadvmod/issues/50",50)</f>
        <v/>
      </c>
      <c r="B122" s="1" t="inlineStr">
        <is>
          <t>【修正提案】Motor Industries</t>
        </is>
      </c>
      <c r="C122" s="1">
        <f>HYPERLINK("https://user-images.githubusercontent.com/50406316/198104870-84c7fc49-17ec-4fd9-ba41-f746bf6432eb.png","screenshot")
</f>
        <v/>
      </c>
      <c r="D122" s="1" t="inlineStr">
        <is>
          <t xml:space="preserve">自動車産業
</t>
        </is>
      </c>
      <c r="E122" s="1" t="inlineStr">
        <is>
          <t xml:space="preserve">Motor Industries
</t>
        </is>
      </c>
      <c r="F122" s="1" t="inlineStr">
        <is>
          <t xml:space="preserve">発動機産業
</t>
        </is>
      </c>
      <c r="G122" s="1" t="inlineStr">
        <is>
          <t xml:space="preserve">誤訳。生産物はEngines（発動機）であり、画像で作っているのも機関車であるため。
</t>
        </is>
      </c>
      <c r="H122" s="1" t="inlineStr">
        <is>
          <t xml:space="preserve">1.0.3
</t>
        </is>
      </c>
      <c r="I122" s="1" t="inlineStr">
        <is>
          <t xml:space="preserve">無し
</t>
        </is>
      </c>
      <c r="J122" s="1" t="inlineStr">
        <is>
          <t xml:space="preserve">なし
</t>
        </is>
      </c>
    </row>
    <row r="123" ht="90" customHeight="1">
      <c r="A123">
        <f>HYPERLINK("https://github.com/matanki-saito/vic3jpadvmod/issues/49",49)</f>
        <v/>
      </c>
      <c r="B123" s="1" t="inlineStr">
        <is>
          <t>【修正提案】Debt Slavery</t>
        </is>
      </c>
      <c r="C123" s="1">
        <f>HYPERLINK("https://user-images.githubusercontent.com/50406316/198101293-58ea8c09-57bf-49a5-98d9-e596fed3d3c9.png","screenshot")
</f>
        <v/>
      </c>
      <c r="D123" s="1" t="inlineStr">
        <is>
          <t xml:space="preserve">役身折酬
</t>
        </is>
      </c>
      <c r="E123" s="1" t="inlineStr">
        <is>
          <t xml:space="preserve">Debt Slavery
</t>
        </is>
      </c>
      <c r="F123" s="1" t="inlineStr">
        <is>
          <t xml:space="preserve">債務奴隷
</t>
        </is>
      </c>
      <c r="G123" s="1" t="inlineStr">
        <is>
          <t xml:space="preserve">役身折酬は古代史用語で一般に使用する用語ではないため、より一般的な名称の債務奴隷としたい。
</t>
        </is>
      </c>
      <c r="H123" s="1" t="inlineStr">
        <is>
          <t xml:space="preserve">1.0.3
</t>
        </is>
      </c>
      <c r="I123" s="1" t="inlineStr">
        <is>
          <t xml:space="preserve">無し
</t>
        </is>
      </c>
      <c r="J123" s="1" t="inlineStr">
        <is>
          <t xml:space="preserve">なし
</t>
        </is>
      </c>
    </row>
    <row r="124" ht="90" customHeight="1">
      <c r="A124">
        <f>HYPERLINK("https://github.com/matanki-saito/vic3jpadvmod/issues/48",48)</f>
        <v/>
      </c>
      <c r="B124" s="1" t="inlineStr">
        <is>
          <t>【修正提案】Peasant Levies</t>
        </is>
      </c>
      <c r="C124" s="1">
        <f>HYPERLINK("https://user-images.githubusercontent.com/50406316/198100700-1a529cf1-f602-4895-9907-6da4b510b46e.png","screenshot")
</f>
        <v/>
      </c>
      <c r="D124" s="1" t="inlineStr">
        <is>
          <t xml:space="preserve">農民徴兵
軍隊の主力は、基礎訓練を受けていない徴兵制の歩兵です。
</t>
        </is>
      </c>
      <c r="E124" s="1" t="inlineStr">
        <is>
          <t xml:space="preserve">Peasant Levies
The army's main force comes from conscripted infantry with zero to basic training.
</t>
        </is>
      </c>
      <c r="F124" s="1" t="inlineStr">
        <is>
          <t xml:space="preserve">農民召集兵
軍隊の主力は、全く基礎訓練を受けていない召集兵です。
</t>
        </is>
      </c>
      <c r="G124" s="1" t="inlineStr">
        <is>
          <t xml:space="preserve">こちらはLevyで、下にある大規模徴兵（Mass Conscription）と訳し分けたい。
意味合い的にも、制度化された徴兵ではなく、臨時で召集される農民を指していると思われるため。
</t>
        </is>
      </c>
      <c r="H124" s="1" t="inlineStr">
        <is>
          <t xml:space="preserve">1.0.3
</t>
        </is>
      </c>
      <c r="I124" s="1" t="inlineStr">
        <is>
          <t xml:space="preserve">無し
</t>
        </is>
      </c>
      <c r="J124" s="1" t="inlineStr">
        <is>
          <t xml:space="preserve">なし
</t>
        </is>
      </c>
    </row>
    <row r="125" ht="90" customHeight="1">
      <c r="A125">
        <f>HYPERLINK("https://github.com/matanki-saito/vic3jpadvmod/issues/37",37)</f>
        <v/>
      </c>
      <c r="B125" t="inlineStr">
        <is>
          <t>修正提案：ギャリゾン</t>
        </is>
      </c>
      <c r="C125">
        <f>HYPERLINK("https://user-images.githubusercontent.com/46787431/198010029-820bf201-8fc0-4b50-b127-61a47093a712.png","screenshot")
</f>
        <v/>
      </c>
      <c r="D125" t="inlineStr">
        <is>
          <t xml:space="preserve">ギャリゾン
</t>
        </is>
      </c>
      <c r="E125" t="inlineStr">
        <is>
          <t xml:space="preserve">省略
</t>
        </is>
      </c>
      <c r="F125" t="inlineStr">
        <is>
          <t xml:space="preserve">未割当or駐屯中
</t>
        </is>
      </c>
      <c r="G125" t="inlineStr">
        <is>
          <t xml:space="preserve">日本語になっていた方が分かりやすい
</t>
        </is>
      </c>
      <c r="H125" t="inlineStr">
        <is>
          <t xml:space="preserve">1.0.1
</t>
        </is>
      </c>
      <c r="I125" t="inlineStr">
        <is>
          <t xml:space="preserve">無し
</t>
        </is>
      </c>
      <c r="J125" t="inlineStr">
        <is>
          <t xml:space="preserve">なし
</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58"/>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 width="40" customWidth="1" min="11" max="11"/>
    <col width="40" customWidth="1" min="12" max="12"/>
    <col width="40" customWidth="1" min="13" max="13"/>
  </cols>
  <sheetData>
    <row r="1">
      <c r="A1" t="inlineStr">
        <is>
          <t>number</t>
        </is>
      </c>
      <c r="B1" t="inlineStr">
        <is>
          <t>title</t>
        </is>
      </c>
      <c r="C1" t="inlineStr">
        <is>
          <t xml:space="preserve"> スクリーンショット</t>
        </is>
      </c>
      <c r="D1" t="inlineStr">
        <is>
          <t xml:space="preserve"> 問題のツールチップ</t>
        </is>
      </c>
      <c r="E1" t="inlineStr">
        <is>
          <t xml:space="preserve"> 問題の表現</t>
        </is>
      </c>
      <c r="F1" t="inlineStr">
        <is>
          <t xml:space="preserve"> 問題箇所の英文</t>
        </is>
      </c>
      <c r="G1" t="inlineStr">
        <is>
          <t xml:space="preserve"> 希望する変更</t>
        </is>
      </c>
      <c r="H1" t="inlineStr">
        <is>
          <t xml:space="preserve"> 変更の理由</t>
        </is>
      </c>
      <c r="I1" t="inlineStr">
        <is>
          <t xml:space="preserve"> ゲームバージョン</t>
        </is>
      </c>
      <c r="J1" t="inlineStr">
        <is>
          <t xml:space="preserve"> DLC有無</t>
        </is>
      </c>
      <c r="K1" t="inlineStr">
        <is>
          <t xml:space="preserve"> MOD有無</t>
        </is>
      </c>
    </row>
    <row r="2" ht="90" customHeight="1">
      <c r="A2">
        <f>HYPERLINK("https://github.com/matanki-saito/vic3jpadvmod/issues/395",395)</f>
        <v/>
      </c>
      <c r="B2" s="1" t="inlineStr">
        <is>
          <t>利子のツールチップのタイトル</t>
        </is>
      </c>
      <c r="C2" s="1">
        <f>HYPERLINK("https://user-images.githubusercontent.com/117251782/200493689-6907496d-a661-4b0c-a4d0-548708345217.png","screenshot")
</f>
        <v/>
      </c>
      <c r="D2" s="1" t="inlineStr">
        <is>
          <t xml:space="preserve">予算ウィンドウの利子のポップアップ
</t>
        </is>
      </c>
      <c r="E2" s="1" t="inlineStr">
        <is>
          <t xml:space="preserve">
利益
</t>
        </is>
      </c>
      <c r="F2" s="1" t="inlineStr">
        <is>
          <t xml:space="preserve">
Interest
</t>
        </is>
      </c>
      <c r="G2" s="1" t="inlineStr">
        <is>
          <t xml:space="preserve">
利子
</t>
        </is>
      </c>
      <c r="H2" s="1" t="inlineStr">
        <is>
          <t xml:space="preserve">修正漏れ
</t>
        </is>
      </c>
      <c r="I2" s="1" t="inlineStr">
        <is>
          <t xml:space="preserve">1.0.5
</t>
        </is>
      </c>
      <c r="J2" s="1" t="inlineStr">
        <is>
          <t xml:space="preserve">なし
</t>
        </is>
      </c>
      <c r="K2" s="1" t="inlineStr">
        <is>
          <t xml:space="preserve">本プロジェクトMODのみ
</t>
        </is>
      </c>
      <c r="L2" s="1" t="n"/>
      <c r="M2" s="1" t="n"/>
    </row>
    <row r="3" ht="90" customHeight="1">
      <c r="A3">
        <f>HYPERLINK("https://github.com/matanki-saito/vic3jpadvmod/issues/361",361)</f>
        <v/>
      </c>
      <c r="B3" s="1" t="inlineStr">
        <is>
          <t>条件文の「資格あり」→「条件を満たす」</t>
        </is>
      </c>
      <c r="C3" s="1">
        <f>HYPERLINK("https://user-images.githubusercontent.com/37979626/200134327-8bc76450-676a-4a3d-b60f-4d682cbe6fac.png","screenshot")
</f>
        <v/>
      </c>
      <c r="D3" s="1" t="inlineStr">
        <is>
          <t xml:space="preserve">条件文の一部
</t>
        </is>
      </c>
      <c r="E3" s="1" t="inlineStr">
        <is>
          <t xml:space="preserve">ANY_TRIGGER_FILTER_TEXT
#tooltippable #tooltip:[GetRawTextTooltipTag('$FILTER$')] 資格あり#!#!
他、このエントリが変数として入る123エントリも同時に修正する
</t>
        </is>
      </c>
      <c r="F3" s="1" t="inlineStr">
        <is>
          <t xml:space="preserve">
#tooltippable #tooltip:[GetRawTextTooltipTag('$FILTER$')] eligible#!#! 
</t>
        </is>
      </c>
      <c r="G3" s="1" t="inlineStr">
        <is>
          <t xml:space="preserve">
#tooltippable #tooltip:[GetRawTextTooltipTag('$FILTER$')] 条件#!#!を満たす
</t>
        </is>
      </c>
      <c r="H3" s="1" t="inlineStr">
        <is>
          <t xml:space="preserve">誤訳
</t>
        </is>
      </c>
      <c r="I3" s="1" t="inlineStr">
        <is>
          <t xml:space="preserve">1.0.4
</t>
        </is>
      </c>
      <c r="J3" s="1" t="inlineStr">
        <is>
          <t xml:space="preserve">なし
</t>
        </is>
      </c>
      <c r="K3" s="1" t="inlineStr">
        <is>
          <t xml:space="preserve">なし
</t>
        </is>
      </c>
      <c r="L3" s="1" t="n"/>
      <c r="M3" s="1" t="n"/>
    </row>
    <row r="4" ht="105" customHeight="1">
      <c r="A4">
        <f>HYPERLINK("https://github.com/matanki-saito/vic3jpadvmod/issues/354",354)</f>
        <v/>
      </c>
      <c r="B4" s="1" t="inlineStr">
        <is>
          <t>【修正提案】戦争ウィンドウの受諾スコアの内訳「イギリスのイギリス」</t>
        </is>
      </c>
      <c r="C4" s="1">
        <f>HYPERLINK("https://user-images.githubusercontent.com/29177147/200115170-c2490686-444f-42ab-b012-4ca6557ef025.png","screenshot")
</f>
        <v/>
      </c>
      <c r="D4" s="1" t="inlineStr">
        <is>
          <t xml:space="preserve">戦争ウィンドウの受諾スコアをマウスオーバー
</t>
        </is>
      </c>
      <c r="E4" s="1" t="inlineStr">
        <is>
          <t xml:space="preserve">diplomatic_plays_l_japanese.yml
（国名）の（国名）
 DIPLO_PLAY_CONFIDENCE_OR_NEUTRALITY_FACTOR_TURMOIL:0 "[Country.GetName]の[Country.GetName]: #bold $VALUE|+=$#!"
</t>
        </is>
      </c>
      <c r="F4" s="1" t="inlineStr">
        <is>
          <t xml:space="preserve">diplomatic_plays_l_english.yml
 DIPLO_PLAY_CONFIDENCE_OR_NEUTRALITY_FACTOR_TURMOIL:0 "[concept_turmoil] in [Country.GetName]: #bold $VALUE|+=$#!"
</t>
        </is>
      </c>
      <c r="G4" s="1" t="inlineStr">
        <is>
          <t xml:space="preserve">
（国名）の社会不安
等
 DIPLO_PLAY_CONFIDENCE_OR_NEUTRALITY_FACTOR_TURMOIL:0 "[Country.GetName]の[concept_turmoil]: #bold $VALUE|+=$#!"
</t>
        </is>
      </c>
      <c r="H4" s="1" t="inlineStr">
        <is>
          <t xml:space="preserve">Typo
</t>
        </is>
      </c>
      <c r="I4" s="1" t="inlineStr">
        <is>
          <t xml:space="preserve">1.0.5
</t>
        </is>
      </c>
      <c r="J4" s="1" t="inlineStr">
        <is>
          <t xml:space="preserve">なし
</t>
        </is>
      </c>
      <c r="K4" s="1" t="inlineStr">
        <is>
          <t xml:space="preserve">日本語改善MOD
Switch Languages
</t>
        </is>
      </c>
      <c r="L4" s="1" t="n"/>
      <c r="M4" s="1" t="n"/>
    </row>
    <row r="5" ht="165" customHeight="1">
      <c r="A5">
        <f>HYPERLINK("https://github.com/matanki-saito/vic3jpadvmod/issues/353",353)</f>
        <v/>
      </c>
      <c r="B5" s="1" t="inlineStr">
        <is>
          <t>$POTENTIAL|v$[BUILDING_TYPE.GetName]をサポートすることができます</t>
        </is>
      </c>
      <c r="C5" s="1">
        <f>HYPERLINK("https://user-images.githubusercontent.com/37979626/200114513-534c51fc-4d67-4a49-8f2e-19ffcd731331.png","screenshot")
</f>
        <v/>
      </c>
      <c r="D5" s="1" t="inlineStr">
        <is>
          <t xml:space="preserve">市場ウィンドウ&gt;品物画面&gt;マップ上でマウスオーバー
</t>
        </is>
      </c>
      <c r="E5" s="1" t="inlineStr">
        <is>
          <t xml:space="preserve">STATE_GOODS_POTENTIAL_SUMMARY
 $POTENTIAL|v$[BUILDING_TYPE.GetName]をサポートすることができます（現在の量： $CUR|v$）：このタイプの各施設は、現在の技術と法律による基本処理量で最大 $AMOUNT|0v$[GOODS.GetTextIcon][GOODS.GetName]を生産することができます。
</t>
        </is>
      </c>
      <c r="F5" s="1" t="inlineStr">
        <is>
          <t xml:space="preserve">Can support $POTENTIAL|v$ [BUILDING_TYPE.GetName] (Current Amount: $CUR|v$): Each building of this type can produce at most $AMOUNT|0v$ [GOODS.GetTextIcon][GOODS.GetName] at base throughput with our current technologies and laws.
</t>
        </is>
      </c>
      <c r="G5" s="1" t="inlineStr">
        <is>
          <t xml:space="preserve">[BUILDING_TYPE.GetName]を$POTENTIAL|v$レベル（現在：$CUR|v$）にすることができます：このタイプの施設は、現在の技術と法律による基本処理量で[GOODS.GetTextIcon][GOODS.GetName]を最大$AMOUNT|0v$生産することができます。
</t>
        </is>
      </c>
      <c r="H5" s="1" t="inlineStr">
        <is>
          <t xml:space="preserve">変数に対応できていないため
</t>
        </is>
      </c>
      <c r="I5" s="1" t="inlineStr">
        <is>
          <t xml:space="preserve">1.0.4
</t>
        </is>
      </c>
      <c r="J5" s="1" t="inlineStr">
        <is>
          <t xml:space="preserve">なし
</t>
        </is>
      </c>
      <c r="K5" s="1" t="inlineStr">
        <is>
          <t xml:space="preserve">なし
</t>
        </is>
      </c>
      <c r="L5" s="1" t="n"/>
      <c r="M5" s="1" t="n"/>
    </row>
    <row r="6" ht="240" customHeight="1">
      <c r="A6">
        <f>HYPERLINK("https://github.com/matanki-saito/vic3jpadvmod/issues/342",342)</f>
        <v/>
      </c>
      <c r="B6" s="1" t="inlineStr">
        <is>
          <t>【修正提案】襲撃を受けた航路の海上ノード「輸送船団襲撃は、このノードを通過する…」</t>
        </is>
      </c>
      <c r="C6" s="1">
        <f>HYPERLINK("https://user-images.githubusercontent.com/29177147/199974105-904359bf-2b0a-4e41-9a89-3a3330914383.png","screenshot")
</f>
        <v/>
      </c>
      <c r="D6" s="1" t="inlineStr">
        <is>
          <t xml:space="preserve">戦争等で輸送船団が襲撃を受けた際の、その航路上にある海上ノードをマウスオーバー
</t>
        </is>
      </c>
      <c r="E6" s="1" t="inlineStr">
        <is>
          <t xml:space="preserve">
 SUPPLY_NETWORK_MAPMARKER_IS_RAIDED:0 "@warning![Concept('concept_raid_convoys', '$concept_convoy_raiding$')]は、このノードを通過する我々の[Concept('concept_shipping_lane', '$concept_shipping_lanes$')]が所持する[concept_convoys]を$NUM_SUNK_CONVOYS|-v$隻沈没させ、効率が平均$DAMAGE|v-%$下がりました"
</t>
        </is>
      </c>
      <c r="F6" s="1" t="inlineStr">
        <is>
          <t xml:space="preserve">
 SUPPLY_NETWORK_MAPMARKER_IS_RAIDED:1 "@warning! [Concept('concept_raid_convoys', '$concept_convoy_raiding$')] has sunk $NUM_SUNK_CONVOYS|-v$ [concept_convoys] belonging to our [Concept('concept_shipping_lane', '$concept_shipping_lanes$')] passing through this node, reducing their efficiency by an average of $DAMAGE|v-%$"
</t>
        </is>
      </c>
      <c r="G6" s="1" t="inlineStr">
        <is>
          <t xml:space="preserve">
 SUPPLY_NETWORK_MAPMARKER_IS_RAIDED:0 "@warning!このノードを経由する[Concept('concept_shipping_lane', '$concept_shipping_lanes$')]上にて、[Concept('concept_raid_convoys', '$concept_convoy_raiding$')]を受け、我々の[concept_convoys]が$NUM_SUNK_CONVOYS|-v$隻沈没しました。その結果、効率が平均$DAMAGE|v-%$下がりました"
</t>
        </is>
      </c>
      <c r="H6" s="1" t="inlineStr">
        <is>
          <t xml:space="preserve">不自然な日本語なので
</t>
        </is>
      </c>
      <c r="I6" s="1" t="inlineStr">
        <is>
          <t xml:space="preserve">1.0.4
</t>
        </is>
      </c>
      <c r="J6" s="1" t="inlineStr">
        <is>
          <t xml:space="preserve">なし
</t>
        </is>
      </c>
      <c r="K6" s="1" t="inlineStr">
        <is>
          <t xml:space="preserve">日本語改善MOD
Switch Languages
</t>
        </is>
      </c>
      <c r="L6" s="1" t="n"/>
      <c r="M6" s="1" t="n"/>
    </row>
    <row r="7" ht="90" customHeight="1">
      <c r="A7">
        <f>HYPERLINK("https://github.com/matanki-saito/vic3jpadvmod/issues/325",325)</f>
        <v/>
      </c>
      <c r="B7" s="1" t="inlineStr">
        <is>
          <t>【修正提案】New 建設</t>
        </is>
      </c>
      <c r="C7" s="1">
        <f>HYPERLINK("https://user-images.githubusercontent.com/29177147/199732420-888c0de2-c747-4f64-bb6c-6f431fa5bd27.png","screenshot")
</f>
        <v/>
      </c>
      <c r="D7" s="1" t="inlineStr">
        <is>
          <t xml:space="preserve">予算ウィンドウ＞資産タブ＞投資プールの金額部分をマウスオーバー
</t>
        </is>
      </c>
      <c r="E7" s="1" t="inlineStr">
        <is>
          <t xml:space="preserve">
New 建設
 INVESTMENT_POOL_CHANGE_FROM_CONSTRUCTION:1 "#bold New [concept_construction]:#! #v @money!$CHANGE|D+$#!"
</t>
        </is>
      </c>
      <c r="F7" s="1" t="inlineStr">
        <is>
          <t xml:space="preserve">
New Construction
</t>
        </is>
      </c>
      <c r="G7" s="1" t="inlineStr">
        <is>
          <t xml:space="preserve">
新規建設中
 INVESTMENT_POOL_CHANGE_FROM_CONSTRUCTION:1 "#bold 新規[concept_construction]中:#! #v @money!$CHANGE|D+$#!"
</t>
        </is>
      </c>
      <c r="H7" s="1" t="inlineStr">
        <is>
          <t xml:space="preserve">未訳
</t>
        </is>
      </c>
      <c r="I7" s="1" t="inlineStr">
        <is>
          <t xml:space="preserve">1.0.4
</t>
        </is>
      </c>
      <c r="J7" s="1" t="inlineStr">
        <is>
          <t xml:space="preserve">なし
</t>
        </is>
      </c>
      <c r="K7" s="1" t="inlineStr">
        <is>
          <t xml:space="preserve">日本語改善MOD
Switch Languages
</t>
        </is>
      </c>
      <c r="L7" s="1" t="n"/>
      <c r="M7" s="1" t="n"/>
    </row>
    <row r="8" ht="90" customHeight="1">
      <c r="A8">
        <f>HYPERLINK("https://github.com/matanki-saito/vic3jpadvmod/issues/324",324)</f>
        <v/>
      </c>
      <c r="B8" s="1" t="inlineStr">
        <is>
          <t>宗教税のツールチップ</t>
        </is>
      </c>
      <c r="C8" s="1">
        <f>HYPERLINK("https://user-images.githubusercontent.com/50406316/199720589-d07dfebf-86fd-42c5-b64e-8c8da669fc70.png","screenshot")
</f>
        <v/>
      </c>
      <c r="D8" s="1" t="inlineStr">
        <is>
          <t xml:space="preserve">毎年からPOP徴収される異教税の額です。これは差別に反する宗教の信仰によるものです
</t>
        </is>
      </c>
      <c r="E8" s="1" t="inlineStr">
        <is>
          <t xml:space="preserve">
（同上）
</t>
        </is>
      </c>
      <c r="F8" s="1" t="inlineStr">
        <is>
          <t xml:space="preserve">
The amount of Heathen taxes collected from Pops each year for following a Religion that is Discriminated against
</t>
        </is>
      </c>
      <c r="G8" s="1" t="inlineStr">
        <is>
          <t xml:space="preserve">
差別されている宗教を信仰するPOPから毎年徴収される異教税の額です
</t>
        </is>
      </c>
      <c r="H8" s="1" t="inlineStr">
        <is>
          <t xml:space="preserve">語順がおかしく意味が通っていないため
</t>
        </is>
      </c>
      <c r="I8" s="1" t="inlineStr">
        <is>
          <t xml:space="preserve">1.0.4
</t>
        </is>
      </c>
      <c r="J8" s="1" t="inlineStr">
        <is>
          <t xml:space="preserve">なし
</t>
        </is>
      </c>
      <c r="K8" s="1" t="inlineStr">
        <is>
          <t xml:space="preserve">翻訳改善MOD(11/3)
</t>
        </is>
      </c>
      <c r="L8" s="1" t="n"/>
      <c r="M8" s="1" t="n"/>
    </row>
    <row r="9" ht="180" customHeight="1">
      <c r="A9">
        <f>HYPERLINK("https://github.com/matanki-saito/vic3jpadvmod/issues/320",320)</f>
        <v/>
      </c>
      <c r="B9" s="1" t="inlineStr">
        <is>
          <t>【修正および改善提案】「（法案）が制定される可能性は、…」</t>
        </is>
      </c>
      <c r="C9" s="1">
        <f>HYPERLINK("https://user-images.githubusercontent.com/29177147/199690502-ac625d5a-a79f-4765-8498-e7edee2862aa.png","screenshot")
=HYPERLINK("https://user-images.githubusercontent.com/29177147/199685024-4929af94-78ac-4188-969d-bc26a807b355.png","screenshot")
</f>
        <v/>
      </c>
      <c r="D9" s="1" t="inlineStr">
        <is>
          <t xml:space="preserve">政策ウィンドウ＞法律タブ＞（政府の原則や経済システム等の選択）＞制定成功率０％の法案の制定ボタンをマウスオーバー
</t>
        </is>
      </c>
      <c r="E9" s="1" t="inlineStr">
        <is>
          <t xml:space="preserve">
（法案）が制定される可能性は、利益団体政府内、政治運動、またはあなたの支配者のイデオロギーの支持により0%以上である必要があります。
</t>
        </is>
      </c>
      <c r="F9" s="1" t="inlineStr">
        <is>
          <t xml:space="preserve">
The chance that ... can be enacted must be above 0% through support from either an Interest Group In Government, a Political Movement or your Ruler's Ideology.
</t>
        </is>
      </c>
      <c r="G9" s="1" t="inlineStr">
        <is>
          <t xml:space="preserve">
（法案）の制定成功率が0%を上回らなければなりません。そのために、政府内利益団体、政治運動、統治者のイデオロギーによるサポートが必要です。
</t>
        </is>
      </c>
      <c r="H9" s="1" t="inlineStr">
        <is>
          <t xml:space="preserve">・「above 0%」を「0%以上」とする誤訳
・「The chance」を「制定成功率」と明示するため
・「Interest Group In Government」を「利益団体政府内」とする誤訳
・元の文が複文であり、訳にあたって、主述が離れたりして意味が分かりづらくなるのを避けるために文を分けた
</t>
        </is>
      </c>
      <c r="I9" s="1" t="inlineStr">
        <is>
          <t xml:space="preserve">1.0.4
</t>
        </is>
      </c>
      <c r="J9" s="1" t="inlineStr">
        <is>
          <t xml:space="preserve">なし
</t>
        </is>
      </c>
      <c r="K9" s="1" t="inlineStr">
        <is>
          <t xml:space="preserve">日本語改善MOD
Switch Languages
</t>
        </is>
      </c>
      <c r="L9" s="1" t="n"/>
      <c r="M9" s="1" t="n"/>
    </row>
    <row r="10" ht="90" customHeight="1">
      <c r="A10">
        <f>HYPERLINK("https://github.com/matanki-saito/vic3jpadvmod/issues/315",315)</f>
        <v/>
      </c>
      <c r="B10" s="1" t="inlineStr">
        <is>
          <t>【修正提案】関税同盟に参加</t>
        </is>
      </c>
      <c r="C10" s="1">
        <f>HYPERLINK("https://user-images.githubusercontent.com/50406316/199679338-2ff88054-2edd-46f8-a5bb-1ea51abba22f.png","screenshot")
</f>
        <v/>
      </c>
      <c r="D10" s="1" t="inlineStr">
        <is>
          <t xml:space="preserve">2つの国の間で関税同盟を確立する外交協定で、提案国が最初の参加国となります。
</t>
        </is>
      </c>
      <c r="E10" s="1" t="inlineStr">
        <is>
          <t xml:space="preserve">
提案国が最初の参加国となります。
</t>
        </is>
      </c>
      <c r="F10" s="1" t="inlineStr">
        <is>
          <t xml:space="preserve">
with the proposing country as the junior participant.
</t>
        </is>
      </c>
      <c r="G10" s="1" t="inlineStr">
        <is>
          <t xml:space="preserve">
提案国が（ジュニアパートナー）となります。
※ジュニアパートナーの訳は#267で起票して議論中
</t>
        </is>
      </c>
      <c r="H10" s="1" t="inlineStr">
        <is>
          <t xml:space="preserve">提案した側が関税同盟の下位国になるが、この説明ではそれが読み取れず誤訳になっているため
</t>
        </is>
      </c>
      <c r="I10" s="1" t="inlineStr">
        <is>
          <t xml:space="preserve">1.0.4
</t>
        </is>
      </c>
      <c r="J10" s="1" t="inlineStr">
        <is>
          <t xml:space="preserve">なし
</t>
        </is>
      </c>
      <c r="K10" s="1" t="inlineStr">
        <is>
          <t xml:space="preserve">翻訳改善MOD(11/3)
</t>
        </is>
      </c>
      <c r="L10" s="1" t="n"/>
      <c r="M10" s="1" t="n"/>
    </row>
    <row r="11" ht="90" customHeight="1">
      <c r="A11">
        <f>HYPERLINK("https://github.com/matanki-saito/vic3jpadvmod/issues/309",309)</f>
        <v/>
      </c>
      <c r="B11" s="1" t="inlineStr">
        <is>
          <t>【修正提案】利益集団の態度ツールチップ</t>
        </is>
      </c>
      <c r="C11" s="1">
        <f>HYPERLINK("https://user-images.githubusercontent.com/42710893/199663926-cd12aec2-91e8-4563-8b61-952d856c0a6a.jpg","screenshot")
</f>
        <v/>
      </c>
      <c r="D11" s="1" t="inlineStr">
        <is>
          <t xml:space="preserve">利益集団の態度ツールチップ
</t>
        </is>
      </c>
      <c r="E11" s="1" t="inlineStr">
        <is>
          <t xml:space="preserve">
スクショの例では
地主は君主制を強く賛成
</t>
        </is>
      </c>
      <c r="F11" s="1" t="inlineStr">
        <is>
          <t xml:space="preserve">
</t>
        </is>
      </c>
      <c r="G11" s="1" t="inlineStr">
        <is>
          <t xml:space="preserve">
地主は君主制に強く賛成
</t>
        </is>
      </c>
      <c r="H11" s="1" t="inlineStr">
        <is>
          <t xml:space="preserve">日本語として自然なものにしたい。
</t>
        </is>
      </c>
      <c r="I11" s="1" t="inlineStr">
        <is>
          <t xml:space="preserve">1.0.4
</t>
        </is>
      </c>
      <c r="J11" s="1" t="inlineStr">
        <is>
          <t xml:space="preserve">なし
</t>
        </is>
      </c>
      <c r="K11" s="1" t="inlineStr">
        <is>
          <t xml:space="preserve">日本語改善MOD
</t>
        </is>
      </c>
      <c r="L11" s="1" t="n"/>
      <c r="M11" s="1" t="n"/>
    </row>
    <row r="12" ht="90" customHeight="1">
      <c r="A12">
        <f>HYPERLINK("https://github.com/matanki-saito/vic3jpadvmod/issues/299",299)</f>
        <v/>
      </c>
      <c r="B12" s="1" t="inlineStr">
        <is>
          <t>国旗のツールチップ（Government, Military）</t>
        </is>
      </c>
      <c r="C12" s="1">
        <f>HYPERLINK("https://user-images.githubusercontent.com/42687608/199583296-41a8b63b-614f-403c-8396-4ab7ad5d80ef.jpg","screenshot")
</f>
        <v/>
      </c>
      <c r="D12" s="1" t="inlineStr">
        <is>
          <t xml:space="preserve">国旗にカーソルを合わせたときのツールチップ
</t>
        </is>
      </c>
      <c r="E12" s="1" t="inlineStr">
        <is>
          <t xml:space="preserve">
行政 / 軍事
</t>
        </is>
      </c>
      <c r="F12" s="1" t="inlineStr">
        <is>
          <t xml:space="preserve">
Government / Military
</t>
        </is>
      </c>
      <c r="G12" s="1" t="inlineStr">
        <is>
          <t xml:space="preserve">
政府 / 陸軍
</t>
        </is>
      </c>
      <c r="H12" s="1" t="inlineStr">
        <is>
          <t xml:space="preserve">Governmentは政体を意味しており、他の部分の翻訳と整合性を取るなら「政府」となる。
Militaryは直訳としては正しいが、アイコンや直後に海軍があることから考えると「陸軍」が適切。
</t>
        </is>
      </c>
      <c r="I12" s="1" t="inlineStr">
        <is>
          <t xml:space="preserve">1.0.4
</t>
        </is>
      </c>
      <c r="J12" s="1" t="inlineStr">
        <is>
          <t xml:space="preserve">- Victoria II Remastered Soundtrack
- American Buildings Pack
</t>
        </is>
      </c>
      <c r="K12" s="1" t="inlineStr">
        <is>
          <t xml:space="preserve">- 自作Mod多数
</t>
        </is>
      </c>
      <c r="L12" s="1" t="n"/>
      <c r="M12" s="1" t="n"/>
    </row>
    <row r="13" ht="90" customHeight="1">
      <c r="A13">
        <f>HYPERLINK("https://github.com/matanki-saito/vic3jpadvmod/issues/296",296)</f>
        <v/>
      </c>
      <c r="B13" s="1" t="inlineStr">
        <is>
          <t>税率のツールチップ</t>
        </is>
      </c>
      <c r="C13" s="1">
        <f>HYPERLINK("https://user-images.githubusercontent.com/50406316/199564961-4f3bf2c1-a8cf-42af-ad8a-92fedbbfdfcb.png","screenshot")
</f>
        <v/>
      </c>
      <c r="D13" s="1" t="inlineStr">
        <is>
          <t xml:space="preserve">POPの税率のツールチップ
</t>
        </is>
      </c>
      <c r="E13" s="1" t="inlineStr">
        <is>
          <t xml:space="preserve">
〇〇税に支払われる収入のXX%
（$TAX_TYPE$に支払われる収入の$TAX_LEVEL|%1v$）
</t>
        </is>
      </c>
      <c r="F13" s="1" t="inlineStr">
        <is>
          <t xml:space="preserve">
XX% of income paid in OO
（$TAX_LEVEL|%1v$ of income paid in $TAX_TYPE$）
</t>
        </is>
      </c>
      <c r="G13" s="1" t="inlineStr">
        <is>
          <t xml:space="preserve">
収入のXX%を〇〇税で支払
（収入の$TAX_LEVEL|%1v$を$TAX_TYPE$で支払）
</t>
        </is>
      </c>
      <c r="H13" s="1" t="inlineStr">
        <is>
          <t xml:space="preserve">語順の誤りの修正
</t>
        </is>
      </c>
      <c r="I13" s="1" t="inlineStr">
        <is>
          <t xml:space="preserve">1.0.3
</t>
        </is>
      </c>
      <c r="J13" s="1" t="inlineStr">
        <is>
          <t xml:space="preserve">なし
</t>
        </is>
      </c>
      <c r="K13" s="1" t="inlineStr">
        <is>
          <t xml:space="preserve">JapaneseLanguageAdvancedMod(更新: 11月2日 @ 7時11分)
</t>
        </is>
      </c>
      <c r="L13" s="1" t="n"/>
      <c r="M13" s="1" t="n"/>
    </row>
    <row r="14" ht="315" customHeight="1">
      <c r="A14">
        <f>HYPERLINK("https://github.com/matanki-saito/vic3jpadvmod/issues/283",283)</f>
        <v/>
      </c>
      <c r="B14" s="1" t="inlineStr">
        <is>
          <t>不健全な経済ツールチップ</t>
        </is>
      </c>
      <c r="C14" s="1">
        <f>HYPERLINK("https://user-images.githubusercontent.com/43299334/199508754-a05c3567-6272-450c-bd70-95c9272ffccc.jpg","screenshot")
</f>
        <v/>
      </c>
      <c r="D14" s="1" t="inlineStr">
        <is>
          <t xml:space="preserve">不健全な経済　ツールチップ
</t>
        </is>
      </c>
      <c r="E14" s="1" t="inlineStr">
        <is>
          <t xml:space="preserve">
あなたの経済は$HEALTH$
$TAB$$INCOME_RATIO$です
$TAB$$CREDIT_RATIO$ (元金: #variable @money!$CURRENT_LOAN_BALANCE|D$#!)
@red_cross!#tooltippable #tooltip:[GetPlayer.GetTooltipTag],TOTAL_EXPENSES_BREAKDOWN,TotalExpensesTooltip #variable @money!$EXPENSES|-K$#!#!#!の固定支出が、#tooltippable #tooltip:[GetPlayer.GetTooltipTag],TOTAL_INCOME_BREAKDOWN,TotalIncomeTooltip #variable @money!$INCOME|+K$#!#!#!の週間収入を超過しています
</t>
        </is>
      </c>
      <c r="F14" s="1" t="inlineStr">
        <is>
          <t xml:space="preserve">
Your economy is $HEALTH$
$TAB$$INCOME_RATIO$
$TAB$$CREDIT_RATIO$ (Principal: #variable @money!$CURRENT_LOAN_BALANCE|D$#!)
@red_cross! Fixed expenses of #tooltippable #tooltip:[GetPlayer.GetTooltipTag],TOTAL_EXPENSES_BREAKDOWN,TotalExpensesTooltip #variable @money!$EXPENSES|-K$#!#!#! exceeds weekly income of #tooltippable #tooltip:[GetPlayer.GetTooltipTag],TOTAL_INCOME_BREAKDOWN,TotalIncomeTooltip #variable @money!$INCOME|+K$#!#!#!
</t>
        </is>
      </c>
      <c r="G14" s="1" t="inlineStr">
        <is>
          <t xml:space="preserve">
$TAB$$INCOME_RATIO$
</t>
        </is>
      </c>
      <c r="H14" s="1" t="inlineStr">
        <is>
          <t xml:space="preserve">日本語として不自然なため
黒字の場合は
@green_checkmark!#tooltippable #tooltip:[GetPlayer.GetTooltipTag],TOTAL_INCOME_BREAKDOWN,TotalIncomeTooltip #variable @money!$INCOME|+K$#!#!#!の週間収入が、#tooltippable #tooltip:[GetPlayer.GetTooltipTag],TOTAL_EXPENSES_BREAKDOWN,TotalExpensesTooltip #variable @money!$EXPENSES|-K$#!#!#!の固定支出を超えています
となっており、この場合でも「です」はない方がよさそう
</t>
        </is>
      </c>
      <c r="I14" s="1" t="inlineStr">
        <is>
          <t xml:space="preserve">（例）1.0.3
</t>
        </is>
      </c>
      <c r="J14" s="1" t="inlineStr">
        <is>
          <t xml:space="preserve">なし
</t>
        </is>
      </c>
      <c r="K14" s="1" t="inlineStr">
        <is>
          <t xml:space="preserve">マップ文字化け改善MOD
</t>
        </is>
      </c>
      <c r="L14" s="1" t="n"/>
      <c r="M14" s="1" t="n"/>
    </row>
    <row r="15" ht="180" customHeight="1">
      <c r="A15">
        <f>HYPERLINK("https://github.com/matanki-saito/vic3jpadvmod/issues/281",281)</f>
        <v/>
      </c>
      <c r="B15" s="1" t="inlineStr">
        <is>
          <t>【バグ】輸出入ルートのツールチップ</t>
        </is>
      </c>
      <c r="C15" s="1">
        <f>HYPERLINK("https://user-images.githubusercontent.com/29382778/199503769-c598fcd2-f083-4e26-9652-94087ff8cafb.png","screenshot")
=HYPERLINK("https://user-images.githubusercontent.com/29382778/199503804-a4859cba-8386-467b-a157-e51cd5385ba0.png","screenshot")
</f>
        <v/>
      </c>
      <c r="D15" s="1" t="inlineStr">
        <is>
          <t xml:space="preserve">貿易ルート内で、輸出入ルートにマウスオーバーした際のツールチップ
</t>
        </is>
      </c>
      <c r="E15" s="1" t="inlineStr">
        <is>
          <t xml:space="preserve">
ルート: [州A]から[州B]へ
</t>
        </is>
      </c>
      <c r="F15" s="1" t="inlineStr">
        <is>
          <t xml:space="preserve">
[州A] to [州B]
</t>
        </is>
      </c>
      <c r="G15" s="1" t="inlineStr">
        <is>
          <t xml:space="preserve">
[州B]から[州A]へ
</t>
        </is>
      </c>
      <c r="H15" s="1" t="inlineStr">
        <is>
          <t xml:space="preserve">英語版・日本語版とも、輸出入のルートが逆に記載されている
</t>
        </is>
      </c>
      <c r="I15" s="1" t="inlineStr">
        <is>
          <t xml:space="preserve">1.0.4
</t>
        </is>
      </c>
      <c r="J15" s="1" t="n"/>
      <c r="K15" s="1" t="n"/>
      <c r="L15" s="1" t="n"/>
      <c r="M15" s="1" t="n"/>
    </row>
    <row r="16" ht="270" customHeight="1">
      <c r="A16">
        <f>HYPERLINK("https://github.com/matanki-saito/vic3jpadvmod/issues/278",278)</f>
        <v/>
      </c>
      <c r="B16" s="1" t="inlineStr">
        <is>
          <t>軍隊の給与変更ボタンのマウスオンツールチップ</t>
        </is>
      </c>
      <c r="C16" s="1">
        <f>HYPERLINK("https://user-images.githubusercontent.com/54560025/199476509-8c962562-fa71-404d-861b-06d90629c918.png","screenshot")
</f>
        <v/>
      </c>
      <c r="D16" s="1" t="inlineStr">
        <is>
          <t xml:space="preserve">予算→軍隊の給与設定ボタンのマウスオンツールチップ
</t>
        </is>
      </c>
      <c r="E16" s="1" t="inlineStr">
        <is>
          <t xml:space="preserve">
高い の軍隊の給与
(中略)
軍隊の給与の年間平均(金額)は毎週(金額)かかります
+15%から(金額)へ変更すると増加コストは(金額)から(金額)になります
</t>
        </is>
      </c>
      <c r="F16" s="1" t="inlineStr">
        <is>
          <t xml:space="preserve">
#variable $EXPENSE_LEVEL$ Military Wages#!
(中略)
The average annual military wage of @money!$CURRENT_AVERAGE_ANNUAL_WAGE|v2$ costs @money!$CURRENT_WEEKLY_EXPENSES|vD$ weekly
Changing it by #variable $WAGE_CHANGE_MULT|-=%0$#! to @money!$NEW_AVERAGE_ANNUAL_WAGE|v2$ would $CHANGETYPE$ costs by #variable @money!$DELTA_EXPENSES|-=D$#! to @money!$NEW_WEEKLY_EXPENSES|vD$
</t>
        </is>
      </c>
      <c r="G16" s="1" t="inlineStr">
        <is>
          <t xml:space="preserve">
#variable $EXPENSE_LEVEL$軍隊の給与#!
(中略)
軍隊の通年の平均給与@money!$CURRENT_AVERAGE_ANNUAL_WAGE|v2$では毎週@money!$CURRENT_WEEKLY_EXPENSES|vD$かかります
#variable $WAGE_CHANGE_MULT|-=%0$#!して@money!$NEW_AVERAGE_ANNUAL_WAGE|v2$に変更すると、費用は#variable @money!$DELTA_EXPENSES|-=D$#!$CHANGETYPE$して@money!$NEW_WEEKLY_EXPENSES|vD$になります
</t>
        </is>
      </c>
      <c r="H16" s="1" t="inlineStr">
        <is>
          <t xml:space="preserve">文の意味が通らないため。キー3つ変更。
</t>
        </is>
      </c>
      <c r="I16" s="1" t="inlineStr">
        <is>
          <t xml:space="preserve">1.0.4
</t>
        </is>
      </c>
      <c r="J16" s="1" t="inlineStr">
        <is>
          <t xml:space="preserve">Victoria II Remastered Soundtrack
American Buildings Pack
</t>
        </is>
      </c>
      <c r="K16" s="1" t="inlineStr">
        <is>
          <t xml:space="preserve">Switch Languages
JapaneseLanguageAdvancedMod
</t>
        </is>
      </c>
      <c r="L16" s="1" t="n"/>
      <c r="M16" s="1" t="n"/>
    </row>
    <row r="17" ht="270" customHeight="1">
      <c r="A17">
        <f>HYPERLINK("https://github.com/matanki-saito/vic3jpadvmod/issues/275",275)</f>
        <v/>
      </c>
      <c r="B17" s="1" t="inlineStr">
        <is>
          <t>国家公務員の給金変更ボタンのマウスオンツールチップ</t>
        </is>
      </c>
      <c r="C17" s="1">
        <f>HYPERLINK("https://user-images.githubusercontent.com/54560025/199457067-ccc7d3f4-1d8c-487c-b9ad-d61156c3c80a.png","screenshot")
</f>
        <v/>
      </c>
      <c r="D17" s="1" t="inlineStr">
        <is>
          <t xml:space="preserve">予算→国家公務員の給金変更ボタンのマウスオンツールチップ
</t>
        </is>
      </c>
      <c r="E17" s="1" t="inlineStr">
        <is>
          <t xml:space="preserve">
高い の政府賃金
効力:
[アイコン]インテリゲンチャの承認：+2.0
[アイコン]小ブルジョワの承認：+2.0
国家公務員の給金：+15.0%
政府賃金の年間平均£4.97は毎週£15.0かかります
+15%から£5.72へ変更すると、増加コストは£+2.25Kから£17.2Kになります
</t>
        </is>
      </c>
      <c r="F17" s="1" t="inlineStr">
        <is>
          <t xml:space="preserve">
#variable $EXPENSE_LEVEL$ Government Wages#!
The average annual government wage of @money!$CURRENT_AVERAGE_ANNUAL_WAGE|v2$ costs @money!$CURRENT_WEEKLY_EXPENSES|vD$ weekly
Changing it by #variable $WAGE_CHANGE_MULT|-=%0$#! to @money!$NEW_AVERAGE_ANNUAL_WAGE|v2$ would $CHANGETYPE$ costs by #variable @money!$DELTA_EXPENSES|-=D$#! to @money!$NEW_WEEKLY_EXPENSES|vD$
</t>
        </is>
      </c>
      <c r="G17" s="1" t="inlineStr">
        <is>
          <t xml:space="preserve">
#variable $EXPENSE_LEVEL$ 国家公務員の賃金#!
国家公務員の通年の平均給与 @money!$CURRENT_AVERAGE_ANNUAL_WAGE|v2$では毎週@money!$CURRENT_WEEKLY_EXPENSES|vD$ かかります。
#variable $WAGE_CHANGE_MULT|-=%0$#!して@money!$NEW_AVERAGE_ANNUAL_WAGE|v2$に変更すると、費用は#variable @money!$DELTA_EXPENSES|-=D$#!$CHANGETYPE$して@money!$NEW_WEEKLY_EXPENSES|vD$になります。
</t>
        </is>
      </c>
      <c r="H17" s="1" t="inlineStr">
        <is>
          <t xml:space="preserve">文の意味が通らなくなっているのを修正。キー3つにまたがるツールチップ。他にもGovernment wageで政府賃金となっているところを国家公務員の給金とするべき(別Issue提出予定)。
</t>
        </is>
      </c>
      <c r="I17" s="1" t="inlineStr">
        <is>
          <t xml:space="preserve">1.0.4
</t>
        </is>
      </c>
      <c r="J17" s="1" t="inlineStr">
        <is>
          <t xml:space="preserve">Victoria II Remastered Soundtrack
American Buildings Pack
</t>
        </is>
      </c>
      <c r="K17" s="1" t="inlineStr">
        <is>
          <t xml:space="preserve">Switch Languages
</t>
        </is>
      </c>
      <c r="L17" s="1" t="n"/>
      <c r="M17" s="1" t="n"/>
    </row>
    <row r="18" ht="90" customHeight="1">
      <c r="A18">
        <f>HYPERLINK("https://github.com/matanki-saito/vic3jpadvmod/issues/272",272)</f>
        <v/>
      </c>
      <c r="B18" s="1" t="inlineStr">
        <is>
          <t>識字率のツールチップ内のtypo</t>
        </is>
      </c>
      <c r="C18" s="1">
        <f>HYPERLINK("https://user-images.githubusercontent.com/388340/199437703-f9aa332f-ba16-49c5-a718-ea74a79ac08c.png","screenshot")
</f>
        <v/>
      </c>
      <c r="D18" s="1" t="inlineStr">
        <is>
          <t xml:space="preserve">トップバーの識字率のマウスオンヒント
</t>
        </is>
      </c>
      <c r="E18" s="1" t="inlineStr">
        <is>
          <t xml:space="preserve">
[○○M][○○M]のうち、日本の編入州に住んでいる人は読み書きができ、・・・
さらに、現在の識字率率によって、・・・
</t>
        </is>
      </c>
      <c r="F18" s="1" t="inlineStr">
        <is>
          <t xml:space="preserve">ー
</t>
        </is>
      </c>
      <c r="G18" s="1" t="inlineStr">
        <is>
          <t xml:space="preserve">
[○○M]のうち、日本の編入州に住んでいる[○○M]人は読み書きができ、・・・
さらに、現在の識字率によって、・・・
</t>
        </is>
      </c>
      <c r="H18" s="1" t="inlineStr">
        <is>
          <t xml:space="preserve">typo
</t>
        </is>
      </c>
      <c r="I18" s="1" t="inlineStr">
        <is>
          <t xml:space="preserve">1.0.3
</t>
        </is>
      </c>
      <c r="J18" s="1" t="inlineStr">
        <is>
          <t xml:space="preserve">Victoria II Remastered Soundtrack
American Buildings Pack
</t>
        </is>
      </c>
      <c r="K18" s="1" t="inlineStr">
        <is>
          <t xml:space="preserve">JapaneseLanguageAdvancedMod
Japanese Font
Japanese Namelist Improvement
</t>
        </is>
      </c>
      <c r="L18" s="1" t="n"/>
      <c r="M18" s="1" t="n"/>
    </row>
    <row r="19" ht="90" customHeight="1">
      <c r="A19">
        <f>HYPERLINK("https://github.com/matanki-saito/vic3jpadvmod/issues/266",266)</f>
        <v/>
      </c>
      <c r="B19" s="1" t="inlineStr">
        <is>
          <t>【修正提案】「我が国の法律の一部ではありません」</t>
        </is>
      </c>
      <c r="C19" s="1">
        <f>HYPERLINK("https://user-images.githubusercontent.com/29177147/199401293-1d6f5753-22fc-41ec-9d8e-87ee390e229b.png","screenshot")
</f>
        <v/>
      </c>
      <c r="D19" s="1" t="inlineStr">
        <is>
          <t xml:space="preserve">政策ウィンドウ＞法律タブ＞（政府の原則や経済システム等の選択）＞（制定前の法律の名称をマウスオーバー）
</t>
        </is>
      </c>
      <c r="E19" s="1" t="inlineStr">
        <is>
          <t xml:space="preserve">
我が国の法律の一部ではありません
 INACTIVE_LAW:0 "@red_cross! 我が国の[Concept('concept_law', '$concept_laws$')]の一部ではありません"
</t>
        </is>
      </c>
      <c r="F19" s="1" t="inlineStr">
        <is>
          <t xml:space="preserve">
 INACTIVE_LAW:0 "@red_cross! Not part of our [Concept('concept_law', '$concept_laws$')]"
</t>
        </is>
      </c>
      <c r="G19" s="1" t="inlineStr">
        <is>
          <t xml:space="preserve">
制定前の法律
</t>
        </is>
      </c>
      <c r="H19" s="1" t="inlineStr">
        <is>
          <t xml:space="preserve">part of を一律、～の一部と訳していて不自然な日本語になっているため
</t>
        </is>
      </c>
      <c r="I19" s="1" t="inlineStr">
        <is>
          <t xml:space="preserve">1.0.3
</t>
        </is>
      </c>
      <c r="J19" s="1" t="inlineStr">
        <is>
          <t xml:space="preserve">なし
</t>
        </is>
      </c>
      <c r="K19" s="1" t="inlineStr">
        <is>
          <t xml:space="preserve">日本語改善MOD
Switch Languages
</t>
        </is>
      </c>
      <c r="L19" s="1" t="n"/>
      <c r="M19" s="1" t="n"/>
    </row>
    <row r="20" ht="90" customHeight="1">
      <c r="A20">
        <f>HYPERLINK("https://github.com/matanki-saito/vic3jpadvmod/issues/265",265)</f>
        <v/>
      </c>
      <c r="B20" s="1" t="inlineStr">
        <is>
          <t>【修正提案】「我が国の法律の一部です」</t>
        </is>
      </c>
      <c r="C20" s="1">
        <f>HYPERLINK("https://user-images.githubusercontent.com/29177147/199391684-1747f228-e1e8-4f26-a824-01ca377f44e4.png","screenshot")
</f>
        <v/>
      </c>
      <c r="D20" s="1" t="inlineStr">
        <is>
          <t xml:space="preserve">政策ウィンドウ＞法律タブ＞（政府の原則や経済システム等の選択）＞（試行中の法律の名称をマウスオーバー）
</t>
        </is>
      </c>
      <c r="E20" s="1" t="inlineStr">
        <is>
          <t xml:space="preserve">
我が国の法律の一部です
 ACTIVE_LAW:0 "@green_checkmark! 我が国の[Concept('concept_law', '$concept_laws$')]の一部です"
</t>
        </is>
      </c>
      <c r="F20" s="1" t="inlineStr">
        <is>
          <t xml:space="preserve">
 ACTIVE_LAW:0 "@green_checkmark! Part of our [Concept('concept_law', '$concept_laws$')]"
</t>
        </is>
      </c>
      <c r="G20" s="1" t="inlineStr">
        <is>
          <t xml:space="preserve">
施行中の法律
</t>
        </is>
      </c>
      <c r="H20" s="1" t="inlineStr">
        <is>
          <t xml:space="preserve">part of を一律、～の一部と訳していて不自然な日本語になっているため
</t>
        </is>
      </c>
      <c r="I20" s="1" t="inlineStr">
        <is>
          <t xml:space="preserve">1.0.3
</t>
        </is>
      </c>
      <c r="J20" s="1" t="inlineStr">
        <is>
          <t xml:space="preserve">なし
</t>
        </is>
      </c>
      <c r="K20" s="1" t="inlineStr">
        <is>
          <t xml:space="preserve">日本語改善MOD
Switch Languages
</t>
        </is>
      </c>
      <c r="L20" s="1" t="n"/>
      <c r="M20" s="1" t="n"/>
    </row>
    <row r="21" ht="90" customHeight="1">
      <c r="A21">
        <f>HYPERLINK("https://github.com/matanki-saito/vic3jpadvmod/issues/263",263)</f>
        <v/>
      </c>
      <c r="B21" s="1" t="inlineStr">
        <is>
          <t>ブータン「現世的支配者」</t>
        </is>
      </c>
      <c r="C21" s="1">
        <f>HYPERLINK("https://user-images.githubusercontent.com/6514922/199387095-28498556-dffb-4146-ae57-8f612ec2dc41.jpg","screenshot")
</f>
        <v/>
      </c>
      <c r="D21" s="1" t="inlineStr">
        <is>
          <t xml:space="preserve">ブータンの政治体制説明
</t>
        </is>
      </c>
      <c r="E21" s="1" t="inlineStr">
        <is>
          <t xml:space="preserve">
現世的支配者
</t>
        </is>
      </c>
      <c r="F21" s="1" t="inlineStr">
        <is>
          <t xml:space="preserve">ー
</t>
        </is>
      </c>
      <c r="G21" s="1" t="inlineStr">
        <is>
          <t xml:space="preserve">
世俗的支配者
</t>
        </is>
      </c>
      <c r="H21" s="1" t="inlineStr">
        <is>
          <t xml:space="preserve">現世的支配者なんて言い方しないと思うので、、、確認していませんがスルタンのツールチップも同じ表現になってそうです。
</t>
        </is>
      </c>
      <c r="I21" s="1" t="inlineStr">
        <is>
          <t xml:space="preserve">1.0.3
</t>
        </is>
      </c>
      <c r="J21" s="1" t="inlineStr">
        <is>
          <t xml:space="preserve">なし
</t>
        </is>
      </c>
      <c r="K21" s="1" t="inlineStr">
        <is>
          <t xml:space="preserve">なし
</t>
        </is>
      </c>
      <c r="L21" s="1" t="n"/>
      <c r="M21" s="1" t="n"/>
    </row>
    <row r="22" ht="150" customHeight="1">
      <c r="A22">
        <f>HYPERLINK("https://github.com/matanki-saito/vic3jpadvmod/issues/258",258)</f>
        <v/>
      </c>
      <c r="B22" s="1" t="inlineStr">
        <is>
          <t>【修正提案】奴隷を労働者として用いる時のツールチップ</t>
        </is>
      </c>
      <c r="C22" s="1">
        <f>HYPERLINK("https://user-images.githubusercontent.com/29382778/199314393-dc9b0665-14e9-43a8-898b-e1f5b703305d.png","screenshot")
</f>
        <v/>
      </c>
      <c r="D22" s="1" t="inlineStr">
        <is>
          <t xml:space="preserve">レンズで施設建設する際のツールチップ
</t>
        </is>
      </c>
      <c r="E22" s="1" t="inlineStr">
        <is>
          <t xml:space="preserve">
[奴隷]をの[労働者]として使用します
</t>
        </is>
      </c>
      <c r="F22" s="1" t="inlineStr">
        <is>
          <t xml:space="preserve">
Uses [POP_TYPE.GetName] as [TARGET_POP_TYPE.GetName][SelectLocalization( ObjectsEqual(Country.Self, GetPlayer.Self), '', 'IN_COUNTRY' )]
</t>
        </is>
      </c>
      <c r="G22" s="1" t="inlineStr">
        <is>
          <t xml:space="preserve">
[POP_TYPE.GetName]を[SelectLocalization( ObjectsEqual(Country.Self, GetPlayer.Self), '', 'IN_COUNTRY' )][SelectLocalization( ObjectsEqual(Country.Self, GetPlayer.Self), '', 'の' )][TARGET_POP_TYPE.GetName]として使用します
</t>
        </is>
      </c>
      <c r="H22" s="1" t="inlineStr">
        <is>
          <t xml:space="preserve">「の」をうまく処理できていないため、必要のない時にも「の」が表示されているため
</t>
        </is>
      </c>
      <c r="I22" s="1" t="inlineStr">
        <is>
          <t xml:space="preserve">1.0.3
</t>
        </is>
      </c>
      <c r="J22" s="1" t="n"/>
      <c r="K22" s="1" t="n"/>
      <c r="L22" s="1" t="n"/>
      <c r="M22" s="1" t="n"/>
    </row>
    <row r="23" ht="90" customHeight="1">
      <c r="A23">
        <f>HYPERLINK("https://github.com/matanki-saito/vic3jpadvmod/issues/257",257)</f>
        <v/>
      </c>
      <c r="B23" s="1" t="inlineStr">
        <is>
          <t>【修正提案】○○にいます</t>
        </is>
      </c>
      <c r="C23" s="1">
        <f>HYPERLINK("https://user-images.githubusercontent.com/29382778/199313453-6002d103-0c76-44cc-8013-6a8f28e2b4fd.png","screenshot")
</f>
        <v/>
      </c>
      <c r="D23" s="1" t="inlineStr">
        <is>
          <t xml:space="preserve">ゲーム内で "in [国名]" が呼ばれる箇所全体
</t>
        </is>
      </c>
      <c r="E23" s="1" t="inlineStr">
        <is>
          <t xml:space="preserve">
[国旗つき国名]にいます
</t>
        </is>
      </c>
      <c r="F23" s="1" t="inlineStr">
        <is>
          <t xml:space="preserve">
in [国旗つき国名]
</t>
        </is>
      </c>
      <c r="G23" s="1" t="inlineStr">
        <is>
          <t xml:space="preserve">
「[国旗つき国名]」のみとする
</t>
        </is>
      </c>
      <c r="H23" s="1" t="inlineStr">
        <is>
          <t xml:space="preserve">日本語がおかしな表記になるため
</t>
        </is>
      </c>
      <c r="I23" s="1" t="inlineStr">
        <is>
          <t xml:space="preserve">1.0.3
</t>
        </is>
      </c>
      <c r="J23" s="1" t="n"/>
      <c r="K23" s="1" t="n"/>
      <c r="L23" s="1" t="n"/>
      <c r="M23" s="1" t="n"/>
    </row>
    <row r="24" ht="150" customHeight="1">
      <c r="A24">
        <f>HYPERLINK("https://github.com/matanki-saito/vic3jpadvmod/issues/256",256)</f>
        <v/>
      </c>
      <c r="B24" s="1" t="inlineStr">
        <is>
          <t>【修正提案】関税同盟等で商品の関税をいじれない時「あなたはこの市場に参加していないため～」</t>
        </is>
      </c>
      <c r="C24" s="1">
        <f>HYPERLINK("https://user-images.githubusercontent.com/29177147/199264764-3c026c83-c16b-478d-96b2-09e66ce67c89.png","screenshot")
</f>
        <v/>
      </c>
      <c r="D24" s="1" t="inlineStr">
        <is>
          <t xml:space="preserve">■前提条件
ケープ植民地等の特定市場下に組み込まれた国
各商品の関税設定アイコン
</t>
        </is>
      </c>
      <c r="E24" s="1" t="inlineStr">
        <is>
          <t xml:space="preserve">
あなたはこの市場に参加していないため、×はイギリス市場の穀物を優先することができません
 NOT_PLAYER_MARKET_PRIORITY:0 "あなたはこの[concept_market]に参加していないため、@red_cross!は[Goods.GetMarket.GetName]の[Goods.GetName]を優先することは#b できません#!"
</t>
        </is>
      </c>
      <c r="F24" s="1" t="inlineStr">
        <is>
          <t xml:space="preserve">
 NOT_PLAYER_MARKET_PRIORITY:1 "@red_cross! Can #b not#! set priority on [Goods.GetName] in the [Goods.GetMarket.GetName] since you are not part of this [concept_market]"
</t>
        </is>
      </c>
      <c r="G24" s="1" t="inlineStr">
        <is>
          <t xml:space="preserve">
 NOT_PLAYER_MARKET_PRIORITY:1 "@red_cross![Goods.GetMarket.GetName]の[Goods.GetName]の優先度を#b 設定できません#!。 この[concept_market]で重要な外交的地位にいないためです"
</t>
        </is>
      </c>
      <c r="H24" s="1" t="inlineStr">
        <is>
          <t xml:space="preserve">red_crossを主語と誤認して訳しているため。
ついでに校正。
ただし、since you are not part of this [concept_market]の訳は、直訳すると「この市場の構成国ではないため」ぐらいな意味合いになるが、それだと市場内部にいる実態とそぐわない。
「（関税同盟であったり傀儡であったりして関税設定を触れない低い地位＝）市場での役目がないため」ぐらいの意味合いで拾って意訳した。
適宜訂正求む
</t>
        </is>
      </c>
      <c r="I24" s="1" t="inlineStr">
        <is>
          <t xml:space="preserve">1.0.3
</t>
        </is>
      </c>
      <c r="J24" s="1" t="inlineStr">
        <is>
          <t xml:space="preserve">なし
</t>
        </is>
      </c>
      <c r="K24" s="1" t="inlineStr">
        <is>
          <t xml:space="preserve">日本語改善MOD
Switch Languages
</t>
        </is>
      </c>
      <c r="L24" s="1" t="n"/>
      <c r="M24" s="1" t="n"/>
    </row>
    <row r="25" ht="345" customHeight="1">
      <c r="A25">
        <f>HYPERLINK("https://github.com/matanki-saito/vic3jpadvmod/issues/252",252)</f>
        <v/>
      </c>
      <c r="B25" s="1" t="inlineStr">
        <is>
          <t>ツールチップ「市場商品ポリシー」</t>
        </is>
      </c>
      <c r="C25" s="1">
        <f>HYPERLINK("https://user-images.githubusercontent.com/43299334/199250339-a4cd48fe-45b4-41d6-847c-fe3f95c9de23.jpg","screenshot")
</f>
        <v/>
      </c>
      <c r="D25" s="1" t="inlineStr">
        <is>
          <t xml:space="preserve">市場商品ポリシー
</t>
        </is>
      </c>
      <c r="E25" s="1" t="inlineStr">
        <is>
          <t xml:space="preserve">
#b $tariff_import_priority$#!は、輸入の$concept_tariffs$ を排して他国があなたの国へ[Concept('concept_sell_orders','$concept_sell_order_short$')|l]することを奨励し、あなた自身の[concept_treasury]を犠牲にして輸入[Concept('concept_trade_route','$concept_trade_routes$')]を繁栄させます。輸出の$concept_tariffs$ は、あなたの物資を[Concept('concept_buy_orders','$concept_buy_order_short$')|l]する人を抑制するために維持されます。
</t>
        </is>
      </c>
      <c r="F25" s="1" t="inlineStr">
        <is>
          <t xml:space="preserve">
#b $tariff_import_priority$#! eliminates Import $concept_tariffs$ to encourage others to [Concept('concept_sell_orders','$concept_sell_order_short$')|l] to you, and to let your own Import [Concept('concept_trade_route','$concept_trade_routes$')] flourish at the expense of your [concept_treasury], while Export $concept_tariffs$ remain in effect to discourage those who might otherwise [Concept('concept_buy_orders','$concept_buy_order_short$')|l] up your supply.
</t>
        </is>
      </c>
      <c r="G25" s="1" t="inlineStr">
        <is>
          <t xml:space="preserve">
売却することを～、物資の購入を～　など
</t>
        </is>
      </c>
      <c r="H25" s="1" t="inlineStr">
        <is>
          <t xml:space="preserve">日本語として不自然なため。
「売り」「買い」などはそれぞれ「売り注文」「買い注文」の変形を呼び出しているよう。
場合によっては「売却注文」「購入注文」などへの変更が必要かもしれない。
</t>
        </is>
      </c>
      <c r="I25" s="1" t="inlineStr">
        <is>
          <t xml:space="preserve">（例）1.0.3
</t>
        </is>
      </c>
      <c r="J25" s="1" t="inlineStr">
        <is>
          <t xml:space="preserve">なし
</t>
        </is>
      </c>
      <c r="K25" s="1" t="inlineStr">
        <is>
          <t xml:space="preserve">姓名逆転MOD
</t>
        </is>
      </c>
      <c r="L25" s="1" t="n"/>
      <c r="M25" s="1" t="n"/>
    </row>
    <row r="26" ht="120" customHeight="1">
      <c r="A26">
        <f>HYPERLINK("https://github.com/matanki-saito/vic3jpadvmod/issues/250",250)</f>
        <v/>
      </c>
      <c r="B26" s="1" t="inlineStr">
        <is>
          <t>【未訳】外交プレイ対象をマウスオーバーした時のツールチップ－or above</t>
        </is>
      </c>
      <c r="C26" s="1">
        <f>HYPERLINK("https://user-images.githubusercontent.com/42710893/199247707-eaa24556-ce4e-4718-85fb-10f665d39ce1.jpg","screenshot")
</f>
        <v/>
      </c>
      <c r="D26" s="1" t="inlineStr">
        <is>
          <t xml:space="preserve">外交プレイ対象をマウスオーバーした時のツールチップ
</t>
        </is>
      </c>
      <c r="E26" s="1" t="inlineStr">
        <is>
          <t xml:space="preserve">
CORDIAL_RELATIONS_WITH_TARGET:4 "[COUNTRY.GetName]と[TARGET_COUNTRY.GetName]間の[concept_relations]は、[concept_diplomatic_play]を始めるには($relations_cordial$ or above)が高すぎます"
</t>
        </is>
      </c>
      <c r="F26" s="1" t="inlineStr">
        <is>
          <t xml:space="preserve">
</t>
        </is>
      </c>
      <c r="G26" s="1" t="inlineStr">
        <is>
          <t xml:space="preserve">
CORDIAL_RELATIONS_WITH_TARGET:4 "[COUNTRY.GetName]と[TARGET_COUNTRY.GetName]間の[concept_relations]は、[concept_diplomatic_play]を始めるには高すぎます($relations_cordial$以上である)"　等
</t>
        </is>
      </c>
      <c r="H26" s="1" t="inlineStr">
        <is>
          <t xml:space="preserve">or aboveが未訳
()の位置も文末のほうがわかりやすい気がします
</t>
        </is>
      </c>
      <c r="I26" s="1" t="inlineStr">
        <is>
          <t xml:space="preserve">1.0.3
</t>
        </is>
      </c>
      <c r="J26" s="1" t="inlineStr">
        <is>
          <t xml:space="preserve">なし
</t>
        </is>
      </c>
      <c r="K26" s="1" t="inlineStr">
        <is>
          <t xml:space="preserve">なし
</t>
        </is>
      </c>
      <c r="L26" s="1" t="n"/>
      <c r="M26" s="1" t="n"/>
    </row>
    <row r="27" ht="90" customHeight="1">
      <c r="A27">
        <f>HYPERLINK("https://github.com/matanki-saito/vic3jpadvmod/issues/245",245)</f>
        <v/>
      </c>
      <c r="B27" s="1" t="inlineStr">
        <is>
          <t>【修正提案】好機（Chance、キャラ特性のツールチップ）</t>
        </is>
      </c>
      <c r="C27" s="1">
        <f>HYPERLINK("https://user-images.githubusercontent.com/42687608/199230822-04bb5341-e5c8-4f37-99dd-f819e09a822f.jpg","screenshot")
</f>
        <v/>
      </c>
      <c r="D27" s="1" t="inlineStr">
        <is>
          <t xml:space="preserve">キャラクターの特性ツールチップ。
確認したのは将軍の特性の補正値だが、他にも影響を及ぼす可能性あり。
</t>
        </is>
      </c>
      <c r="E27" s="1" t="inlineStr">
        <is>
          <t xml:space="preserve">
好機
</t>
        </is>
      </c>
      <c r="F27" s="1" t="inlineStr">
        <is>
          <t xml:space="preserve">
Chance
</t>
        </is>
      </c>
      <c r="G27" s="1" t="inlineStr">
        <is>
          <t xml:space="preserve">
確率
</t>
        </is>
      </c>
      <c r="H27" s="1" t="inlineStr">
        <is>
          <t xml:space="preserve">誤訳であるため。
</t>
        </is>
      </c>
      <c r="I27" s="1" t="inlineStr">
        <is>
          <t xml:space="preserve">1.0.3
</t>
        </is>
      </c>
      <c r="J27" s="1" t="inlineStr">
        <is>
          <t xml:space="preserve">- Victoria II Remastered Soundtrack
- American Buildings Pack
</t>
        </is>
      </c>
      <c r="K27" s="1" t="inlineStr">
        <is>
          <t xml:space="preserve">- 自作Mod多数
</t>
        </is>
      </c>
      <c r="L27" s="1" t="n"/>
      <c r="M27" s="1" t="n"/>
    </row>
    <row r="28" ht="90" customHeight="1">
      <c r="A28">
        <f>HYPERLINK("https://github.com/matanki-saito/vic3jpadvmod/issues/244",244)</f>
        <v/>
      </c>
      <c r="B28" s="1" t="inlineStr">
        <is>
          <t>【表記ゆれ】激しく・強く（Very Strongly, Strongly）</t>
        </is>
      </c>
      <c r="C28" s="1">
        <f>HYPERLINK("https://user-images.githubusercontent.com/42687608/199226794-55034e6d-74ea-4a57-8ffa-62d645fb00d8.jpg","screenshot")
</f>
        <v/>
      </c>
      <c r="D28" s="1" t="inlineStr">
        <is>
          <t xml:space="preserve">利益団体のイデオロギーのツールチップ
</t>
        </is>
      </c>
      <c r="E28" s="1" t="inlineStr">
        <is>
          <t xml:space="preserve">激しく / 強く（賛成・反対）
</t>
        </is>
      </c>
      <c r="F28" s="1" t="inlineStr">
        <is>
          <t xml:space="preserve">Very Strongly / Strongly
</t>
        </is>
      </c>
      <c r="G28" s="1" t="inlineStr">
        <is>
          <t xml:space="preserve">現在「激しく」と翻訳されているイデオロギーのツールチップを「強く」に変更
</t>
        </is>
      </c>
      <c r="H28" s="1" t="inlineStr">
        <is>
          <t xml:space="preserve">他の場所では Very Strongly を「激しく」、Strongly を「強く」と明確に訳し分けているのに、このツールチップだけ表記ゆれを起こしているため。
ParaTranzでStronglyを検索するとひと目で分かります。
</t>
        </is>
      </c>
      <c r="I28" s="1" t="inlineStr">
        <is>
          <t xml:space="preserve">1.0.3
</t>
        </is>
      </c>
      <c r="J28" s="1" t="inlineStr">
        <is>
          <t xml:space="preserve">- Victoria II Remastered Soundtrack
- American Buildings Pack
</t>
        </is>
      </c>
      <c r="K28" s="1" t="inlineStr">
        <is>
          <t xml:space="preserve">- 自作Mod多数
</t>
        </is>
      </c>
      <c r="L28" s="1" t="n"/>
      <c r="M28" s="1" t="n"/>
    </row>
    <row r="29" ht="90" customHeight="1">
      <c r="A29">
        <f>HYPERLINK("https://github.com/matanki-saito/vic3jpadvmod/issues/235",235)</f>
        <v/>
      </c>
      <c r="B29" s="1" t="inlineStr">
        <is>
          <t>【修正提案】イベント選択肢のツールチップ－補正の獲得</t>
        </is>
      </c>
      <c r="C29" s="1">
        <f>HYPERLINK("https://user-images.githubusercontent.com/42710893/199177030-81ef0cdf-158e-4771-8aa9-bfc225d4162e.jpg","screenshot")
</f>
        <v/>
      </c>
      <c r="D29" s="1" t="inlineStr">
        <is>
          <t xml:space="preserve">イベント選択肢のツールチップー補正の獲得文章
</t>
        </is>
      </c>
      <c r="E29" s="1" t="inlineStr">
        <is>
          <t xml:space="preserve">スクショの例だと
清はアヘン戦争の敗北（期間：19年の期間）を得ます。
</t>
        </is>
      </c>
      <c r="F29" s="1" t="inlineStr">
        <is>
          <t xml:space="preserve">ー
</t>
        </is>
      </c>
      <c r="G29" s="1" t="inlineStr">
        <is>
          <t xml:space="preserve">清はアヘン戦争の敗北（期間：19年）を得ます。
</t>
        </is>
      </c>
      <c r="H29" s="1" t="inlineStr">
        <is>
          <t xml:space="preserve">「期間」が重複しているため
</t>
        </is>
      </c>
      <c r="I29" s="1" t="inlineStr">
        <is>
          <t xml:space="preserve">1.0.3
</t>
        </is>
      </c>
      <c r="J29" s="1" t="inlineStr">
        <is>
          <t xml:space="preserve">なし
</t>
        </is>
      </c>
      <c r="K29" s="1" t="inlineStr">
        <is>
          <t xml:space="preserve">なし
</t>
        </is>
      </c>
      <c r="L29" s="1" t="n"/>
      <c r="M29" s="1" t="n"/>
    </row>
    <row r="30" ht="105" customHeight="1">
      <c r="A30">
        <f>HYPERLINK("https://github.com/matanki-saito/vic3jpadvmod/issues/232",232)</f>
        <v/>
      </c>
      <c r="B30" s="1" t="inlineStr">
        <is>
          <t>【修正提案】政治レンズ－利益団体のツールチップ</t>
        </is>
      </c>
      <c r="C30" s="1">
        <f>HYPERLINK("https://user-images.githubusercontent.com/42710893/199168305-5acd6e65-81ef-408d-89a1-df47f5a0de91.jpg","screenshot")
</f>
        <v/>
      </c>
      <c r="D30" s="1" t="inlineStr">
        <is>
          <t xml:space="preserve">政治レンズで利益団体マウスオーバー時のツールチップ
</t>
        </is>
      </c>
      <c r="E30" s="1" t="inlineStr">
        <is>
          <t xml:space="preserve">この利益団体はその影響力は20%以上ですにより、強力とみなされています。
POWERFUL_IG_DESC:0 "\nこの[concept_interest_group]は[INTEREST_GROUP.GetInfluenceReason]により、[concept_powerful]とみなされています"
</t>
        </is>
      </c>
      <c r="F30" s="1" t="inlineStr">
        <is>
          <t xml:space="preserve">POWERFUL_IG_DESC:0 "\nThis [concept_interest_group] is considered [concept_powerful] because [INTEREST_GROUP.GetInfluenceReason]"
</t>
        </is>
      </c>
      <c r="G30" s="1" t="inlineStr">
        <is>
          <t xml:space="preserve">この利益団体は影響力が20%以上であることで、強力とみなされています。　等
[INTEREST_GROUP.GetInfluenceReason]が呼んでいる部分の修正が必要
</t>
        </is>
      </c>
      <c r="H30" s="1" t="inlineStr">
        <is>
          <t xml:space="preserve">変数との接続部分が不自然なため
</t>
        </is>
      </c>
      <c r="I30" s="1" t="inlineStr">
        <is>
          <t xml:space="preserve">1.0.3
</t>
        </is>
      </c>
      <c r="J30" s="1" t="inlineStr">
        <is>
          <t xml:space="preserve">なし
</t>
        </is>
      </c>
      <c r="K30" s="1" t="inlineStr">
        <is>
          <t xml:space="preserve">なし
</t>
        </is>
      </c>
      <c r="L30" s="1" t="n"/>
      <c r="M30" s="1" t="n"/>
    </row>
    <row r="31" ht="90" customHeight="1">
      <c r="A31">
        <f>HYPERLINK("https://github.com/matanki-saito/vic3jpadvmod/issues/228",228)</f>
        <v/>
      </c>
      <c r="B31" s="1" t="inlineStr">
        <is>
          <t>【未訳】Employment</t>
        </is>
      </c>
      <c r="C31" s="1">
        <f>HYPERLINK("https://user-images.githubusercontent.com/29382778/199098984-485372d3-e1f8-443b-84fd-5e2b2868cc9c.png","screenshot")
</f>
        <v/>
      </c>
      <c r="D31" s="1" t="inlineStr">
        <is>
          <t xml:space="preserve">施設の雇用者数ツールチップ
</t>
        </is>
      </c>
      <c r="E31" s="1" t="inlineStr">
        <is>
          <t xml:space="preserve">Employment
</t>
        </is>
      </c>
      <c r="F31" s="1" t="inlineStr">
        <is>
          <t xml:space="preserve">[施設名] Employment
</t>
        </is>
      </c>
      <c r="G31" s="1" t="inlineStr">
        <is>
          <t xml:space="preserve">[施設名]の雇用状況
</t>
        </is>
      </c>
      <c r="H31" s="1" t="inlineStr">
        <is>
          <t xml:space="preserve">未訳のため。
</t>
        </is>
      </c>
      <c r="I31" s="1" t="inlineStr">
        <is>
          <t xml:space="preserve">1.0.3
</t>
        </is>
      </c>
      <c r="J31" s="1" t="inlineStr">
        <is>
          <t xml:space="preserve">なし
</t>
        </is>
      </c>
      <c r="K31" s="1" t="inlineStr">
        <is>
          <t xml:space="preserve">なし
</t>
        </is>
      </c>
      <c r="L31" s="1" t="n"/>
      <c r="M31" s="1" t="n"/>
    </row>
    <row r="32" ht="90" customHeight="1">
      <c r="A32">
        <f>HYPERLINK("https://github.com/matanki-saito/vic3jpadvmod/issues/225",225)</f>
        <v/>
      </c>
      <c r="B32" s="1" t="inlineStr">
        <is>
          <t>戦線の彼我の戦力ポップアップ</t>
        </is>
      </c>
      <c r="C32" s="1">
        <f>HYPERLINK("https://user-images.githubusercontent.com/37979626/199012380-067a1158-9e11-4a8b-8472-cd6664ab929d.png","screenshot")
</f>
        <v/>
      </c>
      <c r="D32" s="1" t="inlineStr">
        <is>
          <t xml:space="preserve">戦争中の戦線に関するポップアップ
</t>
        </is>
      </c>
      <c r="E32" s="1" t="inlineStr">
        <is>
          <t xml:space="preserve">我々は$US|v$ユニット、相手は$THEM|v$持っています
我々は$US|v0$の平均的攻撃/防御、相手は$THEM|v0$持っています
</t>
        </is>
      </c>
      <c r="F32" s="1" t="inlineStr">
        <is>
          <t xml:space="preserve">$TAB$We have $US|v$ Units, they have $THEM|v$
$TAB$We have $US|v0$ Average Offense/Defense, they have $THEM|v0$
</t>
        </is>
      </c>
      <c r="G32" s="1" t="inlineStr">
        <is>
          <t xml:space="preserve">$TAB$我々はユニットを$US|v$、相手は$THEM|v$有しています
$TAB$我々の平均攻撃力/防御力は$US|v0$、相手は$THEM|v0$あります
</t>
        </is>
      </c>
      <c r="H32" s="1" t="inlineStr">
        <is>
          <t xml:space="preserve">自然な表現にするため
</t>
        </is>
      </c>
      <c r="I32" s="1" t="inlineStr">
        <is>
          <t xml:space="preserve">1.0.1
</t>
        </is>
      </c>
      <c r="J32" s="1" t="inlineStr">
        <is>
          <t xml:space="preserve">なし
</t>
        </is>
      </c>
      <c r="K32" s="1" t="inlineStr">
        <is>
          <t xml:space="preserve">なし
</t>
        </is>
      </c>
      <c r="L32" s="1" t="n"/>
      <c r="M32" s="1" t="n"/>
    </row>
    <row r="33" ht="210" customHeight="1">
      <c r="A33">
        <f>HYPERLINK("https://github.com/matanki-saito/vic3jpadvmod/issues/218",218)</f>
        <v/>
      </c>
      <c r="B33" s="1" t="inlineStr">
        <is>
          <t>【文字数調整および校正提案】都市施設新規追加「5はShift+をクリック」</t>
        </is>
      </c>
      <c r="C33" s="1">
        <f>HYPERLINK("https://user-images.githubusercontent.com/29177147/198942285-e1be3aa4-032d-42f9-8b66-418db6cf491b.png","screenshot")
</f>
        <v/>
      </c>
      <c r="D33" s="1" t="inlineStr">
        <is>
          <t xml:space="preserve">都市施設を新規追加するリストから各施設をマウスオーバーした際のツールチップ
</t>
        </is>
      </c>
      <c r="E33" s="1" t="inlineStr">
        <is>
          <t xml:space="preserve">クリックで1レベルをキューに入れる、5はShift+をクリック、10はCtrl+をクリック
</t>
        </is>
      </c>
      <c r="F33" s="1" t="inlineStr">
        <is>
          <t xml:space="preserve">EXPAND_BUILDING_MODIFIERS_INSTRUCTIONS:2 "#instruction Click to queue 1 level, $SHORTCUT_KEY_MOD_shift$Click for $SHIFT_NUM_LEVELS$, $SHORTCUT_KEY_MOD_ctrl$Click for $CTRL_NUM_LEVELS$#!\n#instruction $SHORTCUT_KEY_MOD_alt$Click to queue at the top of the Construction Queue"
</t>
        </is>
      </c>
      <c r="G33" s="1" t="inlineStr">
        <is>
          <t xml:space="preserve">クリックで1レベル分をキューに入れる、Shift+クリックで5、Ctrl+クリックで10
Alt+クリックで建設キューの先頭に入れる
 EXPAND_BUILDING_MODIFIERS_INSTRUCTIONS:2 "#instruction クリックで1つ分をキューに入れる、$SHORTCUT_KEY_MOD_shift$クリックで$SHIFT_NUM_LEVELS$、$SHORTCUT_KEY_MOD_ctrl$クリックで$CTRL_NUM_LEVELS$#!\n
#instruction $SHORTCUT_KEY_MOD_alt$クリックで建設キューの先頭に入れる"
</t>
        </is>
      </c>
      <c r="H33" s="1" t="inlineStr">
        <is>
          <t xml:space="preserve">1行目の「ク」だけ改行されて具合悪いので文字数調整
ついでに校正も
</t>
        </is>
      </c>
      <c r="I33" s="1" t="inlineStr">
        <is>
          <t xml:space="preserve">1.0.3
</t>
        </is>
      </c>
      <c r="J33" s="1" t="inlineStr">
        <is>
          <t xml:space="preserve">なし
</t>
        </is>
      </c>
      <c r="K33" s="1" t="inlineStr">
        <is>
          <t xml:space="preserve">日本語改善MOD
Switch Languages
</t>
        </is>
      </c>
      <c r="L33" s="1" t="n"/>
      <c r="M33" s="1" t="n"/>
    </row>
    <row r="34" ht="90" customHeight="1">
      <c r="A34">
        <f>HYPERLINK("https://github.com/matanki-saito/vic3jpadvmod/issues/209",209)</f>
        <v/>
      </c>
      <c r="B34" s="1" t="inlineStr">
        <is>
          <t>【修正提案】稼働率の説明文「最大productive能力」</t>
        </is>
      </c>
      <c r="C34" s="1">
        <f>HYPERLINK("https://user-images.githubusercontent.com/29177147/198880535-fba6cb31-de0e-4e97-bf51-8b06a8ff65cf.png","screenshot")
</f>
        <v/>
      </c>
      <c r="D34" s="1" t="inlineStr">
        <is>
          <t xml:space="preserve">稼働率
</t>
        </is>
      </c>
      <c r="E34" s="1" t="inlineStr">
        <is>
          <t xml:space="preserve">最大productive能力
</t>
        </is>
      </c>
      <c r="F34" s="1" t="inlineStr">
        <is>
          <t xml:space="preserve">ファイル：concepts_l_japanese.yml
キー：concept_occupancy_desc:1
その最大[Concept('concept_good_production','Productive')]能力のうち
</t>
        </is>
      </c>
      <c r="G34" s="1" t="inlineStr">
        <is>
          <t xml:space="preserve">その最大[Concept('concept_good_production','生産')]能力のうち
</t>
        </is>
      </c>
      <c r="H34" s="1" t="inlineStr">
        <is>
          <t xml:space="preserve">未訳
</t>
        </is>
      </c>
      <c r="I34" s="1" t="inlineStr">
        <is>
          <t xml:space="preserve">1.0.3
</t>
        </is>
      </c>
      <c r="J34" s="1" t="inlineStr">
        <is>
          <t xml:space="preserve">なし
</t>
        </is>
      </c>
      <c r="K34" s="1" t="inlineStr">
        <is>
          <t xml:space="preserve">日本語改善MOD
Switch Languages
</t>
        </is>
      </c>
      <c r="L34" s="1" t="n"/>
      <c r="M34" s="1" t="n"/>
    </row>
    <row r="35" ht="330" customHeight="1">
      <c r="A35">
        <f>HYPERLINK("https://github.com/matanki-saito/vic3jpadvmod/issues/207",207)</f>
        <v/>
      </c>
      <c r="B35" s="1" t="inlineStr">
        <is>
          <t>【修正提案】○○の移住</t>
        </is>
      </c>
      <c r="C35" s="1">
        <f>HYPERLINK("https://user-images.githubusercontent.com/37979626/198877148-6b4028c8-feba-479c-87f7-7b662714e767.png","screenshot")
</f>
        <v/>
      </c>
      <c r="D35" s="1" t="inlineStr">
        <is>
          <t xml:space="preserve">移住に関するポップアップ画面
</t>
        </is>
      </c>
      <c r="E35" s="1" t="inlineStr">
        <is>
          <t xml:space="preserve">[SCOPE.GetRootScope.GetState.GetMassMigrationCulture.GetName]の移住
[SCOPE.GetRootScope.GetState.GetMassMigrationCulture.GetName]である人々の大多数が我が国の州である[SCOPE.GetRootScope.GetState.GetName]およびその近隣州に移住し始めています。
[SCOPE.GetRootScope.GetState.GetMassMigrationCulture.GetName]である人々の大多数が[SCOPE.GetRootScope.GetState.GetName]の州およびその近隣州に移住し始めています。
</t>
        </is>
      </c>
      <c r="F35" s="1" t="inlineStr">
        <is>
          <t xml:space="preserve">[SCOPE.GetRootScope.GetState.GetMassMigrationCulture.GetName] Migration
Large numbers of [SCOPE.GetRootScope.GetState.GetMassMigrationCulture.GetName] people have begun migrating to our state of [SCOPE.GetRootScope.GetState.GetName] and its surrounding states.
Large numbers of [SCOPE.GetRootScope.GetState.GetMassMigrationCulture.GetName] people have begun migrating to the state of [SCOPE.GetRootScope.GetState.GetName] and its surrounding states.
</t>
        </is>
      </c>
      <c r="G35" s="1" t="inlineStr">
        <is>
          <t xml:space="preserve">[SCOPE.GetRootScope.GetState.GetMassMigrationCulture.GetName]系移民
多くの[SCOPE.GetRootScope.GetState.GetMassMigrationCulture.GetName]系移民が我が国の[SCOPE.GetRootScope.GetState.GetName]州およびその近隣州に移住し始めています。
多くの[SCOPE.GetRootScope.GetState.GetMassMigrationCulture.GetName]系移民が[SCOPE.GetRootScope.GetState.GetName]州およびその近隣州に移住し始めています。
</t>
        </is>
      </c>
      <c r="H35" s="1" t="inlineStr">
        <is>
          <t xml:space="preserve">自然な日本語表現にするため
別地域のPOPが移ってくることからpeopleを「移民」と訳す
</t>
        </is>
      </c>
      <c r="I35" s="1" t="inlineStr">
        <is>
          <t xml:space="preserve">1.0.1
</t>
        </is>
      </c>
      <c r="J35" s="1" t="inlineStr">
        <is>
          <t xml:space="preserve">なし
</t>
        </is>
      </c>
      <c r="K35" s="1" t="inlineStr">
        <is>
          <t xml:space="preserve">なし
</t>
        </is>
      </c>
      <c r="L35" s="1" t="n"/>
      <c r="M35" s="1" t="n"/>
    </row>
    <row r="36" ht="495" customHeight="1">
      <c r="A36">
        <f>HYPERLINK("https://github.com/matanki-saito/vic3jpadvmod/issues/206",206)</f>
        <v/>
      </c>
      <c r="B36" s="1" t="inlineStr">
        <is>
          <t>【修正提案】課税キャパシティの説明文</t>
        </is>
      </c>
      <c r="C36" s="1">
        <f>HYPERLINK("https://user-images.githubusercontent.com/29177147/198869544-4407ab20-24c4-4534-a1f1-f427d81e3311.png","screenshot")
</f>
        <v/>
      </c>
      <c r="D36" s="1" t="inlineStr">
        <is>
          <t xml:space="preserve">課税キャパシティのツールチップ
</t>
        </is>
      </c>
      <c r="E36" s="1" t="inlineStr">
        <is>
          <t xml:space="preserve">州の課税キャパシティの各ポイントは、10.0k
POPの課税を効率化します。
（改行ママ
</t>
        </is>
      </c>
      <c r="F36" s="1" t="inlineStr">
        <is>
          <t xml:space="preserve">＞concepts_l_english.yml
concept_tax_capacity_desc:2 "Each point of Taxation Capacity in a [concept_state] allows for the efficient taxation of [GetDefine('NPops','INDIVIDUALS_TAXED_PER_TAX_CAPACITY')|vK] [Concept('concept_pop','$concept_pops$')]. If the population of a [concept_state] outgrows its Taxation Capacity, the efficiency of all forms of taxation will be reduced. Taxation Capacity can be increased through researching certain $SOCIETY$ $concept_technologies$ or constructing [SelectLocalization(GetPlayer.IsValid, 'concept_tax_capacity_desc_added','Government Administration')] [Concept('concept_building','$concept_buildings$')] in the [concept_state]."
</t>
        </is>
      </c>
      <c r="G36" s="1" t="inlineStr">
        <is>
          <t xml:space="preserve">州に設定されている課税キャパシティは、1ポイント毎に10.0kのPOPへの課税を効率化（or適正化）します。
[concept_state]の人口が課税キャパシティ以上に成長すると、すべての課税効率が下がります。
課税キャパシティを高める手段は、特定の$SOCIETY$$concept_technologies$の研究や、[concept_state]で[SelectLocalization(GetPlayer.IsValid, 'concept_tax_capacity_desc_added','Government Administration')][Concept('concept_building','$concept_buildings$')]の建設です。"
※課税キャパシティ以内に収めるのが当たり前のようなので、効率化（＋αなニュアンス）より適正化（100%にするニュアンス）
の方がふさわしいように思う。
※課税キャパシティを高める手段は他に、行政府施設での「製法」変更があるので、元文に追記される可能性あり。
</t>
        </is>
      </c>
      <c r="H36" s="1" t="inlineStr">
        <is>
          <t xml:space="preserve">半角スペースによる改行が入ったりして分かりづらい。
意味合いを取りやすく改訳。
</t>
        </is>
      </c>
      <c r="I36" s="1" t="inlineStr">
        <is>
          <t xml:space="preserve">1.0.3
</t>
        </is>
      </c>
      <c r="J36" s="1" t="inlineStr">
        <is>
          <t xml:space="preserve">なし
</t>
        </is>
      </c>
      <c r="K36" s="1" t="inlineStr">
        <is>
          <t xml:space="preserve">日本語改善MOD
</t>
        </is>
      </c>
      <c r="L36" s="1" t="n"/>
      <c r="M36" s="1" t="n"/>
    </row>
    <row r="37" ht="180" customHeight="1">
      <c r="A37">
        <f>HYPERLINK("https://github.com/matanki-saito/vic3jpadvmod/issues/196",196)</f>
        <v/>
      </c>
      <c r="B37" s="1" t="inlineStr">
        <is>
          <t>【修正提案】支持者と急進派のツールチップ</t>
        </is>
      </c>
      <c r="C37" s="1">
        <f>HYPERLINK("https://user-images.githubusercontent.com/42710893/198864438-2a118f0d-7961-49fb-bfae-fe0d860b8d15.jpg","screenshot")
=HYPERLINK("https://user-images.githubusercontent.com/42710893/198864443-e0ca880b-2d17-4b25-9ae9-ff2c53d7139d.jpg","screenshot")
</f>
        <v/>
      </c>
      <c r="D37" s="1" t="inlineStr">
        <is>
          <t xml:space="preserve">支持者と急進派のツールチップ
</t>
        </is>
      </c>
      <c r="E37" s="1" t="inlineStr">
        <is>
          <t xml:space="preserve">あなたは現在〇〇〇〇がいません
</t>
        </is>
      </c>
      <c r="F37" s="1" t="inlineStr">
        <is>
          <t xml:space="preserve">ー
</t>
        </is>
      </c>
      <c r="G37" s="1" t="inlineStr">
        <is>
          <t xml:space="preserve">現在○○○○はいません
</t>
        </is>
      </c>
      <c r="H37" s="1" t="inlineStr">
        <is>
          <t xml:space="preserve">あなたは　は不要と思われます
</t>
        </is>
      </c>
      <c r="I37" s="1" t="inlineStr">
        <is>
          <t xml:space="preserve">1.0.3
</t>
        </is>
      </c>
      <c r="J37" s="1" t="inlineStr">
        <is>
          <t xml:space="preserve">なし
</t>
        </is>
      </c>
      <c r="K37" s="1" t="inlineStr">
        <is>
          <t xml:space="preserve">なし
</t>
        </is>
      </c>
      <c r="L37" s="1" t="n"/>
      <c r="M37" s="1" t="n"/>
    </row>
    <row r="38" ht="180" customHeight="1">
      <c r="A38">
        <f>HYPERLINK("https://github.com/matanki-saito/vic3jpadvmod/issues/192",192)</f>
        <v/>
      </c>
      <c r="B38" s="1" t="inlineStr">
        <is>
          <t>【バグ】急進派および政府体制支持者ツールチップ</t>
        </is>
      </c>
      <c r="C38" s="1">
        <f>HYPERLINK("https://user-images.githubusercontent.com/29382778/198842704-e9b8a5c7-26fa-4e8c-b029-b4f76f360625.png","screenshot")
=HYPERLINK("https://user-images.githubusercontent.com/29382778/198842712-646a1391-9493-4014-a6ab-aedeef5c6535.png","screenshot")
</f>
        <v/>
      </c>
      <c r="D38" s="1" t="inlineStr">
        <is>
          <t xml:space="preserve">トップバーなどの「急進派」および「政府体制支持者」のツールチップ
</t>
        </is>
      </c>
      <c r="E38" s="1" t="inlineStr">
        <is>
          <t xml:space="preserve">「急進派の数は、[日時]」で不自然に途切れている
</t>
        </is>
      </c>
      <c r="F38" s="1" t="inlineStr">
        <is>
          <t xml:space="preserve">変数ばかりなので割愛
</t>
        </is>
      </c>
      <c r="G38" s="1" t="inlineStr">
        <is>
          <t xml:space="preserve">変数の取り扱い誤りを直して正しく表示されるようにしたい。修正後参考画像は下記。
=HYPERLINK("https://user-images.githubusercontent.com/29382778/198842780-3bccd439-c791-4142-9141-2dc716bce90c.png","screenshot")
</t>
        </is>
      </c>
      <c r="H38" s="1" t="inlineStr">
        <is>
          <t xml:space="preserve">変数取り扱いミスによるバグで正しく表示されていないため。
</t>
        </is>
      </c>
      <c r="I38" s="1" t="inlineStr">
        <is>
          <t xml:space="preserve">1.0.3
</t>
        </is>
      </c>
      <c r="J38" s="1" t="inlineStr">
        <is>
          <t xml:space="preserve">なし
</t>
        </is>
      </c>
      <c r="K38" s="1" t="inlineStr">
        <is>
          <t xml:space="preserve">なし
</t>
        </is>
      </c>
      <c r="L38" s="1" t="n"/>
      <c r="M38" s="1" t="n"/>
    </row>
    <row r="39" ht="675" customHeight="1">
      <c r="A39">
        <f>HYPERLINK("https://github.com/matanki-saito/vic3jpadvmod/issues/190",190)</f>
        <v/>
      </c>
      <c r="B39" s="1" t="inlineStr">
        <is>
          <t>【修正提案】お金 (ツールチップ)</t>
        </is>
      </c>
      <c r="C39" s="1">
        <f>HYPERLINK("https://user-images.githubusercontent.com/84853597/198835670-a590a235-04cb-4a7f-b138-4e52cd4f1dea.png","screenshot")
issue #157 から流用
</f>
        <v/>
      </c>
      <c r="D39" s="1" t="inlineStr">
        <is>
          <t xml:space="preserve">「お金」にマウスオンしたときに表示されるツールチップ(コンセプト)
</t>
        </is>
      </c>
      <c r="E39" s="1" t="inlineStr">
        <is>
          <t xml:space="preserve">お金は世界を動かしています。国家公務員の給金、官僚制の生産、建設資材、産業**界**の助成、貿易ルートの護衛、軍備などの支払いに使われます。POP**から**の課税と関税の**執行**によってお金を得ることができます。余ったお金は国庫で、債務の返済や、金保有高に金を備蓄するために使われます。お金が足りない場合は、債務が与信限度まで増えていきます。**これ**は、自国の施設の手元資金にどの程度のお金があるかによって決まります。
</t>
        </is>
      </c>
      <c r="F39" s="1" t="inlineStr">
        <is>
          <t xml:space="preserve">$concept_money$ makes the world go 'round. It is used to pay for [Concept('concept_government_wage','$concept_government_wages$')] and [concept_bureaucracy] production, [concept_construction] materials, **industry** [concept_subsidies], [concept_convoys] for your [Concept('concept_trade_route','$concept_trade_routes$')], _and last but probably not least_, your military. You gain $concept_money$ *by* [Concept('concept_taxes','$concept_taxing$')] your [Concept('concept_pop', '$concept_pops$')] and *enforcing* [concept_tariffs]. Excess $concept_money$ in your [concept_treasury] balance is used to pay off your [concept_loans] or stockpile gold in your [concept_gold_reserves]. Insufficient $concept_money$ increases your $concept_loans$ towards your [Concept('concept_credit','$concept_credit_limit$')], which is determined by how much $concept_money$ is in your $concept_buildings$' [concept_cash_reserves].
</t>
        </is>
      </c>
      <c r="G39" s="1" t="inlineStr">
        <is>
          <t xml:space="preserve">産業界の助成　→　産業の助成
POPからの課税　→　POPへの課税
関税の執行　→　関税の徴収
これは　→　与信限度は
また、訳されていない文節 "and last but probably not least" があり(斜体部)、これについて
「～貿易ルートの護衛などに使われ、そして最後にまだ資金が余っているときにのみ軍備にも使われます。」
あたりに変更しても良いかと思います
</t>
        </is>
      </c>
      <c r="H39" s="1" t="inlineStr">
        <is>
          <t xml:space="preserve">日本語の整合性のため:
産業界は産業の集合体であり、助成対象ではありません
課税は税を課すことであり、国家はPOPから課税されません
関税は税であり、税をenforceするなら(強制的な)徴収であろうと思います
分かりづらいため:
施設の手元資金と与信限度がリンクすることは私には非直感的だったので、「これ」では何を指しているのか不明瞭に思えたためです
</t>
        </is>
      </c>
      <c r="I39" s="1" t="inlineStr">
        <is>
          <t xml:space="preserve">1.0.3
</t>
        </is>
      </c>
      <c r="J39" s="1" t="inlineStr">
        <is>
          <t xml:space="preserve">なし
</t>
        </is>
      </c>
      <c r="K39" s="1" t="inlineStr">
        <is>
          <t xml:space="preserve">なし
</t>
        </is>
      </c>
      <c r="L39" s="1" t="n"/>
      <c r="M39" s="1" t="n"/>
    </row>
    <row r="40" ht="90" customHeight="1">
      <c r="A40">
        <f>HYPERLINK("https://github.com/matanki-saito/vic3jpadvmod/issues/181",181)</f>
        <v/>
      </c>
      <c r="B40" s="1" t="inlineStr">
        <is>
          <t>【未訳】Strata</t>
        </is>
      </c>
      <c r="C40" s="1">
        <f>HYPERLINK("https://user-images.githubusercontent.com/70930137/198825147-e08e193c-b8dd-49c6-80b4-7ca4e088a1c4.png","screenshot")
</f>
        <v/>
      </c>
      <c r="D40" s="1" t="inlineStr">
        <is>
          <t xml:space="preserve">ステートクリック時のUIでpopをマウスオーバーした際の表示
</t>
        </is>
      </c>
      <c r="E40" s="1" t="inlineStr">
        <is>
          <t xml:space="preserve">Strata
</t>
        </is>
      </c>
      <c r="F40" s="1" t="inlineStr">
        <is>
          <t xml:space="preserve">ー
</t>
        </is>
      </c>
      <c r="G40" s="1" t="inlineStr">
        <is>
          <t xml:space="preserve">階級
</t>
        </is>
      </c>
      <c r="H40" s="1" t="inlineStr">
        <is>
          <t xml:space="preserve">未訳のため
</t>
        </is>
      </c>
      <c r="I40" s="1" t="inlineStr">
        <is>
          <t xml:space="preserve">1.0.1
</t>
        </is>
      </c>
      <c r="J40" s="1" t="inlineStr">
        <is>
          <t xml:space="preserve">なし
</t>
        </is>
      </c>
      <c r="K40" s="1" t="inlineStr">
        <is>
          <t xml:space="preserve">なし
</t>
        </is>
      </c>
      <c r="L40" s="1" t="n"/>
      <c r="M40" s="1" t="n"/>
    </row>
    <row r="41" ht="90" customHeight="1">
      <c r="A41">
        <f>HYPERLINK("https://github.com/matanki-saito/vic3jpadvmod/issues/170",170)</f>
        <v/>
      </c>
      <c r="B41" s="1" t="inlineStr">
        <is>
          <t>【修正】の研究に必要</t>
        </is>
      </c>
      <c r="C41" s="1">
        <f>HYPERLINK("https://user-images.githubusercontent.com/46787431/198822598-35bd33bd-47d7-474a-a0bc-227f3c6c8b77.png","screenshot")
</f>
        <v/>
      </c>
      <c r="D41" s="1" t="inlineStr">
        <is>
          <t xml:space="preserve">研究残り時間
</t>
        </is>
      </c>
      <c r="E41" s="1" t="inlineStr">
        <is>
          <t xml:space="preserve">(時間)の研究に必要
</t>
        </is>
      </c>
      <c r="F41" s="1" t="inlineStr">
        <is>
          <t xml:space="preserve">(時間)研究に必要
</t>
        </is>
      </c>
      <c r="G41" s="1" t="inlineStr">
        <is>
          <t xml:space="preserve">「の」はいらない
</t>
        </is>
      </c>
      <c r="H41" s="1" t="inlineStr">
        <is>
          <t xml:space="preserve">（例）1.0.1
</t>
        </is>
      </c>
      <c r="I41" s="1" t="inlineStr">
        <is>
          <t xml:space="preserve">（例）なし
</t>
        </is>
      </c>
      <c r="J41" s="1" t="inlineStr">
        <is>
          <t xml:space="preserve">※できるだけMODのない状態で問題を確認してください。
（例）なし
</t>
        </is>
      </c>
      <c r="K41" s="1" t="n"/>
      <c r="L41" s="1" t="n"/>
      <c r="M41" s="1" t="n"/>
    </row>
    <row r="42" ht="675" customHeight="1">
      <c r="A42">
        <f>HYPERLINK("https://github.com/matanki-saito/vic3jpadvmod/issues/164",164)</f>
        <v/>
      </c>
      <c r="B42" s="1" t="inlineStr">
        <is>
          <t>【修正提案】建設のツールチップ</t>
        </is>
      </c>
      <c r="C42" s="1">
        <f>HYPERLINK("https://user-images.githubusercontent.com/46787431/198820741-7cb98c6a-1120-484f-8fdc-b030f6fb42ea.png","screenshot")
</f>
        <v/>
      </c>
      <c r="D42" s="1" t="inlineStr">
        <is>
          <t xml:space="preserve">建設
</t>
        </is>
      </c>
      <c r="E42" s="1" t="inlineStr">
        <is>
          <t xml:space="preserve">#header [Country.GetName][AddLocalizationIf(Country.IsConstructionPaused, '$CONSTRUCTION_IS_PAUSED$')]の[concept_construction]#!
$TOOLTIP_DELIMITER$
[Country.GetName]#v #tooltippable #tooltip:[Country.GetTooltipTag],CONSTRUCTION_SPEED_USED_TOOLTIP [GetPlayer.CalcUsedConstruction|2]を使用しています#!#!#!毎週[concept_construction]、#v #tooltippable #tooltip:[Country.GetTooltipTag],CONSTRUCTION_SPEED_BASE_TOOLTIP [Country.CalcBaseConstructionSpeed|2]#!#!#!毎週$concept_construction$を生産します。
#v #tooltippable #tooltip:[Country.GetTooltipTag],CONSTRUCTION_QUEUE_ACTIVE_PROJECTS [Country.GetNumActiveConstructionQueueElements]#!#!#! [concept_under_construction]と#v #tooltippable #tooltip:[Country.GetTooltipTag],CONSTRUCTION_QUEUE_INACTIVE_PROJECTS [Country.GetNumInactiveConstructionQueueElements]#!#!#!追加プロジェクトが[concept_construction_queue]に入っています
</t>
        </is>
      </c>
      <c r="F42" s="1" t="inlineStr">
        <is>
          <t xml:space="preserve">#header [concept_construction]#! in [Country.GetName][AddLocalizationIf(Country.IsConstructionPaused, '$CONSTRUCTION_IS_PAUSED$')]
$TOOLTIP_DELIMITER$
[Country.GetName] is using #v #tooltippable #tooltip:[Country.GetTooltipTag],CONSTRUCTION_SPEED_USED_TOOLTIP [GetPlayer.CalcUsedConstruction|2]#!#!#! [concept_construction] each week and produces a total of #v #tooltippable #tooltip:[Country.GetTooltipTag],CONSTRUCTION_SPEED_BASE_TOOLTIP [Country.CalcBaseConstructionSpeed|2]#!#!#! $concept_construction$ each week.
There are #v #tooltippable #tooltip:[Country.GetTooltipTag],CONSTRUCTION_QUEUE_ACTIVE_PROJECTS [Country.GetNumActiveConstructionQueueElements]#!#!#! project(s) [concept_under_construction] and #v #tooltippable #tooltip:[Country.GetTooltipTag],CONSTRUCTION_QUEUE_INACTIVE_PROJECTS [Country.GetNumInactiveConstructionQueueElements]#!#!#! additional projects queued in the [concept_construction_queue]
</t>
        </is>
      </c>
      <c r="G42" s="1" t="inlineStr">
        <is>
          <t xml:space="preserve">#header [Country.GetName][AddLocalizationIf(Country.IsConstructionPaused, '$CONSTRUCTION_IS_PAUSED$')]における[concept_construction]#!
$TOOLTIP_DELIMITER$
[Country.GetName]は #v #tooltippable #tooltip:[Country.GetTooltipTag],CONSTRUCTION_SPEED_USED_TOOLTIP [GetPlayer.CalcUsedConstruction|2] 使用しています。毎週#!#!#!#v #tooltippable #tooltip:[Country.GetTooltipTag],CONSTRUCTION_SPEED_BASE_TOOLTIP [Country.CalcBaseConstructionSpeed|2]#!#!#![concept_construction] を生産します。
#v #tooltippable #tooltip:[Country.GetTooltipTag],CONSTRUCTION_QUEUE_ACTIVE_PROJECTS [Country.GetNumActiveConstructionQueueElements]#!#!#! 件の事業が[concept_under_construction]、#v #tooltippable #tooltip:[Country.GetTooltipTag],CONSTRUCTION_QUEUE_INACTIVE_PROJECTS [Country.GetNumInactiveConstructionQueueElements]#!#!#! 件の事業が[concept_construction_queue]に入っています
表示例（願望）：
パラグアイにおける建設
ーーーーーーーーーーー
パラグアイは 0 使用しています。毎週 5 を生産します。
1 件の事業が建設中、5 件の事業が建設キューに入っています。
</t>
        </is>
      </c>
      <c r="H42" s="1" t="inlineStr">
        <is>
          <t xml:space="preserve">違和感
</t>
        </is>
      </c>
      <c r="I42" s="1" t="inlineStr">
        <is>
          <t xml:space="preserve">1.0.1
</t>
        </is>
      </c>
      <c r="J42" s="1" t="inlineStr">
        <is>
          <t xml:space="preserve">なし
</t>
        </is>
      </c>
      <c r="K42" s="1" t="inlineStr">
        <is>
          <t xml:space="preserve">※できるだけMODのない状態で問題を確認してください。
（例）なし
</t>
        </is>
      </c>
      <c r="L42" s="1" t="n"/>
      <c r="M42" s="1" t="n"/>
    </row>
    <row r="43" ht="90" customHeight="1">
      <c r="A43">
        <f>HYPERLINK("https://github.com/matanki-saito/vic3jpadvmod/issues/151",151)</f>
        <v/>
      </c>
      <c r="B43" s="1" t="inlineStr">
        <is>
          <t>【修正提案】原料不足のツールチップ</t>
        </is>
      </c>
      <c r="C43" s="1">
        <f>HYPERLINK("https://user-images.githubusercontent.com/42710893/198817845-cddd3f0c-48b4-406e-95cf-a64b1181a9ec.jpg","screenshot")
</f>
        <v/>
      </c>
      <c r="D43" s="1" t="inlineStr">
        <is>
          <t xml:space="preserve">原料不足アイコンをマウスオーバーした時のツールチップ
</t>
        </is>
      </c>
      <c r="E43" s="1" t="inlineStr">
        <is>
          <t xml:space="preserve">大砲の不足しているため…
</t>
        </is>
      </c>
      <c r="F43" s="1" t="inlineStr">
        <is>
          <t xml:space="preserve">大砲**が**不足しているため…　
</t>
        </is>
      </c>
      <c r="G43" s="1" t="inlineStr">
        <is>
          <t xml:space="preserve">日本語として不自然なため。
</t>
        </is>
      </c>
      <c r="H43" s="1" t="inlineStr">
        <is>
          <t xml:space="preserve">1.0.3
</t>
        </is>
      </c>
      <c r="I43" s="1" t="inlineStr">
        <is>
          <t xml:space="preserve">なし
</t>
        </is>
      </c>
      <c r="J43" s="1" t="inlineStr">
        <is>
          <t xml:space="preserve">なし
</t>
        </is>
      </c>
      <c r="K43" s="1" t="n"/>
      <c r="L43" s="1" t="n"/>
      <c r="M43" s="1" t="n"/>
    </row>
    <row r="44" ht="210" customHeight="1">
      <c r="A44">
        <f>HYPERLINK("https://github.com/matanki-saito/vic3jpadvmod/issues/122",122)</f>
        <v/>
      </c>
      <c r="B44" s="1" t="inlineStr">
        <is>
          <t>【修正提案】州画面の布告のツールチップ</t>
        </is>
      </c>
      <c r="C44" s="1">
        <f>HYPERLINK("https://user-images.githubusercontent.com/42710893/198592032-414be850-85d2-4be7-b768-00bf1597f876.jpg","screenshot")
</f>
        <v/>
      </c>
      <c r="D44" s="1" t="inlineStr">
        <is>
          <t xml:space="preserve">州画面の布告のツールチップ
</t>
        </is>
      </c>
      <c r="E44" s="1" t="inlineStr">
        <is>
          <t xml:space="preserve">`#header $NAME$[AddTextIf(State.IsValid,'で')][AddTextIf(State.IsValid,State.GetName)]#!発布[ConcatIfNeitherEmpty('\n','$ERRORS$')]\n$EFFECT$\n\n#title コスト: #! #tooltippable #tooltip:[GetRawTextTooltipTag('$BREAKDOWN$')] #variable $COST|0$#!#!#! $AUTHORITY$\n\n#lore $DESC$#! #`
</t>
        </is>
      </c>
      <c r="F44" s="1" t="inlineStr">
        <is>
          <t xml:space="preserve">`#header Issue $NAME$[AddTextIf(State.IsValid,' in ')][AddTextIf(State.IsValid,State.GetName)]#![ConcatIfNeitherEmpty('\n','$ERRORS$')]\n$EFFECT$\n\n#title Cost:#! #tooltippable #tooltip:[GetRawTextTooltipTag('$BREAKDOWN$')] #variable $COST|0$#!#!#! $AUTHORITY$\n\n#lore $DESC$#! #`
</t>
        </is>
      </c>
      <c r="G44" s="1" t="inlineStr">
        <is>
          <t xml:space="preserve">`#header $NAME$を[AddTextIf(State.IsValid,State.GetName)]#![AddTextIf(State.IsValid,'で')]発布[ConcatIfNeitherEmpty('\n','$ERRORS$')]\n$EFFECT$\n\n#title コスト: #! #tooltippable #tooltip:[GetRawTextTooltipTag('$BREAKDOWN$')] #variable $COST|0$#!#!#! $AUTHORITY$\n\n#lore $DESC$#! #`
</t>
        </is>
      </c>
      <c r="H44" s="1" t="inlineStr">
        <is>
          <t xml:space="preserve">日本語としておかしいため
</t>
        </is>
      </c>
      <c r="I44" s="1" t="inlineStr">
        <is>
          <t xml:space="preserve">1.0.3
</t>
        </is>
      </c>
      <c r="J44" s="1" t="inlineStr">
        <is>
          <t xml:space="preserve">なし
</t>
        </is>
      </c>
      <c r="K44" s="1" t="inlineStr">
        <is>
          <t xml:space="preserve">なし
</t>
        </is>
      </c>
      <c r="L44" s="1" t="n"/>
      <c r="M44" s="1" t="n"/>
    </row>
    <row r="45" ht="285" customHeight="1">
      <c r="A45">
        <f>HYPERLINK("https://github.com/matanki-saito/vic3jpadvmod/issues/117",117)</f>
        <v/>
      </c>
      <c r="B45" s="1" t="inlineStr">
        <is>
          <t>【修正提案】他国首都をマウスオーバーした時のツールチップ</t>
        </is>
      </c>
      <c r="C45" s="1">
        <f>HYPERLINK("https://user-images.githubusercontent.com/42710893/198545850-fc2b7c44-2d74-4626-b6b0-eef864bb1181.jpg","screenshot")
</f>
        <v/>
      </c>
      <c r="D45" s="1" t="inlineStr">
        <is>
          <t xml:space="preserve">他国の首都をマウスオーバーした時のツールチップ
</t>
        </is>
      </c>
      <c r="E45" s="1" t="inlineStr">
        <is>
          <t xml:space="preserve">"我が国に対する[STATE.GetCountry.GetAdjectiveNoFormatting] [concept_attitude]: #tooltippable #tooltip:[STATE.GetCountry.GetTooltipTag],COUNTRY_ATTITUDE_TOOLTIP [STATE.GetCountry.GetAttitudeTowards(GetPlayer.Self).GetName]#!#! (#tooltippable #tooltip:[STATE.GetCountry.GetTooltipTag],COUNTRY_ATTITUDE_SCORE_TOOLTIP [STATE.GetCountry.GetAttitudeTowards(GetPlayer.Self).CalcScore|+0]#!#!)"
</t>
        </is>
      </c>
      <c r="F45" s="1" t="inlineStr">
        <is>
          <t xml:space="preserve">ー
</t>
        </is>
      </c>
      <c r="G45" s="1" t="inlineStr">
        <is>
          <t xml:space="preserve">"我が国に対する[STATE.GetCountry.GetAdjectiveNoFormatting]**の**[concept_attitude]: #tooltippable #tooltip:[STATE.GetCountry.GetTooltipTag],COUNTRY_ATTITUDE_TOOLTIP [STATE.GetCountry.GetAttitudeTowards(GetPlayer.Self).GetName]#!#! (#tooltippable #tooltip:[STATE.GetCountry.GetTooltipTag],COUNTRY_ATTITUDE_SCORE_TOOLTIP [STATE.GetCountry.GetAttitudeTowards(GetPlayer.Self).CalcScore|+0]#!#!)"
</t>
        </is>
      </c>
      <c r="H45" s="1" t="inlineStr">
        <is>
          <t xml:space="preserve">日本語として不自然なため。
</t>
        </is>
      </c>
      <c r="I45" s="1" t="inlineStr">
        <is>
          <t xml:space="preserve">1.0.3
</t>
        </is>
      </c>
      <c r="J45" s="1" t="inlineStr">
        <is>
          <t xml:space="preserve">なし
</t>
        </is>
      </c>
      <c r="K45" s="1" t="inlineStr">
        <is>
          <t xml:space="preserve">なし
</t>
        </is>
      </c>
      <c r="L45" s="1" t="n"/>
      <c r="M45" s="1" t="n"/>
    </row>
    <row r="46" ht="405" customHeight="1">
      <c r="A46">
        <f>HYPERLINK("https://github.com/matanki-saito/vic3jpadvmod/issues/116",116)</f>
        <v/>
      </c>
      <c r="B46" s="1" t="inlineStr">
        <is>
          <t>「基本価格」のツールチップの説明文「物資が～」</t>
        </is>
      </c>
      <c r="C46" s="1">
        <f>HYPERLINK("https://user-images.githubusercontent.com/29177147/198524344-2c0bb211-c012-4cd6-95b2-b31db38b6e42.png","screenshot")
</f>
        <v/>
      </c>
      <c r="D46" s="1" t="inlineStr">
        <is>
          <t xml:space="preserve">各商品にある「基本価格」のツールチップ
</t>
        </is>
      </c>
      <c r="E46" s="1" t="inlineStr">
        <is>
          <t xml:space="preserve">物資が需要と完全に等しい時の商品の価格です
</t>
        </is>
      </c>
      <c r="F46" s="1" t="inlineStr">
        <is>
          <t xml:space="preserve"> concept_sell_orders_supply:0 "物資"
 concept_sell_orders_supply:0 "Supply"
※参考
 concept_base_price:0 "基本価格"
 concept_base_price_desc:1 "[Concept('concept_sell_orders','$concept_sell_orders_supply$')]が [Concept('concept_buy_orders','$concept_buy_orders_demand$')]と完全に等しい時の[concept_good]の価格です。"
 concept_base_price:0 "Base Price"
 concept_base_price_desc:1 "The price of a [concept_good] when its [Concept('concept_sell_orders','$concept_sell_orders_supply$')] exactly equal its [Concept('concept_buy_orders','$concept_buy_orders_demand$')]."
</t>
        </is>
      </c>
      <c r="G46" s="1" t="inlineStr">
        <is>
          <t xml:space="preserve">供給
</t>
        </is>
      </c>
      <c r="H46" s="1" t="inlineStr">
        <is>
          <t xml:space="preserve">市場での需給に関連した意味でのsupplyなので、「物資」でなく「供給」が適切
</t>
        </is>
      </c>
      <c r="I46" s="1" t="inlineStr">
        <is>
          <t xml:space="preserve">1.0.3
</t>
        </is>
      </c>
      <c r="J46" s="1" t="inlineStr">
        <is>
          <t xml:space="preserve">なし
</t>
        </is>
      </c>
      <c r="K46" s="1" t="inlineStr">
        <is>
          <t xml:space="preserve">なし
</t>
        </is>
      </c>
      <c r="L46" s="1" t="n"/>
      <c r="M46" s="1" t="n"/>
    </row>
    <row r="47" ht="285" customHeight="1">
      <c r="A47">
        <f>HYPERLINK("https://github.com/matanki-saito/vic3jpadvmod/issues/109",109)</f>
        <v/>
      </c>
      <c r="B47" s="1" t="inlineStr">
        <is>
          <t>建造物の生産性のテキストおよびツールチップ</t>
        </is>
      </c>
      <c r="C47" s="1">
        <f>HYPERLINK("https://user-images.githubusercontent.com/50406316/198485673-87f66035-70f9-443f-9567-98a93e6f682c.png","screenshot")
=HYPERLINK("https://user-images.githubusercontent.com/50406316/198485698-e3dc74be-720a-4af1-a367-9b7b6c61170e.png","screenshot")
=HYPERLINK("https://user-images.githubusercontent.com/50406316/198487215-f599de05-88d0-4f22-8045-725bec855469.png","screenshot")
</f>
        <v/>
      </c>
      <c r="D47" s="1" t="inlineStr">
        <is>
          <t xml:space="preserve">建造物の収益性順位の本文及びツールチップ
</t>
        </is>
      </c>
      <c r="E47" s="1" t="inlineStr">
        <is>
          <t xml:space="preserve">・本文
 BUILDING_RANK:0 "[Building.GetProfitabilityCompareIconInType] # #[Building.GetProfitabilityRankInType|v] [Building.GetBuildingType.GetNameNoFormatting]"
 BUILDING_RANK_WORLD:0 "世界の[Building.GetProfitabilityCompareIcon] # #[Building.GetProfitabilityRank|v] "
・ツールチップ
</t>
        </is>
      </c>
      <c r="F47" s="1" t="inlineStr">
        <is>
          <t xml:space="preserve">・本文
</t>
        </is>
      </c>
      <c r="G47" s="1" t="inlineStr">
        <is>
          <t xml:space="preserve">・ツールチップ
</t>
        </is>
      </c>
      <c r="H47" s="1" t="inlineStr">
        <is>
          <t xml:space="preserve">・本文
</t>
        </is>
      </c>
      <c r="I47" s="1" t="inlineStr">
        <is>
          <t xml:space="preserve">・ツールチップ
</t>
        </is>
      </c>
      <c r="J47" s="1" t="inlineStr">
        <is>
          <t xml:space="preserve">変数構造を把握していない翻訳ミスであるため
</t>
        </is>
      </c>
      <c r="K47" s="1" t="inlineStr">
        <is>
          <t xml:space="preserve">1.0.3
</t>
        </is>
      </c>
      <c r="L47" s="1" t="inlineStr">
        <is>
          <t xml:space="preserve">なし
</t>
        </is>
      </c>
      <c r="M47" s="1" t="inlineStr">
        <is>
          <t xml:space="preserve">なし
</t>
        </is>
      </c>
    </row>
    <row r="48" ht="90" customHeight="1">
      <c r="A48">
        <f>HYPERLINK("https://github.com/matanki-saito/vic3jpadvmod/issues/67",67)</f>
        <v/>
      </c>
      <c r="B48" s="1" t="inlineStr">
        <is>
          <t>【修正提案】動揺度が高い状態のサジェスチョン、ツールチップ</t>
        </is>
      </c>
      <c r="C48" s="1">
        <f>HYPERLINK("https://user-images.githubusercontent.com/43299334/198198633-1b314ccc-1a32-44c6-8592-f137fc64d30e.jpg","screenshot")
</f>
        <v/>
      </c>
      <c r="D48" s="1" t="inlineStr">
        <is>
          <t xml:space="preserve">サジェスチョン「州は動揺度状態です」のツールチップ
</t>
        </is>
      </c>
      <c r="E48" s="1" t="inlineStr">
        <is>
          <t xml:space="preserve">（州）は動揺度状態です
</t>
        </is>
      </c>
      <c r="F48" s="1" t="inlineStr">
        <is>
          <t xml:space="preserve">[SCOPE.GetRootScope.GetState.GetName] is in [concept_turmoil]
</t>
        </is>
      </c>
      <c r="G48" s="1" t="inlineStr">
        <is>
          <t xml:space="preserve">[SCOPE.GetRootScope.GetState.GetName]は[concept_turmoil]の高い状態です
</t>
        </is>
      </c>
      <c r="H48" s="1" t="inlineStr">
        <is>
          <t xml:space="preserve">日本語の文法として不自然なため。
動揺度の訳を変更しない場合は上記がよいと思われる。
サジェスチョンのタイトルにも同様の問題がある。
</t>
        </is>
      </c>
      <c r="I48" s="1" t="inlineStr">
        <is>
          <t xml:space="preserve">1.0.3
</t>
        </is>
      </c>
      <c r="J48" s="1" t="inlineStr">
        <is>
          <t xml:space="preserve">なし
</t>
        </is>
      </c>
      <c r="K48" s="1" t="inlineStr">
        <is>
          <t xml:space="preserve">なし
</t>
        </is>
      </c>
      <c r="L48" s="1" t="n"/>
      <c r="M48" s="1" t="n"/>
    </row>
    <row r="49" ht="90" customHeight="1">
      <c r="A49">
        <f>HYPERLINK("https://github.com/matanki-saito/vic3jpadvmod/issues/59",59)</f>
        <v/>
      </c>
      <c r="B49" s="1" t="inlineStr">
        <is>
          <t>【未訳】ツールチップ「主要文化」内のforms a different</t>
        </is>
      </c>
      <c r="C49" s="1">
        <f>HYPERLINK("https://user-images.githubusercontent.com/105610712/198168147-ea3e511b-b558-4d01-9f5d-173059820b05.jpg","screenshot")
</f>
        <v/>
      </c>
      <c r="D49" s="1" t="inlineStr">
        <is>
          <t xml:space="preserve">文化タブ内「主要文化」のツールチップ
</t>
        </is>
      </c>
      <c r="E49" s="1" t="inlineStr">
        <is>
          <t xml:space="preserve">forms a different
</t>
        </is>
      </c>
      <c r="F49" s="1" t="inlineStr">
        <is>
          <t xml:space="preserve">ー
</t>
        </is>
      </c>
      <c r="G49" s="1" t="inlineStr">
        <is>
          <t xml:space="preserve">国家の形成
</t>
        </is>
      </c>
      <c r="H49" s="1" t="inlineStr">
        <is>
          <t xml:space="preserve">forms a differentはツールチップとして「国家の形成」に翻訳されているのでそちらに合わせるべき
</t>
        </is>
      </c>
      <c r="I49" s="1" t="inlineStr">
        <is>
          <t xml:space="preserve">1.0.1
</t>
        </is>
      </c>
      <c r="J49" s="1" t="inlineStr">
        <is>
          <t xml:space="preserve">なし
</t>
        </is>
      </c>
      <c r="K49" s="1" t="inlineStr">
        <is>
          <t xml:space="preserve">なし
</t>
        </is>
      </c>
      <c r="L49" s="1" t="n"/>
      <c r="M49" s="1" t="n"/>
    </row>
    <row r="50" ht="90" customHeight="1">
      <c r="A50">
        <f>HYPERLINK("https://github.com/matanki-saito/vic3jpadvmod/issues/57",57)</f>
        <v/>
      </c>
      <c r="B50" s="1" t="inlineStr">
        <is>
          <t>【未訳】dictator</t>
        </is>
      </c>
      <c r="C50" s="1">
        <f>HYPERLINK("https://user-images.githubusercontent.com/84853597/198165799-1ac5ae0b-7953-4c85-b40b-988d9ca01383.png","screenshot")
</f>
        <v/>
      </c>
      <c r="D50" s="1" t="inlineStr">
        <is>
          <t xml:space="preserve">「軍事独裁制」のツールチップ
</t>
        </is>
      </c>
      <c r="E50" s="1" t="inlineStr">
        <is>
          <t xml:space="preserve">軍Dictatorが国を治める政府です。
軍[Concept('concept_ruler','Dictator')]が[concept_country]を治める[concept_government]です。
</t>
        </is>
      </c>
      <c r="F50" s="1" t="inlineStr">
        <is>
          <t xml:space="preserve">This is a [concept_government] where the [concept_country] is ruled by a military [Concept('concept_ruler','Dictator')].
</t>
        </is>
      </c>
      <c r="G50" s="1" t="inlineStr">
        <is>
          <t xml:space="preserve">2バイト文字をここに入れても問題ないのなら、軍[Concept('concept_ruler','Dictator')]→軍事[Concept('concept_ruler','独裁者')]
</t>
        </is>
      </c>
      <c r="H50" s="1" t="inlineStr">
        <is>
          <t xml:space="preserve">未訳のため
</t>
        </is>
      </c>
      <c r="I50" s="1" t="inlineStr">
        <is>
          <t xml:space="preserve">1.0.3
</t>
        </is>
      </c>
      <c r="J50" s="1" t="inlineStr">
        <is>
          <t xml:space="preserve">なし
</t>
        </is>
      </c>
      <c r="K50" s="1" t="inlineStr">
        <is>
          <t xml:space="preserve">なし
</t>
        </is>
      </c>
      <c r="L50" s="1" t="n"/>
      <c r="M50" s="1" t="n"/>
    </row>
    <row r="51" ht="90" customHeight="1">
      <c r="A51">
        <f>HYPERLINK("https://github.com/matanki-saito/vic3jpadvmod/issues/42",42)</f>
        <v/>
      </c>
      <c r="B51" s="1" t="inlineStr">
        <is>
          <t>【修正提案】施設画面のツールチップ</t>
        </is>
      </c>
      <c r="C51" s="1">
        <f>HYPERLINK("https://user-images.githubusercontent.com/42710893/198069209-f9589867-403f-49da-b7b8-a588dfc5517d.jpg","screenshot")
</f>
        <v/>
      </c>
      <c r="D51" s="1" t="inlineStr">
        <is>
          <t xml:space="preserve">施設画面の助成ツールチップ
</t>
        </is>
      </c>
      <c r="E51" s="1" t="inlineStr">
        <is>
          <t xml:space="preserve">この施設は助成中されていません
</t>
        </is>
      </c>
      <c r="F51" s="1" t="inlineStr">
        <is>
          <t xml:space="preserve">ー
</t>
        </is>
      </c>
      <c r="G51" s="1" t="inlineStr">
        <is>
          <t xml:space="preserve">この施設は助成されていません
</t>
        </is>
      </c>
      <c r="H51" s="1" t="inlineStr">
        <is>
          <t xml:space="preserve">日本語として不自然なため
</t>
        </is>
      </c>
      <c r="I51" s="1" t="inlineStr">
        <is>
          <t xml:space="preserve">1.0.3
</t>
        </is>
      </c>
      <c r="J51" s="1" t="inlineStr">
        <is>
          <t xml:space="preserve">なし
</t>
        </is>
      </c>
      <c r="K51" s="1" t="inlineStr">
        <is>
          <t xml:space="preserve">なし
</t>
        </is>
      </c>
      <c r="L51" s="1" t="n"/>
      <c r="M51" s="1" t="n"/>
    </row>
    <row r="52" ht="90" customHeight="1">
      <c r="A52">
        <f>HYPERLINK("https://github.com/matanki-saito/vic3jpadvmod/issues/31",31)</f>
        <v/>
      </c>
      <c r="B52" s="1" t="inlineStr">
        <is>
          <t>【未訳】interest</t>
        </is>
      </c>
      <c r="C52" s="1">
        <f>HYPERLINK("https://user-images.githubusercontent.com/61678668/197956988-235b321a-fd22-43ee-a957-e628b88c1a36.png","screenshot")
</f>
        <v/>
      </c>
      <c r="D52" s="1" t="inlineStr">
        <is>
          <t xml:space="preserve">国のモディファイアの貸付歩合
</t>
        </is>
      </c>
      <c r="E52" s="1" t="inlineStr">
        <is>
          <t xml:space="preserve">interest率
</t>
        </is>
      </c>
      <c r="F52" s="1" t="inlineStr">
        <is>
          <t xml:space="preserve">ー
</t>
        </is>
      </c>
      <c r="G52" s="1" t="inlineStr">
        <is>
          <t xml:space="preserve">利子率もしくは利率
</t>
        </is>
      </c>
      <c r="H52" s="1" t="inlineStr">
        <is>
          <t xml:space="preserve">未訳なんですが、interestにツールチップが付属しているので最善が分かりません。あとinterestのツールチップのタイトルも利益より利子の方がいいかもしれません。
</t>
        </is>
      </c>
      <c r="I52" s="1" t="inlineStr">
        <is>
          <t xml:space="preserve">1.0.3
</t>
        </is>
      </c>
      <c r="J52" s="1" t="inlineStr">
        <is>
          <t xml:space="preserve">Gland Edition付属
</t>
        </is>
      </c>
      <c r="K52" s="1" t="inlineStr">
        <is>
          <t xml:space="preserve">なし
</t>
        </is>
      </c>
      <c r="L52" s="1" t="n"/>
      <c r="M52" s="1" t="n"/>
    </row>
    <row r="53" ht="90" customHeight="1">
      <c r="A53">
        <f>HYPERLINK("https://github.com/matanki-saito/vic3jpadvmod/issues/30",30)</f>
        <v/>
      </c>
      <c r="B53" s="1" t="inlineStr">
        <is>
          <t>【修正提案】モディファイア</t>
        </is>
      </c>
      <c r="C53" s="1">
        <f>HYPERLINK("https://user-images.githubusercontent.com/61678668/197952691-a0d9104e-f214-4b92-a873-838c9f9c3e21.png","screenshot")
</f>
        <v/>
      </c>
      <c r="D53" s="1" t="inlineStr">
        <is>
          <t xml:space="preserve">海軍の軍艦にマウスオーバーしたところ
</t>
        </is>
      </c>
      <c r="E53" s="1" t="inlineStr">
        <is>
          <t xml:space="preserve">モディファイア
</t>
        </is>
      </c>
      <c r="F53" s="1" t="inlineStr">
        <is>
          <t xml:space="preserve">modifierと推測
</t>
        </is>
      </c>
      <c r="G53" s="1" t="inlineStr">
        <is>
          <t xml:space="preserve">補正
</t>
        </is>
      </c>
      <c r="H53" s="1" t="inlineStr">
        <is>
          <t xml:space="preserve">モディファイアと言われても正直分かりません。ググっても専門用語ばかり出てきます。
</t>
        </is>
      </c>
      <c r="I53" s="1" t="inlineStr">
        <is>
          <t xml:space="preserve">1.0.3
</t>
        </is>
      </c>
      <c r="J53" s="1" t="inlineStr">
        <is>
          <t xml:space="preserve">Grand Editon付属のもの
</t>
        </is>
      </c>
      <c r="K53" s="1" t="inlineStr">
        <is>
          <t xml:space="preserve">なし
</t>
        </is>
      </c>
      <c r="L53" s="1" t="n"/>
      <c r="M53" s="1" t="n"/>
    </row>
    <row r="54" ht="90" customHeight="1">
      <c r="A54">
        <f>HYPERLINK("https://github.com/matanki-saito/vic3jpadvmod/issues/29",29)</f>
        <v/>
      </c>
      <c r="B54" s="1" t="inlineStr">
        <is>
          <t>【未訳】currently</t>
        </is>
      </c>
      <c r="C54" s="1">
        <f>HYPERLINK("https://user-images.githubusercontent.com/61678668/197951310-c9ac511b-7dbb-4f03-8dfe-d272a417203b.png","screenshot")
</f>
        <v/>
      </c>
      <c r="D54" s="1" t="inlineStr">
        <is>
          <t xml:space="preserve">都市施設の建築
</t>
        </is>
      </c>
      <c r="E54" s="1" t="inlineStr">
        <is>
          <t xml:space="preserve">currently ￡1.65K
</t>
        </is>
      </c>
      <c r="F54" s="1" t="inlineStr">
        <is>
          <t xml:space="preserve">ー
</t>
        </is>
      </c>
      <c r="G54" s="1" t="inlineStr">
        <is>
          <t xml:space="preserve">現在 ￡1.65K
</t>
        </is>
      </c>
      <c r="H54" s="1" t="inlineStr">
        <is>
          <t xml:space="preserve">未翻訳
</t>
        </is>
      </c>
      <c r="I54" s="1" t="inlineStr">
        <is>
          <t xml:space="preserve">1.0.3
</t>
        </is>
      </c>
      <c r="J54" s="1" t="inlineStr">
        <is>
          <t xml:space="preserve">Grand Edition付属のもの
</t>
        </is>
      </c>
      <c r="K54" s="1" t="inlineStr">
        <is>
          <t xml:space="preserve">なし
</t>
        </is>
      </c>
      <c r="L54" s="1" t="n"/>
      <c r="M54" s="1" t="n"/>
    </row>
    <row r="55" ht="90" customHeight="1">
      <c r="A55">
        <f>HYPERLINK("https://github.com/matanki-saito/vic3jpadvmod/issues/28",28)</f>
        <v/>
      </c>
      <c r="B55" s="1" t="inlineStr">
        <is>
          <t>【typo】扶養者所得ツールチップ</t>
        </is>
      </c>
      <c r="C55" s="1">
        <f>HYPERLINK("https://user-images.githubusercontent.com/29382778/197838973-a4db8063-f3ac-43ee-9ae6-21434284d1d7.png","screenshot")
</f>
        <v/>
      </c>
      <c r="D55" s="1" t="inlineStr">
        <is>
          <t xml:space="preserve">扶養者所得のツールチップ
</t>
        </is>
      </c>
      <c r="E55" s="1" t="inlineStr">
        <is>
          <t xml:space="preserve">concept_dendents
</t>
        </is>
      </c>
      <c r="F55" s="1" t="inlineStr">
        <is>
          <t xml:space="preserve">concept_dendents
</t>
        </is>
      </c>
      <c r="G55" s="1" t="inlineStr">
        <is>
          <t xml:space="preserve">正しい変数に修正する
</t>
        </is>
      </c>
      <c r="H55" s="1" t="inlineStr">
        <is>
          <t xml:space="preserve">変数におそらくタイポがあるため
</t>
        </is>
      </c>
      <c r="I55" s="1" t="inlineStr">
        <is>
          <t xml:space="preserve">1.0.3
</t>
        </is>
      </c>
      <c r="J55" s="1" t="inlineStr">
        <is>
          <t xml:space="preserve">Victoria 3: Grand Edition同梱のもの
</t>
        </is>
      </c>
      <c r="K55" s="1" t="inlineStr">
        <is>
          <t xml:space="preserve">なし
</t>
        </is>
      </c>
      <c r="L55" s="1" t="n"/>
      <c r="M55" s="1" t="n"/>
    </row>
    <row r="56" ht="90" customHeight="1">
      <c r="A56">
        <f>HYPERLINK("https://github.com/matanki-saito/vic3jpadvmod/issues/27",27)</f>
        <v/>
      </c>
      <c r="B56" s="1" t="inlineStr">
        <is>
          <t>【typo】分権型国家のツールチップ</t>
        </is>
      </c>
      <c r="C56" s="1">
        <f>HYPERLINK("https://user-images.githubusercontent.com/29382778/197835600-4431bb4c-06c8-4439-abe2-03c169b4e6de.png","screenshot")
</f>
        <v/>
      </c>
      <c r="D56" s="1" t="inlineStr">
        <is>
          <t xml:space="preserve">「分権型国家」の説明ツールチップ
</t>
        </is>
      </c>
      <c r="E56" s="1" t="inlineStr">
        <is>
          <t xml:space="preserve">cconcept_diplomatic_play_negotiated
</t>
        </is>
      </c>
      <c r="F56" s="1" t="inlineStr">
        <is>
          <t xml:space="preserve">cconcept_diplomatic_play_negotiated
</t>
        </is>
      </c>
      <c r="G56" s="1" t="inlineStr">
        <is>
          <t xml:space="preserve">適切な変数を表記（この変数上のマウスオーバー自体は生きている）
</t>
        </is>
      </c>
      <c r="H56" s="1" t="inlineStr">
        <is>
          <t xml:space="preserve">typoによってキーが表示されてしまっている
</t>
        </is>
      </c>
      <c r="I56" s="1" t="inlineStr">
        <is>
          <t xml:space="preserve">1.0,3
</t>
        </is>
      </c>
      <c r="J56" s="1" t="inlineStr">
        <is>
          <t xml:space="preserve">Victoria 3: Grand Edition同梱のもの
</t>
        </is>
      </c>
      <c r="K56" s="1" t="inlineStr">
        <is>
          <t xml:space="preserve">なし
</t>
        </is>
      </c>
      <c r="L56" s="1" t="n"/>
      <c r="M56" s="1" t="n"/>
    </row>
    <row r="57" ht="90" customHeight="1">
      <c r="A57">
        <f>HYPERLINK("https://github.com/matanki-saito/vic3jpadvmod/issues/26",26)</f>
        <v/>
      </c>
      <c r="B57" s="1" t="inlineStr">
        <is>
          <t>【未訳】location</t>
        </is>
      </c>
      <c r="C57" s="1">
        <f>HYPERLINK("https://user-images.githubusercontent.com/29382778/197829850-ec88f9ce-1c0d-47a7-a68b-8cb3d1655b47.png","screenshot")
</f>
        <v/>
      </c>
      <c r="D57" s="1" t="inlineStr">
        <is>
          <t xml:space="preserve">将軍・提督のマウスオーバーツールチップ
</t>
        </is>
      </c>
      <c r="E57" s="1" t="inlineStr">
        <is>
          <t xml:space="preserve">location
</t>
        </is>
      </c>
      <c r="F57" s="1" t="inlineStr">
        <is>
          <t xml:space="preserve">location
</t>
        </is>
      </c>
      <c r="G57" s="1" t="inlineStr">
        <is>
          <t xml:space="preserve">現在地
</t>
        </is>
      </c>
      <c r="H57" s="1" t="inlineStr">
        <is>
          <t xml:space="preserve">未訳
</t>
        </is>
      </c>
      <c r="I57" s="1" t="inlineStr">
        <is>
          <t xml:space="preserve">1.0.3
</t>
        </is>
      </c>
      <c r="J57" s="1" t="inlineStr">
        <is>
          <t xml:space="preserve">（例）なし
</t>
        </is>
      </c>
      <c r="K57" s="1" t="inlineStr">
        <is>
          <t xml:space="preserve">Victoria 3: Grand Edition同梱のもの
</t>
        </is>
      </c>
      <c r="L57" s="1" t="n"/>
      <c r="M57" s="1" t="n"/>
    </row>
    <row r="58" ht="90" customHeight="1">
      <c r="A58">
        <f>HYPERLINK("https://github.com/matanki-saito/vic3jpadvmod/issues/25",25)</f>
        <v/>
      </c>
      <c r="B58" t="inlineStr">
        <is>
          <t>【未訳】Current</t>
        </is>
      </c>
      <c r="C58">
        <f>HYPERLINK("https://user-images.githubusercontent.com/29382778/197829042-d188afa0-8c90-4d1b-ab38-8a11892df4bb.png","screenshot")
</f>
        <v/>
      </c>
      <c r="D58" t="inlineStr">
        <is>
          <t xml:space="preserve">国家ランクのマウスオーバーツールチップ
</t>
        </is>
      </c>
      <c r="E58" t="inlineStr">
        <is>
          <t xml:space="preserve">Current
</t>
        </is>
      </c>
      <c r="F58" t="inlineStr">
        <is>
          <t xml:space="preserve">Current
</t>
        </is>
      </c>
      <c r="G58" t="inlineStr">
        <is>
          <t xml:space="preserve">現在（の）
</t>
        </is>
      </c>
      <c r="H58" t="inlineStr">
        <is>
          <t xml:space="preserve">未訳
</t>
        </is>
      </c>
      <c r="I58" t="inlineStr">
        <is>
          <t xml:space="preserve">1.0.3
</t>
        </is>
      </c>
      <c r="J58" t="inlineStr">
        <is>
          <t xml:space="preserve">Victoria 3: Grand Edition同梱のもの
</t>
        </is>
      </c>
      <c r="K58" t="inlineStr">
        <is>
          <t xml:space="preserve">なし
</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26"/>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s>
  <sheetData>
    <row r="1">
      <c r="A1" t="inlineStr">
        <is>
          <t>number</t>
        </is>
      </c>
      <c r="B1" t="inlineStr">
        <is>
          <t>title</t>
        </is>
      </c>
      <c r="C1" t="inlineStr">
        <is>
          <t xml:space="preserve"> スクリーンショット</t>
        </is>
      </c>
      <c r="D1" t="inlineStr">
        <is>
          <t xml:space="preserve"> 問題の固有名詞</t>
        </is>
      </c>
      <c r="E1" t="inlineStr">
        <is>
          <t xml:space="preserve"> 希望する変更</t>
        </is>
      </c>
      <c r="F1" t="inlineStr">
        <is>
          <t xml:space="preserve"> 変更の理由</t>
        </is>
      </c>
      <c r="G1" t="inlineStr">
        <is>
          <t xml:space="preserve"> ゲームバージョン</t>
        </is>
      </c>
      <c r="H1" t="inlineStr">
        <is>
          <t xml:space="preserve"> DLC有無</t>
        </is>
      </c>
      <c r="I1" t="inlineStr">
        <is>
          <t xml:space="preserve"> MOD有無</t>
        </is>
      </c>
    </row>
    <row r="2" ht="120" customHeight="1">
      <c r="A2">
        <f>HYPERLINK("https://github.com/matanki-saito/vic3jpadvmod/issues/389",389)</f>
        <v/>
      </c>
      <c r="B2" s="1" t="inlineStr">
        <is>
          <t>神を崇める会</t>
        </is>
      </c>
      <c r="C2" s="1">
        <f>HYPERLINK("https://user-images.githubusercontent.com/117251782/200341304-80b8f8a9-1de3-41a7-a96a-8c1468f0ed6a.png","screenshot")
</f>
        <v/>
      </c>
      <c r="D2" s="1" t="inlineStr">
        <is>
          <t xml:space="preserve">神を崇める会
</t>
        </is>
      </c>
      <c r="E2" s="1" t="inlineStr">
        <is>
          <t xml:space="preserve">拝上帝会
</t>
        </is>
      </c>
      <c r="F2" s="1" t="inlineStr">
        <is>
          <t xml:space="preserve">この「神を崇める会」が指すのは太平天国の前身組織である[拝上帝会](https://ja.wikipedia.org/wiki/%E6%8B%9D%E4%B8%8A%E5%B8%9D%E4%BC%9A)だと思われます
（中国語に設定すると「拜上帝会」と表示され、英語では拝上帝会の定訳である"God Worshipping Society"となります）
</t>
        </is>
      </c>
      <c r="G2" s="1" t="inlineStr">
        <is>
          <t xml:space="preserve">1.0.5
</t>
        </is>
      </c>
      <c r="H2" s="1" t="inlineStr">
        <is>
          <t xml:space="preserve">なし
</t>
        </is>
      </c>
      <c r="I2" s="1" t="inlineStr">
        <is>
          <t xml:space="preserve">※できるだけMODのない状態で問題を確認してください。
本プロジェクトMODのみ
</t>
        </is>
      </c>
    </row>
    <row r="3" ht="15" customHeight="1">
      <c r="A3">
        <f>HYPERLINK("https://github.com/matanki-saito/vic3jpadvmod/issues/370",370)</f>
        <v/>
      </c>
      <c r="B3" s="1" t="inlineStr">
        <is>
          <t>コミュニストのマニフェスト</t>
        </is>
      </c>
      <c r="C3" s="1" t="inlineStr">
        <is>
          <t xml:space="preserve">なし
</t>
        </is>
      </c>
      <c r="D3" s="1" t="inlineStr">
        <is>
          <t xml:space="preserve">コミュニストのマニフェスト
</t>
        </is>
      </c>
      <c r="E3" s="1" t="inlineStr">
        <is>
          <t xml:space="preserve">共産主義者宣言
</t>
        </is>
      </c>
      <c r="F3" s="1" t="inlineStr">
        <is>
          <t xml:space="preserve">日本語では一般的ではない表記のため。
</t>
        </is>
      </c>
      <c r="G3" s="1" t="inlineStr">
        <is>
          <t xml:space="preserve">1.0.5
</t>
        </is>
      </c>
      <c r="H3" s="1" t="inlineStr">
        <is>
          <t xml:space="preserve">なし
</t>
        </is>
      </c>
      <c r="I3" s="1" t="inlineStr">
        <is>
          <t xml:space="preserve">日本語改善MOD
</t>
        </is>
      </c>
    </row>
    <row r="4" ht="90" customHeight="1">
      <c r="A4">
        <f>HYPERLINK("https://github.com/matanki-saito/vic3jpadvmod/issues/356",356)</f>
        <v/>
      </c>
      <c r="B4" s="1" t="inlineStr">
        <is>
          <t>【修正提案】神権政イタリアの国名</t>
        </is>
      </c>
      <c r="C4" s="1">
        <f>HYPERLINK("https://user-images.githubusercontent.com/74766009/200119919-ce747b32-dab5-4f2a-a998-7f2280bce5fe.png","screenshot")
</f>
        <v/>
      </c>
      <c r="D4" s="1" t="inlineStr">
        <is>
          <t xml:space="preserve">天国
</t>
        </is>
      </c>
      <c r="E4" s="1" t="inlineStr">
        <is>
          <t xml:space="preserve">神の王国
</t>
        </is>
      </c>
      <c r="F4" s="1" t="inlineStr">
        <is>
          <t xml:space="preserve">国名として天国を用いるのは不自然なため。
また、EU4の同様の国家の国名として神の王国が用いられているため。
</t>
        </is>
      </c>
      <c r="G4" s="1" t="inlineStr">
        <is>
          <t xml:space="preserve">（例）1.0.5
</t>
        </is>
      </c>
      <c r="H4" s="1" t="inlineStr">
        <is>
          <t xml:space="preserve">American Building Pack
Expansion Pass
VictoriaII Remastered Songs
</t>
        </is>
      </c>
      <c r="I4" s="1" t="inlineStr">
        <is>
          <t xml:space="preserve">Universal Names + Historical Figures
JapaneseLanguageAdvancedMod
日本語フォント置き換えMODテスト版
</t>
        </is>
      </c>
    </row>
    <row r="5" ht="90" customHeight="1">
      <c r="A5">
        <f>HYPERLINK("https://github.com/matanki-saito/vic3jpadvmod/issues/336",336)</f>
        <v/>
      </c>
      <c r="B5" s="1" t="inlineStr">
        <is>
          <t>都市-州→都市国家</t>
        </is>
      </c>
      <c r="C5" s="1">
        <f>HYPERLINK("https://user-images.githubusercontent.com/37979626/199987261-0f6bb9e9-65cb-4a87-ba30-c77e0f870a17.png","screenshot")
</f>
        <v/>
      </c>
      <c r="D5" s="1" t="inlineStr">
        <is>
          <t xml:space="preserve">都市-州
</t>
        </is>
      </c>
      <c r="E5" s="1" t="inlineStr">
        <is>
          <t xml:space="preserve">都市国家
</t>
        </is>
      </c>
      <c r="F5" s="1" t="inlineStr">
        <is>
          <t xml:space="preserve">誤訳
</t>
        </is>
      </c>
      <c r="G5" s="1" t="inlineStr">
        <is>
          <t xml:space="preserve">1.0.4
</t>
        </is>
      </c>
      <c r="H5" s="1" t="inlineStr">
        <is>
          <t xml:space="preserve">無し
</t>
        </is>
      </c>
      <c r="I5" s="1" t="inlineStr">
        <is>
          <t xml:space="preserve">なし
</t>
        </is>
      </c>
    </row>
    <row r="6" ht="165" customHeight="1">
      <c r="A6">
        <f>HYPERLINK("https://github.com/matanki-saito/vic3jpadvmod/issues/331",331)</f>
        <v/>
      </c>
      <c r="B6" s="1" t="inlineStr">
        <is>
          <t>【修正提案】シャン州 (ステート)</t>
        </is>
      </c>
      <c r="C6" s="1" t="inlineStr">
        <is>
          <t xml:space="preserve">なし
</t>
        </is>
      </c>
      <c r="D6" s="1" t="inlineStr">
        <is>
          <t xml:space="preserve">シャン州
</t>
        </is>
      </c>
      <c r="E6" s="1" t="inlineStr">
        <is>
          <t xml:space="preserve">シャン諸国
</t>
        </is>
      </c>
      <c r="F6" s="1" t="inlineStr">
        <is>
          <t xml:space="preserve">このゲームではパラドゲーで慣例的に「ステート」と呼ばれてきた地域区分が「州」に変わっているため、〇〇州という訳はふさわしくない。
また、原文のStatesは、この地域の小さな諸王権(ムアン)を表しているものなので、この"State"の意味は「州」ではなく「国家」が適当である。その点で誤訳である。
できればこの国家という意味を訳語に反映させたいので、「シャン諸国」という訳語を提案したい。
他の案として、シャン諸王権、シャン諸侯、あるいは単にシャンとすることも考えられる。
</t>
        </is>
      </c>
      <c r="G6" s="1" t="inlineStr">
        <is>
          <t xml:space="preserve">1.0.4
</t>
        </is>
      </c>
      <c r="H6" s="1" t="inlineStr">
        <is>
          <t xml:space="preserve">なし
</t>
        </is>
      </c>
      <c r="I6" s="1" t="inlineStr">
        <is>
          <t xml:space="preserve">なし
</t>
        </is>
      </c>
    </row>
    <row r="7" ht="195" customHeight="1">
      <c r="A7">
        <f>HYPERLINK("https://github.com/matanki-saito/vic3jpadvmod/issues/308",308)</f>
        <v/>
      </c>
      <c r="B7" s="1" t="inlineStr">
        <is>
          <t>クリー・アシンボイニ（「鉄の連合」の別称）</t>
        </is>
      </c>
      <c r="C7" s="1">
        <f>HYPERLINK("https://user-images.githubusercontent.com/117251782/199662934-900d1065-6134-445c-bc16-bea9e1de04cc.png","screenshot")
=HYPERLINK("https://user-images.githubusercontent.com/117251782/199662961-695f2d0d-9f78-4f7e-8fd2-05c6c9fd1c67.png","screenshot")
</f>
        <v/>
      </c>
      <c r="D7" s="1" t="inlineStr">
        <is>
          <t xml:space="preserve">クリー・アシンボイニ
</t>
        </is>
      </c>
      <c r="E7" s="1" t="inlineStr">
        <is>
          <t xml:space="preserve">クリー・アシニボイン
</t>
        </is>
      </c>
      <c r="F7" s="1" t="inlineStr">
        <is>
          <t xml:space="preserve">誤字
（参考）https://ja.wikipedia.org/wiki/%E3%82%A2%E3%82%B7%E3%83%8B%E3%83%9C%E3%82%A4%E3%83%B3
</t>
        </is>
      </c>
      <c r="G7" s="1" t="inlineStr">
        <is>
          <t xml:space="preserve">1.0.4
</t>
        </is>
      </c>
      <c r="H7" s="1" t="inlineStr">
        <is>
          <t xml:space="preserve">なし
</t>
        </is>
      </c>
      <c r="I7" s="1" t="inlineStr">
        <is>
          <t xml:space="preserve">なし
</t>
        </is>
      </c>
    </row>
    <row r="8" ht="15" customHeight="1">
      <c r="A8">
        <f>HYPERLINK("https://github.com/matanki-saito/vic3jpadvmod/issues/302",302)</f>
        <v/>
      </c>
      <c r="B8" s="1" t="inlineStr">
        <is>
          <t>コミュニスト</t>
        </is>
      </c>
      <c r="C8" s="1" t="inlineStr">
        <is>
          <t xml:space="preserve">なし
</t>
        </is>
      </c>
      <c r="D8" s="1" t="inlineStr">
        <is>
          <t xml:space="preserve">コミュニスト
</t>
        </is>
      </c>
      <c r="E8" s="1" t="inlineStr">
        <is>
          <t xml:space="preserve">共産主義者/共産主義
</t>
        </is>
      </c>
      <c r="F8" s="1" t="inlineStr">
        <is>
          <t xml:space="preserve">「共産主義」と表記揺れを起こしているため、より馴染み深い方にする。
</t>
        </is>
      </c>
      <c r="G8" s="1" t="inlineStr">
        <is>
          <t xml:space="preserve">1.0.4
</t>
        </is>
      </c>
      <c r="H8" s="1" t="inlineStr">
        <is>
          <t xml:space="preserve">なし
</t>
        </is>
      </c>
      <c r="I8" s="1" t="inlineStr">
        <is>
          <t xml:space="preserve">日本語修正MOD
</t>
        </is>
      </c>
    </row>
    <row r="9" ht="90" customHeight="1">
      <c r="A9">
        <f>HYPERLINK("https://github.com/matanki-saito/vic3jpadvmod/issues/298",298)</f>
        <v/>
      </c>
      <c r="B9" s="1" t="inlineStr">
        <is>
          <t>【修正提案】ジーランド</t>
        </is>
      </c>
      <c r="C9" s="1">
        <f>HYPERLINK("https://user-images.githubusercontent.com/117307322/199567733-00091d8c-9ef2-4913-920d-3ac88eb84b8f.jpg","screenshot")
</f>
        <v/>
      </c>
      <c r="D9" s="1" t="inlineStr">
        <is>
          <t xml:space="preserve">ジーランド
</t>
        </is>
      </c>
      <c r="E9" s="1" t="inlineStr">
        <is>
          <t xml:space="preserve">シェラン
</t>
        </is>
      </c>
      <c r="F9" s="1" t="inlineStr">
        <is>
          <t xml:space="preserve">画像でジーランドとされている地域は日本語では「シェラン」が最も一般的な名称であるため
</t>
        </is>
      </c>
      <c r="G9" s="1" t="inlineStr">
        <is>
          <t xml:space="preserve">1.0.4
</t>
        </is>
      </c>
      <c r="H9" s="1" t="inlineStr">
        <is>
          <t xml:space="preserve">American Building Pack
VictoriaⅡRemastered Songs
</t>
        </is>
      </c>
      <c r="I9" s="1" t="inlineStr">
        <is>
          <t xml:space="preserve">なし
</t>
        </is>
      </c>
    </row>
    <row r="10" ht="90" customHeight="1">
      <c r="A10">
        <f>HYPERLINK("https://github.com/matanki-saito/vic3jpadvmod/issues/290",290)</f>
        <v/>
      </c>
      <c r="B10" s="1" t="inlineStr">
        <is>
          <t>【修正】ローワー・カナダ</t>
        </is>
      </c>
      <c r="C10" s="1">
        <f>HYPERLINK("https://user-images.githubusercontent.com/29382778/199530130-40849af8-5785-4b20-bd51-9e26fd8911db.png","screenshot")
</f>
        <v/>
      </c>
      <c r="D10" s="1" t="inlineStr">
        <is>
          <t xml:space="preserve">[全角スペース]ローワー・カナダ
</t>
        </is>
      </c>
      <c r="E10" s="1" t="inlineStr">
        <is>
          <t xml:space="preserve">ローワー・カナダ
</t>
        </is>
      </c>
      <c r="F10" s="1" t="inlineStr">
        <is>
          <t xml:space="preserve">不必要な全角スペースが国名の頭に入っているため
</t>
        </is>
      </c>
      <c r="G10" s="1" t="inlineStr">
        <is>
          <t xml:space="preserve">1.0.4
</t>
        </is>
      </c>
      <c r="H10" s="1" t="inlineStr">
        <is>
          <t xml:space="preserve">不明
</t>
        </is>
      </c>
      <c r="I10" s="1" t="inlineStr">
        <is>
          <t xml:space="preserve">不明
</t>
        </is>
      </c>
    </row>
    <row r="11" ht="90" customHeight="1">
      <c r="A11">
        <f>HYPERLINK("https://github.com/matanki-saito/vic3jpadvmod/issues/287",287)</f>
        <v/>
      </c>
      <c r="B11" s="1" t="inlineStr">
        <is>
          <t>港の基礎方式　停泊→停泊地</t>
        </is>
      </c>
      <c r="C11" s="1">
        <f>HYPERLINK("https://user-images.githubusercontent.com/37979626/199524593-ff2e1cab-df6a-4ab7-ab8f-8f16a35b214e.png","screenshot")
</f>
        <v/>
      </c>
      <c r="D11" s="1" t="inlineStr">
        <is>
          <t xml:space="preserve">停泊
</t>
        </is>
      </c>
      <c r="E11" s="1" t="inlineStr">
        <is>
          <t xml:space="preserve">停泊地
</t>
        </is>
      </c>
      <c r="F11" s="1" t="inlineStr">
        <is>
          <t xml:space="preserve">場所を指すのであれば「地」を付けるべき
</t>
        </is>
      </c>
      <c r="G11" s="1" t="inlineStr">
        <is>
          <t xml:space="preserve">1.0.1
</t>
        </is>
      </c>
      <c r="H11" s="1" t="inlineStr">
        <is>
          <t xml:space="preserve">なし
</t>
        </is>
      </c>
      <c r="I11" s="1" t="inlineStr">
        <is>
          <t xml:space="preserve">なし
</t>
        </is>
      </c>
    </row>
    <row r="12" ht="90" customHeight="1">
      <c r="A12">
        <f>HYPERLINK("https://github.com/matanki-saito/vic3jpadvmod/issues/270",270)</f>
        <v/>
      </c>
      <c r="B12" s="1" t="inlineStr">
        <is>
          <t>マレーシア文化</t>
        </is>
      </c>
      <c r="C12" s="1">
        <f>HYPERLINK("https://user-images.githubusercontent.com/117251782/199408126-10d1b193-183f-4caf-9b8b-f3b5fee03fc1.png","screenshot")
</f>
        <v/>
      </c>
      <c r="D12" s="1" t="inlineStr">
        <is>
          <t xml:space="preserve">マレーシア
</t>
        </is>
      </c>
      <c r="E12" s="1" t="inlineStr">
        <is>
          <t xml:space="preserve">メラネシア
</t>
        </is>
      </c>
      <c r="F12" s="1" t="inlineStr">
        <is>
          <t xml:space="preserve">ツールチップの説明から明らかにメラネシア文化を指しており、英語でもMelanesianとなっている
</t>
        </is>
      </c>
      <c r="G12" s="1" t="inlineStr">
        <is>
          <t xml:space="preserve">1.0.3
</t>
        </is>
      </c>
      <c r="H12" s="1" t="inlineStr">
        <is>
          <t xml:space="preserve">なし
</t>
        </is>
      </c>
      <c r="I12" s="1" t="inlineStr">
        <is>
          <t xml:space="preserve">なし
</t>
        </is>
      </c>
    </row>
    <row r="13" ht="90" customHeight="1">
      <c r="A13">
        <f>HYPERLINK("https://github.com/matanki-saito/vic3jpadvmod/issues/204",204)</f>
        <v/>
      </c>
      <c r="B13" s="1" t="inlineStr">
        <is>
          <t>同地域を複数の国家が領有している際の地名表記</t>
        </is>
      </c>
      <c r="C13" s="1">
        <f>HYPERLINK("https://user-images.githubusercontent.com/37979626/198872517-d8e66b52-31e2-48b5-89a9-055ac8247e72.png","screenshot")
</f>
        <v/>
      </c>
      <c r="D13" s="1" t="inlineStr">
        <is>
          <t xml:space="preserve">$OWNER$ $REGION$
</t>
        </is>
      </c>
      <c r="E13" s="1" t="inlineStr">
        <is>
          <t xml:space="preserve">$OWNER$領$REGION$
</t>
        </is>
      </c>
      <c r="F13" s="1" t="inlineStr">
        <is>
          <t xml:space="preserve">分かりにくいため
</t>
        </is>
      </c>
      <c r="G13" s="1" t="inlineStr">
        <is>
          <t xml:space="preserve">1.0.1
</t>
        </is>
      </c>
      <c r="H13" s="1" t="inlineStr">
        <is>
          <t xml:space="preserve">なし
</t>
        </is>
      </c>
      <c r="I13" s="1" t="inlineStr">
        <is>
          <t xml:space="preserve">なし
</t>
        </is>
      </c>
    </row>
    <row r="14" ht="90" customHeight="1">
      <c r="A14">
        <f>HYPERLINK("https://github.com/matanki-saito/vic3jpadvmod/issues/156",156)</f>
        <v/>
      </c>
      <c r="B14" s="1" t="inlineStr">
        <is>
          <t>【修正提案】母艦　Carriers</t>
        </is>
      </c>
      <c r="C14" s="1">
        <f>HYPERLINK("https://user-images.githubusercontent.com/37979626/198819081-a5a0a461-b261-4ded-b98e-c8d470af15f3.png","screenshot")
</f>
        <v/>
      </c>
      <c r="D14" s="1" t="inlineStr">
        <is>
          <t xml:space="preserve">母艦
</t>
        </is>
      </c>
      <c r="E14" s="1" t="inlineStr">
        <is>
          <t xml:space="preserve">空母
</t>
        </is>
      </c>
      <c r="F14" s="1" t="inlineStr">
        <is>
          <t xml:space="preserve">誤訳
</t>
        </is>
      </c>
      <c r="G14" s="1" t="inlineStr">
        <is>
          <t xml:space="preserve">1.0.1
</t>
        </is>
      </c>
      <c r="H14" s="1" t="inlineStr">
        <is>
          <t xml:space="preserve">なし
</t>
        </is>
      </c>
      <c r="I14" s="1" t="inlineStr">
        <is>
          <t xml:space="preserve">なし
</t>
        </is>
      </c>
    </row>
    <row r="15" ht="90" customHeight="1">
      <c r="A15">
        <f>HYPERLINK("https://github.com/matanki-saito/vic3jpadvmod/issues/112",112)</f>
        <v/>
      </c>
      <c r="B15" s="1" t="inlineStr">
        <is>
          <t>Columbia District</t>
        </is>
      </c>
      <c r="C15" s="1">
        <f>HYPERLINK("https://user-images.githubusercontent.com/50406316/198504337-573ace5c-2173-4f40-a48c-103ff33bfa48.png","screenshot")
</f>
        <v/>
      </c>
      <c r="D15" s="1" t="inlineStr">
        <is>
          <t xml:space="preserve">コロンビア特別区
</t>
        </is>
      </c>
      <c r="E15" s="1" t="inlineStr">
        <is>
          <t xml:space="preserve">コロンビア地区
</t>
        </is>
      </c>
      <c r="F15" s="1" t="inlineStr">
        <is>
          <t xml:space="preserve">USAの首都ではなく、当時の英領北米における未編入地の名称のこと。
https://en.wikipedia.org/wiki/Columbia_District
定訳があるわけではないが、首都の特別区ではないので、単純に地区と訳すほうがいいと思います。
</t>
        </is>
      </c>
      <c r="G15" s="1" t="inlineStr">
        <is>
          <t xml:space="preserve">1.0.3
</t>
        </is>
      </c>
      <c r="H15" s="1" t="inlineStr">
        <is>
          <t xml:space="preserve">なし
</t>
        </is>
      </c>
      <c r="I15" s="1" t="inlineStr">
        <is>
          <t xml:space="preserve">なし
</t>
        </is>
      </c>
    </row>
    <row r="16" ht="90" customHeight="1">
      <c r="A16">
        <f>HYPERLINK("https://github.com/matanki-saito/vic3jpadvmod/issues/84",84)</f>
        <v/>
      </c>
      <c r="B16" s="1" t="inlineStr">
        <is>
          <t>【修正提案】魚雷ボート　Torpedo Boats</t>
        </is>
      </c>
      <c r="C16" s="1">
        <f>HYPERLINK("https://user-images.githubusercontent.com/37979626/198297545-761cfd55-8a9d-4de4-aa5e-2ee3932c4b6a.png","screenshot")
</f>
        <v/>
      </c>
      <c r="D16" s="1" t="inlineStr">
        <is>
          <t xml:space="preserve">魚雷ボート
</t>
        </is>
      </c>
      <c r="E16" s="1" t="inlineStr">
        <is>
          <t xml:space="preserve">水雷艇
</t>
        </is>
      </c>
      <c r="F16" s="1" t="inlineStr">
        <is>
          <t xml:space="preserve">https://ja.wikipedia.org/wiki/%E6%B0%B4%E9%9B%B7%E8%89%87
</t>
        </is>
      </c>
      <c r="G16" s="1" t="inlineStr">
        <is>
          <t xml:space="preserve">1.0.1
</t>
        </is>
      </c>
      <c r="H16" s="1" t="inlineStr">
        <is>
          <t xml:space="preserve">なし
</t>
        </is>
      </c>
      <c r="I16" s="1" t="inlineStr">
        <is>
          <t xml:space="preserve">なし
</t>
        </is>
      </c>
    </row>
    <row r="17" ht="90" customHeight="1">
      <c r="A17">
        <f>HYPERLINK("https://github.com/matanki-saito/vic3jpadvmod/issues/82",82)</f>
        <v/>
      </c>
      <c r="B17" s="1" t="inlineStr">
        <is>
          <t>【修正提案】フリゲート艦の護衛　Escort Frigates</t>
        </is>
      </c>
      <c r="C17" s="1">
        <f>HYPERLINK("https://user-images.githubusercontent.com/37979626/198286277-62155d1f-d5d6-4942-994b-9f579695a107.png","screenshot")
</f>
        <v/>
      </c>
      <c r="D17" s="1" t="inlineStr">
        <is>
          <t xml:space="preserve">フリゲート艦の護衛
</t>
        </is>
      </c>
      <c r="E17" s="1" t="inlineStr">
        <is>
          <t xml:space="preserve">護衛フリゲート艦
</t>
        </is>
      </c>
      <c r="F17" s="1" t="inlineStr">
        <is>
          <t xml:space="preserve">船の種類を指しているため
</t>
        </is>
      </c>
      <c r="G17" s="1" t="inlineStr">
        <is>
          <t xml:space="preserve">1.0.1
</t>
        </is>
      </c>
      <c r="H17" s="1" t="inlineStr">
        <is>
          <t xml:space="preserve">なし
</t>
        </is>
      </c>
      <c r="I17" s="1" t="inlineStr">
        <is>
          <t xml:space="preserve">なし
</t>
        </is>
      </c>
    </row>
    <row r="18" ht="270" customHeight="1">
      <c r="A18">
        <f>HYPERLINK("https://github.com/matanki-saito/vic3jpadvmod/issues/77",77)</f>
        <v/>
      </c>
      <c r="B18" s="1" t="inlineStr">
        <is>
          <t>【修正提案】ファインアート　Fine Art</t>
        </is>
      </c>
      <c r="C18" s="1">
        <f>HYPERLINK("https://user-images.githubusercontent.com/37979626/198262526-8ed17a06-078e-475f-b2ba-10c317b914a7.png","screenshot")
</f>
        <v/>
      </c>
      <c r="D18" s="1" t="inlineStr">
        <is>
          <t xml:space="preserve">ファインアート
</t>
        </is>
      </c>
      <c r="E18" s="1" t="inlineStr">
        <is>
          <t xml:space="preserve">美術品
</t>
        </is>
      </c>
      <c r="F18" s="1" t="inlineStr">
        <is>
          <t xml:space="preserve">wikiでもファインアートとの表現はあるが、概念的表現で生産品として表現するのであれば「美術品」の方が分かりやすい
また他の生産品と違い、ここだけ音訳にする特別性も感じられない
https://ja.wikipedia.org/wiki/%E3%83%95%E3%82%A1%E3%82%A4%E3%83%B3%E3%82%A2%E3%83%BC%E3%83%88#:~:text=%E3%83%95%E3%82%A1%E3%82%A4%E3%83%B3%E3%82%A2%E3%83%BC%E3%83%88%EF%BC%88fine%20art%2C%20fine,%E5%AF%BE%E3%81%97%E3%81%A6%E7%B4%94%E7%B2%8B%E7%BE%8E%E8%A1%93%E3%81%A8%E3%82%82%E3%80%82
</t>
        </is>
      </c>
      <c r="G18" s="1" t="inlineStr">
        <is>
          <t xml:space="preserve">1.0.1
</t>
        </is>
      </c>
      <c r="H18" s="1" t="inlineStr">
        <is>
          <t xml:space="preserve">なし
</t>
        </is>
      </c>
      <c r="I18" s="1" t="inlineStr">
        <is>
          <t xml:space="preserve">なし
</t>
        </is>
      </c>
    </row>
    <row r="19" ht="90" customHeight="1">
      <c r="A19">
        <f>HYPERLINK("https://github.com/matanki-saito/vic3jpadvmod/issues/76",76)</f>
        <v/>
      </c>
      <c r="B19" s="1" t="inlineStr">
        <is>
          <t>【修正提案】電軌鉄道　Electric Railways</t>
        </is>
      </c>
      <c r="C19" s="1">
        <f>HYPERLINK("https://user-images.githubusercontent.com/37979626/198260303-a7273ea9-11df-40c2-b444-760273a36961.png","screenshot")
</f>
        <v/>
      </c>
      <c r="D19" s="1" t="inlineStr">
        <is>
          <t xml:space="preserve">電軌鉄道
</t>
        </is>
      </c>
      <c r="E19" s="1" t="inlineStr">
        <is>
          <t xml:space="preserve">電気鉄道
</t>
        </is>
      </c>
      <c r="F19" s="1" t="inlineStr">
        <is>
          <t xml:space="preserve">誤字
</t>
        </is>
      </c>
      <c r="G19" s="1" t="inlineStr">
        <is>
          <t xml:space="preserve">1.0.1
</t>
        </is>
      </c>
      <c r="H19" s="1" t="inlineStr">
        <is>
          <t xml:space="preserve">なし
</t>
        </is>
      </c>
      <c r="I19" s="1" t="inlineStr">
        <is>
          <t xml:space="preserve">なし
</t>
        </is>
      </c>
    </row>
    <row r="20" ht="90" customHeight="1">
      <c r="A20">
        <f>HYPERLINK("https://github.com/matanki-saito/vic3jpadvmod/issues/74",74)</f>
        <v/>
      </c>
      <c r="B20" s="1" t="inlineStr">
        <is>
          <t>【修正提案】電車　Electric Trains</t>
        </is>
      </c>
      <c r="C20" s="1">
        <f>HYPERLINK("https://user-images.githubusercontent.com/37979626/198259627-c86c4dc1-a569-4d1b-9319-83f639c06174.png","screenshot")
</f>
        <v/>
      </c>
      <c r="D20" s="1" t="inlineStr">
        <is>
          <t xml:space="preserve">電車
</t>
        </is>
      </c>
      <c r="E20" s="1" t="inlineStr">
        <is>
          <t xml:space="preserve">電気機関車
</t>
        </is>
      </c>
      <c r="F20" s="1" t="inlineStr">
        <is>
          <t xml:space="preserve">スクショからも分かるように前後が「～機関車」である以上、こちらもあわせるべき
また、アイコンからも列車全体を一般的に指す「電車」ではなく、機関車のみを指していることからも同様である
</t>
        </is>
      </c>
      <c r="G20" s="1" t="inlineStr">
        <is>
          <t xml:space="preserve">1.0.1
</t>
        </is>
      </c>
      <c r="H20" s="1" t="inlineStr">
        <is>
          <t xml:space="preserve">なし
</t>
        </is>
      </c>
      <c r="I20" s="1" t="inlineStr">
        <is>
          <t xml:space="preserve">なし
</t>
        </is>
      </c>
    </row>
    <row r="21" ht="90" customHeight="1">
      <c r="A21">
        <f>HYPERLINK("https://github.com/matanki-saito/vic3jpadvmod/issues/65",65)</f>
        <v/>
      </c>
      <c r="B21" s="1" t="inlineStr">
        <is>
          <t>【修正提案】アグレアリアン党</t>
        </is>
      </c>
      <c r="C21" s="1">
        <f>HYPERLINK("https://user-images.githubusercontent.com/43299334/198197166-604fe6ef-738b-4250-9e6c-5df3a2d08c3d.jpg","screenshot")
</f>
        <v/>
      </c>
      <c r="D21" s="1" t="inlineStr">
        <is>
          <t xml:space="preserve">アグレアリアン党
</t>
        </is>
      </c>
      <c r="E21" s="1" t="inlineStr">
        <is>
          <t xml:space="preserve">農民党
</t>
        </is>
      </c>
      <c r="F21" s="1" t="inlineStr">
        <is>
          <t xml:space="preserve">原語Agrarian Partyの音写。Peasants（小作農）の政党。
特に音写する理由もなく翻訳可能と思われる。
</t>
        </is>
      </c>
      <c r="G21" s="1" t="inlineStr">
        <is>
          <t xml:space="preserve">（例）1.0.3
</t>
        </is>
      </c>
      <c r="H21" s="1" t="inlineStr">
        <is>
          <t xml:space="preserve">なし
</t>
        </is>
      </c>
      <c r="I21" s="1" t="inlineStr">
        <is>
          <t xml:space="preserve">なし
</t>
        </is>
      </c>
    </row>
    <row r="22" ht="90" customHeight="1">
      <c r="A22">
        <f>HYPERLINK("https://github.com/matanki-saito/vic3jpadvmod/issues/64",64)</f>
        <v/>
      </c>
      <c r="B22" s="1" t="inlineStr">
        <is>
          <t>【修正提案】飾り細工工房</t>
        </is>
      </c>
      <c r="C22" s="1">
        <f>HYPERLINK("https://user-images.githubusercontent.com/43299334/198196681-0c502efa-e95a-4c5a-8ffe-7fd81a03dfd7.jpg","screenshot")
</f>
        <v/>
      </c>
      <c r="D22" s="1" t="inlineStr">
        <is>
          <t xml:space="preserve">飾り細工工房
</t>
        </is>
      </c>
      <c r="E22" s="1" t="inlineStr">
        <is>
          <t xml:space="preserve">工具工房
</t>
        </is>
      </c>
      <c r="F22" s="1" t="inlineStr">
        <is>
          <t xml:space="preserve">飾り細工の要素はないため。
</t>
        </is>
      </c>
      <c r="G22" s="1" t="inlineStr">
        <is>
          <t xml:space="preserve">1.0.3
</t>
        </is>
      </c>
      <c r="H22" s="1" t="inlineStr">
        <is>
          <t xml:space="preserve">無し
</t>
        </is>
      </c>
      <c r="I22" s="1" t="inlineStr">
        <is>
          <t xml:space="preserve">なし
</t>
        </is>
      </c>
    </row>
    <row r="23" ht="90" customHeight="1">
      <c r="A23">
        <f>HYPERLINK("https://github.com/matanki-saito/vic3jpadvmod/issues/56",56)</f>
        <v/>
      </c>
      <c r="B23" s="1" t="inlineStr">
        <is>
          <t>アイルの地名がおかしい</t>
        </is>
      </c>
      <c r="C23" s="1">
        <f>HYPERLINK("https://user-images.githubusercontent.com/84853597/198163798-7fea491b-9f3b-4619-aea2-339a448fe194.png","screenshot")
</f>
        <v/>
      </c>
      <c r="D23" s="1" t="inlineStr">
        <is>
          <t xml:space="preserve">エア
</t>
        </is>
      </c>
      <c r="E23" s="1" t="inlineStr">
        <is>
          <t xml:space="preserve">アイル
</t>
        </is>
      </c>
      <c r="F23" s="1" t="inlineStr">
        <is>
          <t xml:space="preserve">https://ja.wikipedia.org/wiki/%E3%82%A2%E3%82%A4%E3%83%AB%E5%B1%B1%E5%9C%B0, https://en.wikipedia.org/wiki/Sultanate_of_Agadez
</t>
        </is>
      </c>
      <c r="G23" s="1" t="inlineStr">
        <is>
          <t xml:space="preserve">1.0.3
</t>
        </is>
      </c>
      <c r="H23" s="1" t="inlineStr">
        <is>
          <t xml:space="preserve">なし
</t>
        </is>
      </c>
      <c r="I23" s="1" t="inlineStr">
        <is>
          <t xml:space="preserve">なし
</t>
        </is>
      </c>
    </row>
    <row r="24" ht="90" customHeight="1">
      <c r="A24">
        <f>HYPERLINK("https://github.com/matanki-saito/vic3jpadvmod/issues/45",45)</f>
        <v/>
      </c>
      <c r="B24" s="1" t="inlineStr">
        <is>
          <t>【修正提案】自走砲　Mobile Artillery</t>
        </is>
      </c>
      <c r="C24" s="1">
        <f>HYPERLINK("https://user-images.githubusercontent.com/37979626/198073625-80943b4b-1188-4c8c-aa99-0c06fa244208.png","screenshot")
</f>
        <v/>
      </c>
      <c r="D24" s="1" t="inlineStr">
        <is>
          <t xml:space="preserve">自走砲
</t>
        </is>
      </c>
      <c r="E24" s="1" t="inlineStr">
        <is>
          <t xml:space="preserve">機動砲兵
</t>
        </is>
      </c>
      <c r="F24" s="1" t="inlineStr">
        <is>
          <t xml:space="preserve">技術「ナポレオン戦争」で解禁されるもので、明らかに自動車ではないため
</t>
        </is>
      </c>
      <c r="G24" s="1" t="inlineStr">
        <is>
          <t xml:space="preserve">1.0.1
</t>
        </is>
      </c>
      <c r="H24" s="1" t="inlineStr">
        <is>
          <t xml:space="preserve">なし
</t>
        </is>
      </c>
      <c r="I24" s="1" t="inlineStr">
        <is>
          <t xml:space="preserve">なし
</t>
        </is>
      </c>
    </row>
    <row r="25" ht="90" customHeight="1">
      <c r="A25">
        <f>HYPERLINK("https://github.com/matanki-saito/vic3jpadvmod/issues/44",44)</f>
        <v/>
      </c>
      <c r="B25" s="1" t="inlineStr">
        <is>
          <t>【修正提案】戦艦　Man-o-Wars</t>
        </is>
      </c>
      <c r="C25" s="1">
        <f>HYPERLINK("https://user-images.githubusercontent.com/37979626/198071915-6bb8410c-b2d5-4458-9c7e-a91cef3e3fcb.png","screenshot")
</f>
        <v/>
      </c>
      <c r="D25" s="1" t="inlineStr">
        <is>
          <t xml:space="preserve">戦艦
</t>
        </is>
      </c>
      <c r="E25" s="1" t="inlineStr">
        <is>
          <t xml:space="preserve">軍艦
</t>
        </is>
      </c>
      <c r="F25" s="1" t="inlineStr">
        <is>
          <t xml:space="preserve">ゲーム開始時から生産できる品物かつアイコンを見る限り帆船なので一般的に想起される「戦艦」ではないため
</t>
        </is>
      </c>
      <c r="G25" s="1" t="inlineStr">
        <is>
          <t xml:space="preserve">1.0.1
</t>
        </is>
      </c>
      <c r="H25" s="1" t="inlineStr">
        <is>
          <t xml:space="preserve">なし
</t>
        </is>
      </c>
      <c r="I25" s="1" t="inlineStr">
        <is>
          <t xml:space="preserve">（例）なし
</t>
        </is>
      </c>
    </row>
    <row r="26" ht="90" customHeight="1">
      <c r="A26">
        <f>HYPERLINK("https://github.com/matanki-saito/vic3jpadvmod/issues/43",43)</f>
        <v/>
      </c>
      <c r="B26" t="inlineStr">
        <is>
          <t>【修正提案】物流　Logistics</t>
        </is>
      </c>
      <c r="C26">
        <f>HYPERLINK("https://user-images.githubusercontent.com/37979626/198070177-9b1cb7a9-65d9-4c0e-a877-5ef0747ace5b.png","screenshot")
</f>
        <v/>
      </c>
      <c r="D26" t="inlineStr">
        <is>
          <t xml:space="preserve">物流
</t>
        </is>
      </c>
      <c r="E26" t="inlineStr">
        <is>
          <t xml:space="preserve">兵站
</t>
        </is>
      </c>
      <c r="F26" t="inlineStr">
        <is>
          <t xml:space="preserve">軍事技術で「物流」だと意味するものが非軍事にも及んでしまうため
</t>
        </is>
      </c>
      <c r="G26" t="inlineStr">
        <is>
          <t xml:space="preserve">1.0.1
</t>
        </is>
      </c>
      <c r="H26" t="inlineStr">
        <is>
          <t xml:space="preserve">なし
</t>
        </is>
      </c>
      <c r="I26" t="inlineStr">
        <is>
          <t xml:space="preserve">なし
</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17"/>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 width="40" customWidth="1" min="9" max="9"/>
    <col width="40" customWidth="1" min="10" max="10"/>
    <col width="40" customWidth="1" min="11" max="11"/>
    <col width="40" customWidth="1" min="12" max="12"/>
    <col width="40" customWidth="1" min="13" max="13"/>
  </cols>
  <sheetData>
    <row r="1">
      <c r="A1" t="inlineStr">
        <is>
          <t>number</t>
        </is>
      </c>
      <c r="B1" t="inlineStr">
        <is>
          <t>title</t>
        </is>
      </c>
      <c r="C1" t="inlineStr">
        <is>
          <t xml:space="preserve"> スクリーンショット</t>
        </is>
      </c>
      <c r="D1" t="inlineStr">
        <is>
          <t xml:space="preserve"> 問題部分（タイトル・本文・選択肢）</t>
        </is>
      </c>
      <c r="E1" t="inlineStr">
        <is>
          <t xml:space="preserve"> 問題のイベントタイトル</t>
        </is>
      </c>
      <c r="F1" t="inlineStr">
        <is>
          <t xml:space="preserve"> 問題のイベント本文（任意・抜粋可）</t>
        </is>
      </c>
      <c r="G1" t="inlineStr">
        <is>
          <t xml:space="preserve"> 問題のイベント選択肢</t>
        </is>
      </c>
      <c r="H1" t="inlineStr">
        <is>
          <t xml:space="preserve"> 希望する変更（必須・修正部分のみ）</t>
        </is>
      </c>
      <c r="I1" t="inlineStr">
        <is>
          <t xml:space="preserve"> 変更の理由</t>
        </is>
      </c>
      <c r="J1" t="inlineStr">
        <is>
          <t xml:space="preserve"> プレイ国家</t>
        </is>
      </c>
      <c r="K1" t="inlineStr">
        <is>
          <t xml:space="preserve"> ゲームバージョン</t>
        </is>
      </c>
      <c r="L1" t="inlineStr">
        <is>
          <t xml:space="preserve"> DLC有無</t>
        </is>
      </c>
      <c r="M1" t="inlineStr">
        <is>
          <t xml:space="preserve"> MOD有無</t>
        </is>
      </c>
    </row>
    <row r="2" ht="90" customHeight="1">
      <c r="A2">
        <f>HYPERLINK("https://github.com/matanki-saito/vic3jpadvmod/issues/380",380)</f>
        <v/>
      </c>
      <c r="B2" s="1" t="inlineStr">
        <is>
          <t>国家の声（国家→国歌）</t>
        </is>
      </c>
      <c r="C2" s="1">
        <f>HYPERLINK("https://user-images.githubusercontent.com/42687608/200220153-60262e55-c7ed-452e-991d-87f2f7e0c486.jpg","screenshot")
</f>
        <v/>
      </c>
      <c r="D2" s="1" t="inlineStr">
        <is>
          <t xml:space="preserve">
本文、選択肢
</t>
        </is>
      </c>
      <c r="E2" s="1" t="inlineStr">
        <is>
          <t xml:space="preserve">
国家の声
</t>
        </is>
      </c>
      <c r="F2" s="1" t="inlineStr">
        <is>
          <t xml:space="preserve">
彼らは国民の精神高揚に相応しい適切な国家が欠如しているという驚きの事態に注目しているとのことです。
</t>
        </is>
      </c>
      <c r="G2" s="1" t="inlineStr">
        <is>
          <t xml:space="preserve">
今こそクールな国家を！
</t>
        </is>
      </c>
      <c r="H2" s="1" t="inlineStr">
        <is>
          <t xml:space="preserve">
国家→国歌
</t>
        </is>
      </c>
      <c r="I2" s="1" t="inlineStr">
        <is>
          <t xml:space="preserve">原文はanthemであり、単純な誤変換だと思われる。
</t>
        </is>
      </c>
      <c r="J2" s="1" t="inlineStr">
        <is>
          <t xml:space="preserve">アメリカ合衆国
</t>
        </is>
      </c>
      <c r="K2" s="1" t="inlineStr">
        <is>
          <t xml:space="preserve">1.0.4
</t>
        </is>
      </c>
      <c r="L2" s="1" t="inlineStr">
        <is>
          <t xml:space="preserve">- Victoria II Remastered Soundtrack
- American Buildings Pack
</t>
        </is>
      </c>
      <c r="M2" s="1" t="inlineStr">
        <is>
          <t xml:space="preserve">- 自作Mod多数
</t>
        </is>
      </c>
    </row>
    <row r="3" ht="135" customHeight="1">
      <c r="A3">
        <f>HYPERLINK("https://github.com/matanki-saito/vic3jpadvmod/issues/344",344)</f>
        <v/>
      </c>
      <c r="B3" s="1" t="inlineStr">
        <is>
          <t>「五カ年計画」と「4カ年計画」</t>
        </is>
      </c>
      <c r="C3" s="1">
        <f>HYPERLINK("https://user-images.githubusercontent.com/75819188/200081958-1ba359bc-f898-4161-a7cb-e634010cda36.jpg","screenshot")
四カ年計画のスクリーンショットはなし
</f>
        <v/>
      </c>
      <c r="D3" s="1" t="inlineStr">
        <is>
          <t xml:space="preserve">
タイトル
</t>
        </is>
      </c>
      <c r="E3" s="1" t="inlineStr">
        <is>
          <t xml:space="preserve">
Victoria 3\game\localization\japanese\content_1_l_japanese.yml
 je_5_year_plan:0 "五カ年計画"
Victoria 3\game\localization\japanese\content_104_l_japanese.yml
 fascism_events.5.t:0 "4カ年計画"
</t>
        </is>
      </c>
      <c r="F3" s="1" t="inlineStr">
        <is>
          <t xml:space="preserve">ー
</t>
        </is>
      </c>
      <c r="G3" s="1" t="inlineStr">
        <is>
          <t xml:space="preserve">ー
</t>
        </is>
      </c>
      <c r="H3" s="1" t="inlineStr">
        <is>
          <t xml:space="preserve">
四カ年計画
</t>
        </is>
      </c>
      <c r="I3" s="1" t="inlineStr">
        <is>
          <t xml:space="preserve">漢数字とアラビア数字で表記ゆれしている
</t>
        </is>
      </c>
      <c r="J3" s="1" t="inlineStr">
        <is>
          <t xml:space="preserve">スェーデン
</t>
        </is>
      </c>
      <c r="K3" s="1" t="inlineStr">
        <is>
          <t xml:space="preserve">たぶん1.03
</t>
        </is>
      </c>
      <c r="L3" s="1" t="inlineStr">
        <is>
          <t xml:space="preserve">American Building Pack	
Expansion Pass
Victoria 2 Remastered Soundtracks
</t>
        </is>
      </c>
      <c r="M3" s="1" t="inlineStr">
        <is>
          <t xml:space="preserve">なし
--------
ommunist_welfare_modは検索しても1カ所しか見つからなくて、なんの効果かはわからない
</t>
        </is>
      </c>
    </row>
    <row r="4" ht="120" customHeight="1">
      <c r="A4">
        <f>HYPERLINK("https://github.com/matanki-saito/vic3jpadvmod/issues/327",327)</f>
        <v/>
      </c>
      <c r="B4" s="1" t="inlineStr">
        <is>
          <t>【修正提案】イベント－耳朶に響く調べ</t>
        </is>
      </c>
      <c r="C4" s="1">
        <f>HYPERLINK("https://user-images.githubusercontent.com/42710893/199741598-1e2eee33-dbe6-49fb-a437-63e70ff43c87.jpg","screenshot")
</f>
        <v/>
      </c>
      <c r="D4" s="1" t="inlineStr">
        <is>
          <t xml:space="preserve">
本文
</t>
        </is>
      </c>
      <c r="E4" s="1" t="inlineStr">
        <is>
          <t xml:space="preserve">
耳朶に響く調べ
</t>
        </is>
      </c>
      <c r="F4" s="1" t="inlineStr">
        <is>
          <t xml:space="preserve">
とても評判の良い旅の芸術家軍団が[SCOPE.sState('decree_state').GetName]しています。
英語:A well acclaimed troupe of wandering artists has arrived at [SCOPE.sState('decree_state').GetName],...
</t>
        </is>
      </c>
      <c r="G4" s="1" t="inlineStr">
        <is>
          <t xml:space="preserve">
</t>
        </is>
      </c>
      <c r="H4" s="1" t="inlineStr">
        <is>
          <t xml:space="preserve">
とても評判の良い旅の芸術家軍団が[SCOPE.sState('decree_state').GetName]に到着しています。
</t>
        </is>
      </c>
      <c r="I4" s="1" t="inlineStr">
        <is>
          <t xml:space="preserve">arrived at～　の部分が訳されておらず、おかしな表記になっているため
</t>
        </is>
      </c>
      <c r="J4" s="1" t="inlineStr">
        <is>
          <t xml:space="preserve">ベルギー
</t>
        </is>
      </c>
      <c r="K4" s="1" t="inlineStr">
        <is>
          <t xml:space="preserve">1.0.4
</t>
        </is>
      </c>
      <c r="L4" s="1" t="inlineStr">
        <is>
          <t xml:space="preserve">なし
</t>
        </is>
      </c>
      <c r="M4" s="1" t="inlineStr">
        <is>
          <t xml:space="preserve">日本語改善MOD
</t>
        </is>
      </c>
    </row>
    <row r="5" ht="90" customHeight="1">
      <c r="A5">
        <f>HYPERLINK("https://github.com/matanki-saito/vic3jpadvmod/issues/314",314)</f>
        <v/>
      </c>
      <c r="B5" s="1" t="inlineStr">
        <is>
          <t>「ギリシャ領 The Greek State」イベント</t>
        </is>
      </c>
      <c r="C5" s="1">
        <f>HYPERLINK("https://user-images.githubusercontent.com/50406316/199673134-1dfc8ea0-aec5-4830-bfc9-966424699154.png","screenshot")
</f>
        <v/>
      </c>
      <c r="D5" s="1" t="inlineStr">
        <is>
          <t xml:space="preserve">
ギリシャ領
</t>
        </is>
      </c>
      <c r="E5" s="1" t="inlineStr">
        <is>
          <t xml:space="preserve">
ギリシャ領
原文はThe Greek State
</t>
        </is>
      </c>
      <c r="F5" s="1" t="inlineStr">
        <is>
          <t xml:space="preserve">
変更なしのため省略
</t>
        </is>
      </c>
      <c r="G5" s="1" t="inlineStr">
        <is>
          <t xml:space="preserve">
変更なしのため省略
</t>
        </is>
      </c>
      <c r="H5" s="1" t="inlineStr">
        <is>
          <t xml:space="preserve">
タイトルを「ギリシャ領」から「ギリシャ国家」に変更
</t>
        </is>
      </c>
      <c r="I5" s="1" t="inlineStr">
        <is>
          <t xml:space="preserve">ギリシャがナショナリズムを発明すると起きるイベントで、北のマケドニアやトラキアなどギリシャ人が住むトルコ領に領有権を主張する。
本文中にも「ギリシャ国家～～」と書いてあり、ギリシャ人国家の拡大を目論むイベントなので、Stateは領ではなく国家と訳すほうが適切と思える。
</t>
        </is>
      </c>
      <c r="J5" s="1" t="inlineStr">
        <is>
          <t xml:space="preserve">ギリシャ
</t>
        </is>
      </c>
      <c r="K5" s="1" t="inlineStr">
        <is>
          <t xml:space="preserve">1.0.4
</t>
        </is>
      </c>
      <c r="L5" s="1" t="inlineStr">
        <is>
          <t xml:space="preserve">なし
</t>
        </is>
      </c>
      <c r="M5" s="1" t="inlineStr">
        <is>
          <t xml:space="preserve">翻訳改善MOD(11/3)
</t>
        </is>
      </c>
    </row>
    <row r="6" ht="90" customHeight="1">
      <c r="A6">
        <f>HYPERLINK("https://github.com/matanki-saito/vic3jpadvmod/issues/307",307)</f>
        <v/>
      </c>
      <c r="B6" s="1" t="inlineStr">
        <is>
          <t>宿命の宣言（Manifest Destiny、ディシジョン）</t>
        </is>
      </c>
      <c r="C6" s="1">
        <f>HYPERLINK("https://user-images.githubusercontent.com/42687608/199660594-9a1d4af8-7d31-4839-9a1a-b1bd275c9333.jpg","screenshot")
</f>
        <v/>
      </c>
      <c r="D6" s="1" t="inlineStr">
        <is>
          <t xml:space="preserve">
アメリカ専用ディシジョンのタイトル
</t>
        </is>
      </c>
      <c r="E6" s="1" t="inlineStr">
        <is>
          <t xml:space="preserve">
宿命の宣言
</t>
        </is>
      </c>
      <c r="F6" s="1" t="inlineStr">
        <is>
          <t xml:space="preserve">
</t>
        </is>
      </c>
      <c r="G6" s="1" t="inlineStr">
        <is>
          <t xml:space="preserve">
</t>
        </is>
      </c>
      <c r="H6" s="1" t="inlineStr">
        <is>
          <t xml:space="preserve">
マニフェスト・デスティニー
または、明白なる使命、明白なる運命、明白な天命、明白なる大命など。
</t>
        </is>
      </c>
      <c r="I6" s="1" t="inlineStr">
        <is>
          <t xml:space="preserve">定訳のある歴史的な用語であるため。
現在の翻訳ではなんのことだか伝わらない。
</t>
        </is>
      </c>
      <c r="J6" s="1" t="inlineStr">
        <is>
          <t xml:space="preserve">アメリカ合衆国
</t>
        </is>
      </c>
      <c r="K6" s="1" t="inlineStr">
        <is>
          <t xml:space="preserve">1.0.4
</t>
        </is>
      </c>
      <c r="L6" s="1" t="inlineStr">
        <is>
          <t xml:space="preserve">- Victoria II Remastered Soundtrack
- American Buildings Pack
</t>
        </is>
      </c>
      <c r="M6" s="1" t="inlineStr">
        <is>
          <t xml:space="preserve">- 自作Mod多数
</t>
        </is>
      </c>
    </row>
    <row r="7" ht="270" customHeight="1">
      <c r="A7">
        <f>HYPERLINK("https://github.com/matanki-saito/vic3jpadvmod/issues/285",285)</f>
        <v/>
      </c>
      <c r="B7" s="1" t="inlineStr">
        <is>
          <t>【修正提案】州教に神道 State Shinto</t>
        </is>
      </c>
      <c r="C7" s="1">
        <f>HYPERLINK("https://user-images.githubusercontent.com/50406316/199522203-defb1cc7-f6ed-482d-9de9-d730d6aeef34.png","screenshot")
</f>
        <v/>
      </c>
      <c r="D7" s="1" t="inlineStr">
        <is>
          <t xml:space="preserve">
(ja)
 shinto_decision:0 "州教に神道を導入"
 shinto_decision_desc:0 "皇室が政権に復帰したことにより、天皇の神性を重んじる現地人の信仰を国教として統合することが賢明であると考えられます。"
(en)
 shinto_decision:0 "Adopt State Shinto"
 shinto_decision_desc:0 "With the restoration of the imperial household to political power, it would be wise to integrate local beliefs into an official state religion emphasizing the Emperor's divinity."
</t>
        </is>
      </c>
      <c r="E7" s="1" t="inlineStr">
        <is>
          <t xml:space="preserve">
州教に神道を導入
</t>
        </is>
      </c>
      <c r="F7" s="1" t="inlineStr">
        <is>
          <t xml:space="preserve">
皇室が政権に復帰したことにより、天皇の神性を重んじる現地人の信仰を国教として統合することが賢明であると考えられます。
</t>
        </is>
      </c>
      <c r="G7" s="1" t="inlineStr">
        <is>
          <t xml:space="preserve">
</t>
        </is>
      </c>
      <c r="H7" s="1" t="inlineStr">
        <is>
          <t xml:space="preserve">
国家神道の導入
皇室が政権に復帰したことにより、天皇の神性を重んじる我が国の信仰を国教として統合することが賢明であると考えられます。
</t>
        </is>
      </c>
      <c r="I7" s="1" t="inlineStr">
        <is>
          <t xml:space="preserve">タイトルのState Shintoの誤訳修正
合わせてイベント文中の「現地人の」も自国を対象にするディシジョンでは違和感があるので、「我が国の」と意訳
</t>
        </is>
      </c>
      <c r="J7" s="1" t="inlineStr">
        <is>
          <t xml:space="preserve">日本
</t>
        </is>
      </c>
      <c r="K7" s="1" t="inlineStr">
        <is>
          <t xml:space="preserve">1.0.4
</t>
        </is>
      </c>
      <c r="L7" s="1" t="inlineStr">
        <is>
          <t xml:space="preserve">なし
</t>
        </is>
      </c>
      <c r="M7" s="1" t="inlineStr">
        <is>
          <t xml:space="preserve">JapaneseLanguageAdvancedMod(更新: 11月2日 @ 7時11分)
</t>
        </is>
      </c>
    </row>
    <row r="8" ht="285" customHeight="1">
      <c r="A8">
        <f>HYPERLINK("https://github.com/matanki-saito/vic3jpadvmod/issues/279",279)</f>
        <v/>
      </c>
      <c r="B8" s="1" t="inlineStr">
        <is>
          <t>国家主義</t>
        </is>
      </c>
      <c r="C8" s="1">
        <f>HYPERLINK("https://user-images.githubusercontent.com/38329957/199465767-5ea296d8-7ea7-49f4-9163-bb3b9ab51745.jpg","screenshot")
=HYPERLINK("https://user-images.githubusercontent.com/38329957/199465805-329c12b4-d6d0-4141-a3ee-2ef1e09d169c.jpg","screenshot")
=HYPERLINK("https://user-images.githubusercontent.com/38329957/199465839-dadc2d56-7e4d-4d17-a96a-6d40c6a2d116.jpg","screenshot")
</f>
        <v/>
      </c>
      <c r="D8" s="1" t="inlineStr">
        <is>
          <t xml:space="preserve">
国家主義と表記されてるところ全て。
</t>
        </is>
      </c>
      <c r="E8" s="1" t="inlineStr">
        <is>
          <t xml:space="preserve">
国家主義者のオペラ
など
</t>
        </is>
      </c>
      <c r="F8" s="1" t="inlineStr">
        <is>
          <t xml:space="preserve">
なし
</t>
        </is>
      </c>
      <c r="G8" s="1" t="inlineStr">
        <is>
          <t xml:space="preserve">
なし
</t>
        </is>
      </c>
      <c r="H8" s="1" t="inlineStr">
        <is>
          <t xml:space="preserve">
民族主義
</t>
        </is>
      </c>
      <c r="I8" s="1" t="inlineStr">
        <is>
          <t xml:space="preserve">国家主義だと文章がおかしくなる部分が多々あり、なおかつVictoria3の時代は民族主義運動の全盛期であり、言葉としても適訳であるため。
</t>
        </is>
      </c>
      <c r="J8" s="1" t="inlineStr">
        <is>
          <t xml:space="preserve">どこでも
</t>
        </is>
      </c>
      <c r="K8" s="1" t="inlineStr">
        <is>
          <t xml:space="preserve">1.0.3
</t>
        </is>
      </c>
      <c r="L8" s="1" t="inlineStr">
        <is>
          <t xml:space="preserve">なし
</t>
        </is>
      </c>
      <c r="M8" s="1" t="inlineStr">
        <is>
          <t xml:space="preserve">なし
</t>
        </is>
      </c>
    </row>
    <row r="9" ht="90" customHeight="1">
      <c r="A9">
        <f>HYPERLINK("https://github.com/matanki-saito/vic3jpadvmod/issues/271",271)</f>
        <v/>
      </c>
      <c r="B9" s="1" t="inlineStr">
        <is>
          <t>【修正提案】アヘン乗用車</t>
        </is>
      </c>
      <c r="C9" s="1">
        <f>HYPERLINK("https://user-images.githubusercontent.com/42687608/199436513-e1f3d61f-4827-45f0-b253-f9f7de32b423.jpg","screenshot")
</f>
        <v/>
      </c>
      <c r="D9" s="1" t="inlineStr">
        <is>
          <t xml:space="preserve">
本文（フレーバーテキスト）
</t>
        </is>
      </c>
      <c r="E9" s="1" t="inlineStr">
        <is>
          <t xml:space="preserve">
アヘン中毒
</t>
        </is>
      </c>
      <c r="F9" s="1" t="inlineStr">
        <is>
          <t xml:space="preserve">
アヘン乗用車
</t>
        </is>
      </c>
      <c r="G9" s="1" t="inlineStr">
        <is>
          <t xml:space="preserve">
</t>
        </is>
      </c>
      <c r="H9" s="1" t="inlineStr">
        <is>
          <t xml:space="preserve">
アヘン常用者
</t>
        </is>
      </c>
      <c r="I9" s="1" t="inlineStr">
        <is>
          <t xml:space="preserve">単純な誤字。
</t>
        </is>
      </c>
      <c r="J9" s="1" t="inlineStr">
        <is>
          <t xml:space="preserve">スペイン
</t>
        </is>
      </c>
      <c r="K9" s="1" t="inlineStr">
        <is>
          <t xml:space="preserve">1.0.3
</t>
        </is>
      </c>
      <c r="L9" s="1" t="inlineStr">
        <is>
          <t xml:space="preserve">- Victoria II Remastered Soundtrack
- American Buildings Pack
</t>
        </is>
      </c>
      <c r="M9" s="1" t="inlineStr">
        <is>
          <t xml:space="preserve">- 自作Mod多数
</t>
        </is>
      </c>
    </row>
    <row r="10" ht="120" customHeight="1">
      <c r="A10">
        <f>HYPERLINK("https://github.com/matanki-saito/vic3jpadvmod/issues/261",261)</f>
        <v/>
      </c>
      <c r="B10" s="1" t="inlineStr">
        <is>
          <t>【修正提案】助詞「の」の重複</t>
        </is>
      </c>
      <c r="C10" s="1">
        <f>HYPERLINK("https://user-images.githubusercontent.com/42687608/199381661-af47916b-d9ca-44ac-bebf-20088f0076d3.jpg","screenshot")
</f>
        <v/>
      </c>
      <c r="D10" s="1" t="inlineStr">
        <is>
          <t xml:space="preserve">
本文（フレーバーテキスト）
</t>
        </is>
      </c>
      <c r="E10" s="1" t="inlineStr">
        <is>
          <t xml:space="preserve">
拡声装置の脱線
</t>
        </is>
      </c>
      <c r="F10" s="1" t="inlineStr">
        <is>
          <t xml:space="preserve">
彼のの差配により / 彼のの政敵から
</t>
        </is>
      </c>
      <c r="G10" s="1" t="inlineStr">
        <is>
          <t xml:space="preserve">
</t>
        </is>
      </c>
      <c r="H10" s="1" t="inlineStr">
        <is>
          <t xml:space="preserve">
彼の差配により / 彼の政敵から
</t>
        </is>
      </c>
      <c r="I10" s="1" t="inlineStr">
        <is>
          <t xml:space="preserve">代名詞を代入する変数の処理に失敗し、助詞の「の」が重複しているため。
影響があらゆるところに及ぶ可能性があるので、慎重に修正する必要がある。
以下のキーが関連していると思われる。
CHARACTER_HER：her / 彼女の
CHARACTER_HIS：his / 彼の
CHARACTER_HIM：him / 彼を
</t>
        </is>
      </c>
      <c r="J10" s="1" t="inlineStr">
        <is>
          <t xml:space="preserve">スペイン
</t>
        </is>
      </c>
      <c r="K10" s="1" t="inlineStr">
        <is>
          <t xml:space="preserve">1.0.3
</t>
        </is>
      </c>
      <c r="L10" s="1" t="inlineStr">
        <is>
          <t xml:space="preserve">- Victoria II Remastered Soundtrack
- American Buildings Pack
</t>
        </is>
      </c>
      <c r="M10" s="1" t="inlineStr">
        <is>
          <t xml:space="preserve">- 自作Mod多数
</t>
        </is>
      </c>
    </row>
    <row r="11" ht="315" customHeight="1">
      <c r="A11">
        <f>HYPERLINK("https://github.com/matanki-saito/vic3jpadvmod/issues/240",240)</f>
        <v/>
      </c>
      <c r="B11" s="1" t="inlineStr">
        <is>
          <t>【修正提案】廃止論者の訪問</t>
        </is>
      </c>
      <c r="C11" s="1">
        <f>HYPERLINK("https://user-images.githubusercontent.com/84853597/199203961-a2128788-1629-4d01-b6c2-eacbfff72b11.png","screenshot")
</f>
        <v/>
      </c>
      <c r="D11" s="1" t="inlineStr">
        <is>
          <t xml:space="preserve">タイトル、本文、(選択肢)
</t>
        </is>
      </c>
      <c r="E11" s="1" t="inlineStr">
        <is>
          <t xml:space="preserve">廃止論者の訪問
</t>
        </is>
      </c>
      <c r="F11" s="1" t="inlineStr">
        <is>
          <t xml:space="preserve">インテリゲンチャのフェヴジ ズルフィカールは、最近上エジプトを巡っているようです。これは、廃止論者のためのプロパガンダと証言の収集のためであるようです。この州の奴隷所有者はこれを奴隷の間での激しい反乱を扇動しようとしているものとみなし、ズルフィカールを直ちに州から追い出すように要求しています。
「ああ、あなたは彼 **を** を **「** 穏健派 **」** だと考えているのですね？彼**を**が話すのを聞いたことはありますか？彼**が**公然と奴隷が主人に対して蜂起するよう演説することはありません。ですが、どの演説でも、制度そのものとそれを支持するすべての人を激しく非難しているのです。**それ故に、その大義に共感している聴衆が他の結論を導き出すとは到底思えませんね。**奴隷はそのような演説を聞くことを許されないかもしれませんが、このような演説がここで行われていると聞くだけでも、奴隷の勇気となるでしょう。**時間の問題です、よく覚えておいてください**」
</t>
        </is>
      </c>
      <c r="G11" s="1" t="inlineStr">
        <is>
          <t xml:space="preserve">その懸念には根拠がある。ズルフィカールはトラブルメーカーだ。
</t>
        </is>
      </c>
      <c r="H11" s="1" t="inlineStr">
        <is>
          <t xml:space="preserve">タイトル:
廃止論者の訪問　→　奴隷廃止論者の遊説
本文上部:
インテリゲンチャのフェヴジ ズルフィカールは、最近奴隷制を廃止するためのプロパガンダ及び証言収集のため上エジプトを巡っているようです。この州の奴隷所有者はこの動きを奴隷の間での激しい反乱を扇動しようとしているものと見て、ズルフィカールを直ちに州から追い出すように要求しています。
本文下部:
彼をを「穏健派」だと　→　彼のことを『穏健派』だと
彼をが　→　彼が
彼が公然と奴隷が主人に対して蜂起するよう演説することはありません。　→　彼は公然と奴隷が主人に対して蜂起するよう演説することはありません。
それ故に、その大義に共感している聴衆が他の結論を導き出すとは到底思えませんね。　→　ですから、奴隷制廃止の大義に共感している聴衆がそれ以外の結論に至るとは到底思えませんね。
時間の問題です、よく覚えておいてください　→　反乱は時間の問題です
選択肢:
懸念はもっともだ。ズルフィカールは厄介者だ。
</t>
        </is>
      </c>
      <c r="I11" s="1" t="inlineStr">
        <is>
          <t xml:space="preserve">タイトル:
abolitionismのことだろうから廃止論ではなく奴隷廃止論としたほうが良さそう
本文:
全体的に日本語の噛み合いが悪いため
選択肢:
せっかくなので硬直していない日本語に変更
</t>
        </is>
      </c>
      <c r="J11" s="1" t="inlineStr">
        <is>
          <t xml:space="preserve">エジプト
</t>
        </is>
      </c>
      <c r="K11" s="1" t="inlineStr">
        <is>
          <t xml:space="preserve">1.0.3
</t>
        </is>
      </c>
      <c r="L11" s="1" t="inlineStr">
        <is>
          <t xml:space="preserve">なし
</t>
        </is>
      </c>
      <c r="M11" s="1" t="inlineStr">
        <is>
          <t xml:space="preserve">なし
</t>
        </is>
      </c>
    </row>
    <row r="12" ht="945" customHeight="1">
      <c r="A12">
        <f>HYPERLINK("https://github.com/matanki-saito/vic3jpadvmod/issues/231",231)</f>
        <v/>
      </c>
      <c r="B12" s="1" t="inlineStr">
        <is>
          <t>【修正提案】イベント「私か、彼らか」（全体修正）</t>
        </is>
      </c>
      <c r="C12" s="1" t="inlineStr">
        <is>
          <t xml:space="preserve">なし
</t>
        </is>
      </c>
      <c r="D12" s="1" t="inlineStr">
        <is>
          <t xml:space="preserve">タイトル:
私か、彼らか
本文:
[リーダー名]は、与党[団体名]のリーダーですが、連立パートナーである彼のとの間の妥協にうんざりしているようです。彼は彼のの協力者に命令に従うよう要求しており、さもなければ彼の[団体名]は変更について承認しないと言っています。
「それがリーダーの仕事ではないのか？私が主導し皆がそれに従う。簡単な話だと思うがね。もし彼らが統率したいのであれば彼ら自身のリーダーになっていただろうが、誰も自分にその素養があると考えてはいなかったのだろう。
私のやり方はこれすなわち成功への常道なり！」
選択肢:
何とも馬鹿げた物言いだ。
よかろう。[団体名]に指導権を任せようじゃないか。
</t>
        </is>
      </c>
      <c r="E12" s="1" t="inlineStr">
        <is>
          <t xml:space="preserve">私か、彼らか
</t>
        </is>
      </c>
      <c r="F12" s="1" t="inlineStr">
        <is>
          <t xml:space="preserve">ー
</t>
        </is>
      </c>
      <c r="G12" s="1" t="inlineStr">
        <is>
          <t xml:space="preserve">ー
</t>
        </is>
      </c>
      <c r="H12" s="1" t="inlineStr">
        <is>
          <t xml:space="preserve">タイトル:
私か、**奴ら**か
本文:
[リーダー名]**は与党**[団体名]のリーダーですが、連立パートナーに**対するこれまでの譲歩にうんざりしています。彼は協力中の党へ指示に従うよう要求し、さもなければ彼らの改正案について**[団体名]**は今後いっさい賛同しないと言っています**。
「それがリーダーの仕事**というものだろう？私が率い、君らは従う**。簡単な話だと思うがね。**そんなに主導したければ御自身がリーダーになればよかったのだ。連中に指導者の資質があるなど誰も思わないだろうがね、奴ら以外**。
**私に従えない連中は出て行きたまえ、ということだ**！」
選択肢:
何とも馬鹿げた物言いだ。
よかろう。[団体名]に**牽引役**を任せようじゃないか。
</t>
        </is>
      </c>
      <c r="I12" s="1" t="inlineStr">
        <is>
          <t xml:space="preserve">タイトルのMe or Themを「彼ら」で訳すのは十分正しいですが、このイベントでは連立パートナーを示す「彼ら」と与党リーダーである「彼」で混同しやすく、対象をはっきりさせるため「奴ら」の方が良いのではと感じます。
"[リーダー名], leader of the ruling [団体名], has had enough of compromising with his coalition partners. He has demanded that either his collaborators follow his orders, or [団体名] will never approve of their changes. "の部分は原翻訳ではイベントの主人公がこれまで譲歩を続けてきた点や、今後連立パートナーから提出された法改正（their changes）に非協力を宣言している状況が分かりづらく、より明確な言葉遣いをしてはどうかと思います。
また[issue#210](https://github.com/matanki-saito/vic3jpadvmod/issues/210)での指摘にもありますが、政党間でのapproveは制度上の上下関係がなく、「承認」より「賛成」の方が相応しいかもしれません。
"I lead, you follow"の部分は一般論について言及しているためyouは「皆」で十分機能しますが、この場合は傲慢な話者が聞き手を含めた人々に従順であることを求めるニュアンスもある程度含まれているように考えられるため、とりあえず「君ら」としておきました（英語話者はこういう場合、やはりyouを具体的に目の前のあなたを起点としているイメージだと聞き及んでいるからでもありますが、非常に個人的な経験則ですし、不要そうであれば原文そのままで良いかと思います）。
"If they wanted to lead they could have been leaders themselves, but I guess no one else thought they could"の部分は全体的に不正確に訳されているようです。自身のリーダーではなく連立政権のリーダーになれという当てこすりであり、ここでのcould have beenは過去の可能性ではなく「なればよかったのに」といった遠い仮定だと考えます。またno one elseなので「彼ら以外は誰もリーダーの資格が彼らにはないと思っているだろう」という文になるかと思います。
"my way or the highway!" は「嫌なら帰れ」的な成句で、原翻訳はおそらく誤訳と思われます。It'sがついているため、「～、ということだ」のように前段のセリフを統括する形にする方がより原文のニュアンスに近いかもしれません。
"leading force"は指揮権といった具体的なものではなく、牽引役や主導役などの訳語がベターだと思われます。
</t>
        </is>
      </c>
      <c r="J12" s="1" t="inlineStr">
        <is>
          <t xml:space="preserve">日本（おそらく汎用イベント）
</t>
        </is>
      </c>
      <c r="K12" s="1" t="inlineStr">
        <is>
          <t xml:space="preserve">1.0.3
</t>
        </is>
      </c>
      <c r="L12" s="1" t="inlineStr">
        <is>
          <t xml:space="preserve">なし
</t>
        </is>
      </c>
      <c r="M12" s="1" t="inlineStr">
        <is>
          <t xml:space="preserve">有・ランダムイベントのためMODを外しての確認ができませんでした
Dense Trade Routes Tab, Dense Market Details, JapaneseLanguageAdvancedMod, Universal Names, Japanese Namelist Improvement
</t>
        </is>
      </c>
    </row>
    <row r="13" ht="90" customHeight="1">
      <c r="A13">
        <f>HYPERLINK("https://github.com/matanki-saito/vic3jpadvmod/issues/230",230)</f>
        <v/>
      </c>
      <c r="B13" s="1" t="inlineStr">
        <is>
          <t>【修正提案】イベント本文のタイポ（漢字変換ミス）</t>
        </is>
      </c>
      <c r="C13" s="1">
        <f>HYPERLINK("https://user-images.githubusercontent.com/117130842/199137905-ddbbcd44-1972-4639-8a5a-1914d6bfb8c1.png","screenshot")
</f>
        <v/>
      </c>
      <c r="D13" s="1" t="inlineStr">
        <is>
          <t xml:space="preserve">本文
</t>
        </is>
      </c>
      <c r="E13" s="1" t="inlineStr">
        <is>
          <t xml:space="preserve">アヘン中毒
</t>
        </is>
      </c>
      <c r="F13" s="1" t="inlineStr">
        <is>
          <t xml:space="preserve">アヘン乗用車
</t>
        </is>
      </c>
      <c r="G13" s="1" t="inlineStr">
        <is>
          <t xml:space="preserve">ー
</t>
        </is>
      </c>
      <c r="H13" s="1" t="inlineStr">
        <is>
          <t xml:space="preserve">アヘン常用者
</t>
        </is>
      </c>
      <c r="I13" s="1" t="inlineStr">
        <is>
          <t xml:space="preserve">漢字の変換ミス
</t>
        </is>
      </c>
      <c r="J13" s="1" t="inlineStr">
        <is>
          <t xml:space="preserve">フィリピン
</t>
        </is>
      </c>
      <c r="K13" s="1" t="inlineStr">
        <is>
          <t xml:space="preserve">1.0.3
</t>
        </is>
      </c>
      <c r="L13" s="1" t="inlineStr">
        <is>
          <t xml:space="preserve">なし
</t>
        </is>
      </c>
      <c r="M13" s="1" t="inlineStr">
        <is>
          <t xml:space="preserve">テスト用フォントMOD
</t>
        </is>
      </c>
    </row>
    <row r="14" ht="195" customHeight="1">
      <c r="A14">
        <f>HYPERLINK("https://github.com/matanki-saito/vic3jpadvmod/issues/121",121)</f>
        <v/>
      </c>
      <c r="B14" s="1" t="inlineStr">
        <is>
          <t>【修正提案】実績/ハプスブルクの再興</t>
        </is>
      </c>
      <c r="C14" s="1">
        <f>HYPERLINK("https://user-images.githubusercontent.com/116886486/198585221-f2565b82-51b2-473b-bec6-ac7614a88890.png","screenshot")
=HYPERLINK("https://user-images.githubusercontent.com/116886486/198585203-779aeade-b63d-488b-84bd-9ccb07e4e283.png","screenshot")
</f>
        <v/>
      </c>
      <c r="D14" s="1" t="inlineStr">
        <is>
          <t xml:space="preserve">オーストリアとしてスタートし、自身のシレジアとプロイセンを非主要国もしくはそれより低いランクに留める。
(元文)
Starting as Austria, own Silesia and Prussia must be Minor Power or Lower rank
</t>
        </is>
      </c>
      <c r="E14" s="1" t="inlineStr">
        <is>
          <t xml:space="preserve">ハプスブルクの再興
</t>
        </is>
      </c>
      <c r="F14" s="1" t="inlineStr">
        <is>
          <t xml:space="preserve">ー
</t>
        </is>
      </c>
      <c r="G14" s="1" t="inlineStr">
        <is>
          <t xml:space="preserve">ー
</t>
        </is>
      </c>
      <c r="H14" s="1" t="inlineStr">
        <is>
          <t xml:space="preserve">オーストリアとしてスタートしてシレジアを領有し、プロイセンを非主要国もしくはそれより低いランクにする。
</t>
        </is>
      </c>
      <c r="I14" s="1" t="inlineStr">
        <is>
          <t xml:space="preserve">翻訳ミス
</t>
        </is>
      </c>
      <c r="J14" s="1" t="inlineStr">
        <is>
          <t xml:space="preserve">ー
</t>
        </is>
      </c>
      <c r="K14" s="1" t="inlineStr">
        <is>
          <t xml:space="preserve">1.0.3
</t>
        </is>
      </c>
      <c r="L14" s="1" t="inlineStr">
        <is>
          <t xml:space="preserve">Victoria 3 Grand Edition に同梱されているDLC
</t>
        </is>
      </c>
      <c r="M14" s="1" t="inlineStr">
        <is>
          <t xml:space="preserve">なし
</t>
        </is>
      </c>
    </row>
    <row r="15" ht="165" customHeight="1">
      <c r="A15">
        <f>HYPERLINK("https://github.com/matanki-saito/vic3jpadvmod/issues/66",66)</f>
        <v/>
      </c>
      <c r="B15" s="1" t="inlineStr">
        <is>
          <t>【修正提案】名誉回復（維新ジャーナル）</t>
        </is>
      </c>
      <c r="C15" s="1">
        <f>HYPERLINK("https://user-images.githubusercontent.com/43299334/198197604-2db75a93-5f6e-4422-9688-faf8c55c2c00.jpg","screenshot")
</f>
        <v/>
      </c>
      <c r="D15" s="1" t="inlineStr">
        <is>
          <t xml:space="preserve">名誉回復
</t>
        </is>
      </c>
      <c r="E15" s="1" t="inlineStr">
        <is>
          <t xml:space="preserve">名誉回復
</t>
        </is>
      </c>
      <c r="F15" s="1" t="inlineStr">
        <is>
          <t xml:space="preserve">-
</t>
        </is>
      </c>
      <c r="G15" s="1" t="inlineStr">
        <is>
          <t xml:space="preserve">-
</t>
        </is>
      </c>
      <c r="H15" s="1" t="inlineStr">
        <is>
          <t xml:space="preserve">栄えある維新
</t>
        </is>
      </c>
      <c r="I15" s="1" t="inlineStr">
        <is>
          <t xml:space="preserve">原語Honorable Restorationの直訳。明治維新はMeiji Restorationが定訳であり、原語は明らかにこれを念頭においている。
また、このジャーナルを完了すると、その後「維新：～」というジャーナルが複数出現し、ここではRestorationが維新と訳されているため、表記ゆれを起こしている場所でもある。
余談だが、天皇の名前が入るべき「～の復権」に現在の指導者の名前が入るミスがみられるが、これはローカライズではなく本体側のミスと思われる。
</t>
        </is>
      </c>
      <c r="J15" s="1" t="inlineStr">
        <is>
          <t xml:space="preserve">日本
</t>
        </is>
      </c>
      <c r="K15" s="1" t="inlineStr">
        <is>
          <t xml:space="preserve">1.0.3
</t>
        </is>
      </c>
      <c r="L15" s="1" t="inlineStr">
        <is>
          <t xml:space="preserve">なし
</t>
        </is>
      </c>
      <c r="M15" s="1" t="inlineStr">
        <is>
          <t xml:space="preserve">なし
</t>
        </is>
      </c>
    </row>
    <row r="16" ht="90" customHeight="1">
      <c r="A16">
        <f>HYPERLINK("https://github.com/matanki-saito/vic3jpadvmod/issues/51",51)</f>
        <v/>
      </c>
      <c r="B16" s="1" t="inlineStr">
        <is>
          <t>【typo】イベント「ゴムの隆盛」の未変換箇所</t>
        </is>
      </c>
      <c r="C16" s="1">
        <f>HYPERLINK("https://user-images.githubusercontent.com/105610712/198126937-df64cd21-d2d8-4137-ae50-a6e8f8300f3e.jpg","screenshot")
</f>
        <v/>
      </c>
      <c r="D16" s="1" t="inlineStr">
        <is>
          <t xml:space="preserve">○○にてゴム栽培にせいこうしました。（後略）
</t>
        </is>
      </c>
      <c r="E16" s="1" t="inlineStr">
        <is>
          <t xml:space="preserve">ゴムの隆盛
</t>
        </is>
      </c>
      <c r="F16" s="1" t="inlineStr">
        <is>
          <t xml:space="preserve">○○にてゴム栽培にせいこうしました。（後略）
</t>
        </is>
      </c>
      <c r="G16" s="1" t="inlineStr">
        <is>
          <t xml:space="preserve">ー
</t>
        </is>
      </c>
      <c r="H16" s="1" t="inlineStr">
        <is>
          <t xml:space="preserve">○○にてゴム栽培に成功しました。
</t>
        </is>
      </c>
      <c r="I16" s="1" t="inlineStr">
        <is>
          <t xml:space="preserve">変換されていないと気になります
</t>
        </is>
      </c>
      <c r="J16" s="1" t="inlineStr">
        <is>
          <t xml:space="preserve">イギリス
</t>
        </is>
      </c>
      <c r="K16" s="1" t="inlineStr">
        <is>
          <t xml:space="preserve">1.0.1
</t>
        </is>
      </c>
      <c r="L16" s="1" t="inlineStr">
        <is>
          <t xml:space="preserve">なし
</t>
        </is>
      </c>
      <c r="M16" s="1" t="inlineStr">
        <is>
          <t xml:space="preserve">なし
</t>
        </is>
      </c>
    </row>
    <row r="17" ht="90" customHeight="1">
      <c r="A17">
        <f>HYPERLINK("https://github.com/matanki-saito/vic3jpadvmod/issues/46",46)</f>
        <v/>
      </c>
      <c r="B17" t="inlineStr">
        <is>
          <t>イベント「非効率な農業」の文中の余計なi</t>
        </is>
      </c>
      <c r="C17">
        <f>HYPERLINK("https://user-images.githubusercontent.com/29177147/198080926-8d2a9ac4-a0a5-403e-bb96-a5b87b90e509.png","screenshot")
</f>
        <v/>
      </c>
      <c r="D17" t="inlineStr">
        <is>
          <t xml:space="preserve">本文
</t>
        </is>
      </c>
      <c r="E17" t="inlineStr">
        <is>
          <t xml:space="preserve">非効率な農業
</t>
        </is>
      </c>
      <c r="F17" t="inlineStr">
        <is>
          <t xml:space="preserve">～その紛れもないi非効率性を～
</t>
        </is>
      </c>
      <c r="G17" t="inlineStr">
        <is>
          <t xml:space="preserve">ー
</t>
        </is>
      </c>
      <c r="H17" t="inlineStr">
        <is>
          <t xml:space="preserve">～その紛れもない非効率性を～
</t>
        </is>
      </c>
      <c r="I17" t="inlineStr">
        <is>
          <t xml:space="preserve">単純なtypo
</t>
        </is>
      </c>
      <c r="J17" t="inlineStr">
        <is>
          <t xml:space="preserve">スウェーデン
</t>
        </is>
      </c>
      <c r="K17" t="inlineStr">
        <is>
          <t xml:space="preserve">1.0.3
</t>
        </is>
      </c>
      <c r="L17" t="inlineStr">
        <is>
          <t xml:space="preserve">なし
</t>
        </is>
      </c>
      <c r="M17" t="inlineStr">
        <is>
          <t xml:space="preserve">なし
</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40" customWidth="1" min="2" max="2"/>
    <col width="40" customWidth="1" min="3" max="3"/>
    <col width="40" customWidth="1" min="4" max="4"/>
    <col width="40" customWidth="1" min="5" max="5"/>
    <col width="40" customWidth="1" min="6" max="6"/>
    <col width="40" customWidth="1" min="7" max="7"/>
    <col width="40" customWidth="1" min="8" max="8"/>
  </cols>
  <sheetData>
    <row r="1">
      <c r="A1" t="inlineStr">
        <is>
          <t>number</t>
        </is>
      </c>
      <c r="B1" t="inlineStr">
        <is>
          <t>title</t>
        </is>
      </c>
      <c r="C1" t="inlineStr">
        <is>
          <t xml:space="preserve"> 問題の固有名詞と希望する変更</t>
        </is>
      </c>
      <c r="D1" t="inlineStr">
        <is>
          <t xml:space="preserve"> 変更の理由</t>
        </is>
      </c>
      <c r="E1" t="inlineStr">
        <is>
          <t xml:space="preserve"> ゲームバージョン</t>
        </is>
      </c>
      <c r="F1" t="inlineStr">
        <is>
          <t xml:space="preserve"> DLC有無</t>
        </is>
      </c>
    </row>
    <row r="2" ht="135" customHeight="1">
      <c r="A2">
        <f>HYPERLINK("https://github.com/matanki-saito/vic3jpadvmod/issues/379",379)</f>
        <v/>
      </c>
      <c r="B2" s="1" t="inlineStr">
        <is>
          <t>日本の政党名</t>
        </is>
      </c>
      <c r="C2" s="1" t="inlineStr">
        <is>
          <t xml:space="preserve">国家市民同盟：国民同盟
庶民党：平民党
</t>
        </is>
      </c>
      <c r="D2" s="1" t="inlineStr">
        <is>
          <t xml:space="preserve">国民同盟　https://ja.wikipedia.org/wiki/%E5%9B%BD%E6%B0%91%E5%90%8C%E7%9B%9F_(%E6%97%A5%E6%9C%AC)
平民党　https://ja.wikipedia.org/wiki/%E6%97%A5%E6%9C%AC%E7%A4%BE%E4%BC%9A%E5%85%9A_(1906)
</t>
        </is>
      </c>
      <c r="E2" s="1" t="inlineStr">
        <is>
          <t xml:space="preserve">1.0.5
</t>
        </is>
      </c>
      <c r="F2" s="1" t="inlineStr">
        <is>
          <t xml:space="preserve">なし
日本語改善MOD
</t>
        </is>
      </c>
      <c r="G2" s="1" t="n"/>
      <c r="H2" s="1" t="n"/>
    </row>
    <row r="3" ht="1560" customHeight="1">
      <c r="A3">
        <f>HYPERLINK("https://github.com/matanki-saito/vic3jpadvmod/issues/362",362)</f>
        <v/>
      </c>
      <c r="B3" s="1" t="inlineStr">
        <is>
          <t>スペイン人の姓名</t>
        </is>
      </c>
      <c r="C3" s="1" t="inlineStr">
        <is>
          <t xml:space="preserve">アレジャンドロ：アレハンドロ
バルタザール：バルタサル
ベニト：ベニート
カリクスト：カリスト
セレスティノ：セレスティーノ
ガビーノ：ガビノ
ガスパー：ガスパル
ジェナーロ：ヘナロ
ゴンザーロ：ゴンサロ
ヤコボ：ハコボ
ヤイメ：ハイメ
ヨアキン：ホアキン
ジョゼ：ホセ
ジョゼ・アントニオ：ホセ・アントニオ
ジョゼ・マニュエル：ホセ・マヌエル
ジョゼ・マリア：ホセ・マリア
ジュアン：フアン
ユアン・バウティスタ：フアン・バウティスタ
ジュリオ：フリオ
ジョルジ：ホルヘ
メルコール：メルチョル
ミグエル：ミゲル
セジスムンド：セヒスムンド
ヴァレリアーノ：バレリアーノ
アレジャンドリナ：アレハンドリナ
エンリケッタ：エンリケタ
グイラーミナ：ギリェルミナ
ヘルミニア：エルミニア
アルヴァレズ・デ・トレード：アルバレス・デ・トレド
デ・アルボルノズ：デ・アルボルノス
バリオヌエヴォ：バリオヌエボ
デ・ボホルケス：デ・ボオルケス
カギガル・デ・ラ・ヴェガ：カヒガル・デ・ラ・ベガ
ディエズ・デ・リヴェラ：ディエス・デ・リベラ
デ・ドメック：デ・ドメク
フェルナンデズ・デ・コルドバ：フェルナンデス・デ・コルドバ
デ・ラ・フュエンテ：デ・ラ・フエンテ
フィッツ・ジェームズ・スチュアート：フィッツ＝ジェームズ・スチュアート
デ・フィギューラ：デ・フィゲロア
フェルナンデス・ザパタ：フェルナンデス＝サパタ
フェルナンデズ・デ・コルドバ：フェルナンデス・デ・コルドバ
ギロン：ヒロン
デ・グズマン：デ・グスマン
ゴンザレズ・デ・シエンフエゴス：ゴンサレス・デ・シエンフエーゴス
ヒダルゴ・デ・シスネロス：イダルゴ・デ・シスネロス
ヨルダン・デ・ウリエス：ホルダン・デ・ウリエス
ロペス・デ・ハロ：ロペス・デ・アロ
デ・ロラク：デ・リョラチ
メッシア：メシア
オルティズ・デ・ラ・リヴァ：オルティス・デ・ラ・リバ
オードネル：オドンネル
デ・オロズコ：デ・オロスコ
プリモ・デ・リヴェーラ：プリモ・デ・リベラ
ペレズ・デ・ヘラスティ：ペレス・デ・エラスティ
デ・パラフォックス：デ・パラフォクス
パレズ・デ・ウリエス：ペレス・デ・グスマン
ピネイロ：ピニェイロ
デル・ピラー・オソリオ：デル・ピラル・オソリオ
デ・クイロス：デ・キロス
デ・クインタニラ：デ・キンタニリャ
ラミレズ・デ・サヴェドラ：ラミレス・デ・サアベドラ
デル・ロサリオ・ヴェレテラ：デル・ロサリオ・ベレテラ
デ・ロジャス：デ・ロハス
ルイズ・デ・アラナ：ルイス・デ・アラナ
スアレズ・デ・アルグディン：スアレス・デ・アルグディン
デ・シルヴァ：デ・シルバ
デ・サトゥルステギ：デ・サトルステギ
デ・サラヴェルト：デ・サラベルト
サンシズ：サンチス
デ・ウルクイジョ：デ・ウルキホ
デ・ウズクエタ：デ・ウスケタ
デ・ヴァルダ：デ・バルダ
デル・ヴァレ：デル・バリェ
デ・ヴィラロンガ：デ・ビリャロンガ
デ・ラ・ヴェラ：デ・ラ・ベラ
ヴァルデス：バルデス
デ・ズフィア：デ・スフィア
アキューナ：アクーニャ
アギューレ：アギーレ
アルカラ・ザモーラ：アルカラ＝サモーラ
アレンデサラザール：アリェンデサラサル
アリュギュエレス・メレス：アルグエリェス＝メレス
アズナール：アスナル
アルヴァレズ：アルバレス
アラボラザ：アラボラサ
アランツァディ：アランサディ
ブガラール：ブガリャル
ボニーラ：ボニーリャ
セルヴェラ：セルベラ
ディアズ：ディアス
エグイアザバル：エギアサバル
フェルナンデズ：フェルナンデス
ファジャルド：ファハルド
ゴンザレス：ゴンサレス
グラセット：グラセト
ヘレディア：エレディア
ヘルナンデス：エルナンデス
ヘレーラ：エレーラ
ヘヴィア：エビア
イザギレ：イサギレ
ロレンザナ：ロレンサナ
ランダザバル：ランダサバル
ララナーガ：ララニャーガ
マロート：マロト
マルティネズ・カンポス：マルティネス＝カンポス
メネンデズ：メネンデス
ミャジャ：ミアハ
ミラン・アストレイ：ミリャン＝アストライ
モーラ：モラ
ムノズ：ムニョス
マルケズ：マルケス
ムゲルザ：ムゲルサ
ムグルザ：ムグルサ
ナルヴェズ：ナルバエス
オルドネス：オルドーニェス
オゾレス：オソレス
パヴィア：パビア
ペレズ：ペレス
パガザ：パガサ
パチュロ：パトゥーリョ
クエポ・デ・ラーノ：ケイポ・デ・リャーノ
キンターナ：キンタナ
クイランテ：キランテ
ロジョ：ロホ
ルイズ：ルイス
レパレズ：レパレス
サンジューロ：サンフルホ
シルヴェスト：シルベストレ
サプリッサ：サプリサ
ツヅリ：トゥドゥリ
ヴァルデス：バルデス
ヴァレーラ：バレーラ
ヴィラポル：ビリャポル
ヴィラー：ビリャル
ヴェラ：ベラ
ヴィロタ：ビリョータ
ヴィラルタ：ビラルタ
ヴァラナ：バリャーナ
ヴァズケス：バスケス
ワイラー：ウェイレル
イェーグ：ヤグエ
ザモラ：サモーラ
ザバラ：サバラ
デ・オルレアン：デ・オルレアンス
デ・ブルボン：デ・ボルボン
</t>
        </is>
      </c>
      <c r="D3" s="1" t="inlineStr">
        <is>
          <t xml:space="preserve">日本語では一般的ではない表記であるため。
</t>
        </is>
      </c>
      <c r="E3" s="1" t="inlineStr">
        <is>
          <t xml:space="preserve">1.0.5
</t>
        </is>
      </c>
      <c r="F3" s="1" t="inlineStr">
        <is>
          <t xml:space="preserve">なし
</t>
        </is>
      </c>
      <c r="G3" s="1" t="inlineStr">
        <is>
          <t xml:space="preserve">日本語改善MOD
</t>
        </is>
      </c>
      <c r="H3" s="1" t="n"/>
    </row>
    <row r="4" ht="1335" customHeight="1">
      <c r="A4">
        <f>HYPERLINK("https://github.com/matanki-saito/vic3jpadvmod/issues/347",347)</f>
        <v/>
      </c>
      <c r="B4" s="1" t="inlineStr">
        <is>
          <t>東スラヴ系文化の姓名</t>
        </is>
      </c>
      <c r="C4" s="1" t="inlineStr">
        <is>
          <t xml:space="preserve">ゲナディ：ゲンナジー
ギオルギ：ゲオルギー
イゴール：イーゴリ
ラヴル：ラーヴル
レヴ：レフ
マキシム：マクシム
ミクハイル：ミハイル
ローマ：ロマン
セミヨン：セミョーン
ヴラディスラフ：ウラジスラフ
ユーリ：ユーリー
バークレイ・ド・トリー：バルクライ・ド・トーリ
ベスツゼフ・リューミン：ベストゥージェフ＝リューミン
ブラトヴィッチ：ブラトーヴィチ
バターリン：ブトゥルリン
ドルゴルコフ：ドルゴルーコフ
イグナティエフ：イグナチェフ
イヴェリッチ：イヴェーリチ
ケルシ：ケリフ
クシュレフ・ベズボロドコ：クシェレフ＝ベズボロドコ
クラキン：クラーキン
ロプキン：ロプヒン
マトヴェイエフ：マトヴェーエフ
プチャティン：プチャーチン
ロストプチン：ロストプチーン
ルミャンツセフ：ルミャーンツェフ
ユルイェフスキー：ユーリエフスキー
アレクセイエフ：アレクセーエフ
アントノフ：アントーノフ
アザロフ：アザーロフ
バダノフ：バダーノフ
ブルシロフ：ブルシーロフ
ブディオニー：ブジョーンヌイ
チビソフ：チービソフ
デニキン：デニーキン
ドラゴミロフ：ドラゴミーロフ
グルコ：グールコ
カッソ：カソー
コルシャク：コルチャーク
コネフ：コーネフ
コンスタンティノフ：コンスタンチーノフ
コルニロフ：コルニーロフ
クロパツキン：クロパトキン
メンシコフ：メーンシコフ
ナヒモフ：ナヒーモフ
パブロフ：パヴロフ
ロツェスヴェンスキー：ロジェストヴェンスキー
シュヴァロフ：シュヴァーロフ
ソロキン：ソローキン
トゥハシャフスキー：トゥハチェフスキー
ヴォロンストフ：ヴォロンツォフ
ヴォロシロフ：ヴォロシーロフ
ユーデニッチ：ユデーニチ
コンスタンチノヴィッチ：コンスタンチーノヴィチ
ミカイロビッチ：ミハイロヴィチ
パブロビッチ：パーヴロヴィチ
ウラジミーロビッチ：ウラジーミロヴィチ
ズミトリー：ジミトリー
リホール：ルィホール
ウラジミール：ウラジーミル
ヴィクタール：ヴィークタル
ボドガノヴィッチ：ボグダノーヴィチ
ボンチ・ブルーイエビッチ：ボンチ＝ブルエヴィッチ
ビューラク・バラホヴィッチ：ブラーク＝バラホーヴィチ
ドヴナー・ザポルスキー：ドウナル＝ザポリスキ
フリーノヴィッツ：フルィノヴィチ
カリノブスキー：カリノーウスキ
パシュケヴィッチ：パシュケーヴィチ
スカームント：スキールムント
スコーザネット：スホザネート
スクホイ：スホーイ
ザウリド：ジャウルィード
アルカディ：アルカディー
ボリス：ボルィース
ホリホリー：フルィホーリイ
ヴォロディミール：ウォロディミル
イェフヘン：イェウヘーン
ユーリ：ユーリー
シュビンスキー：チュビーンスキー
ツアイコウスキー：チャイコフスキー
ドラハモノフ：ドラホマーノウ
ゴゴル・ヤノフスキー：ゴーゴリ＝ヤノーフスキー
フニズドフスキー：フニズドーウシキー
カラシェヴィッツ・トカルゼウスキー：カラシェヴィチ＝トカジェフスキ
コビーリャンスキー：コビリャーンスキー
クロピーフニツスキー：クロピウニツィキー
クーリッシュ：クリーシュ
レヴィツスキー：レヴィーツィキー
ロトツスキー：ロトーツィキー
オーノフスキー：オホノーウスキー
オメリヤノーヴィチ・パウレーンコ：オメリヤノーヴィチ＝パウレーンコ
ペトルシェヴィチ：ペトルシェーヴィチ
ロツィアンコ：ロジャンコ
サス・クイロフスキー：サス＝クイローウスキー
シャコフスコイ：シャホウスコイ
シェプテティツスキー：シェプティーツィキー
スコロパドスキー：スコロパードスキー
バクニャニン：ヴァフニャーニン
ヴィトフスキー：ヴィトーウスキー
ツブリツスキー：ズブリーツィキー
ブズレチコ：ベズルチコ
チェルニアコフスキー：チェルニャホフスキー
ディアチェンコ：ジャチェンコ
ガムラ：ガムーラ
グリゴリエフ：グリゴーリエフ
カプスティアンスキー：カプスチャーンスキー
コンドラテンコ：コンドラチェンコ
パスケヴィッチ：パスケーヴィチ
ペトリウラ：ペトリューラ
シェフチェンコ：シェウチェンコ
ステファニフ：ステファニウ
リカチェフ：リハチョーフ
マミン：マーミン
ミニン：ミーニン
シビリアク：シビリャーク
ティカノフ：チハノフ
フョドール：フョードル
</t>
        </is>
      </c>
      <c r="D4" s="1" t="inlineStr">
        <is>
          <t xml:space="preserve">日本語では一般的ではない表記であるため。
</t>
        </is>
      </c>
      <c r="E4" s="1" t="inlineStr">
        <is>
          <t xml:space="preserve">1.0.5
</t>
        </is>
      </c>
      <c r="F4" s="1" t="inlineStr">
        <is>
          <t xml:space="preserve">なし
</t>
        </is>
      </c>
      <c r="G4" s="1" t="inlineStr">
        <is>
          <t xml:space="preserve">日本語修正MOD
</t>
        </is>
      </c>
      <c r="H4" s="1" t="n"/>
    </row>
    <row r="5" ht="1530" customHeight="1">
      <c r="A5">
        <f>HYPERLINK("https://github.com/matanki-saito/vic3jpadvmod/issues/333",333)</f>
        <v/>
      </c>
      <c r="B5" s="1" t="inlineStr">
        <is>
          <t>ドイツ系文化の姓名</t>
        </is>
      </c>
      <c r="C5" s="1" t="inlineStr">
        <is>
          <t xml:space="preserve">フォン・アレンシルト：フォン・アレンチルト
フォン・ビスマルク・ボーレン：フォン・ビスマルク＝ボーレン
フォン・ブロムベルク：フォン・ブロンベルク
ヴォン・デム・クネセベック：フォン・デン・クネーゼベック
フォン・ゲブサー：フォン・ゲプザー
フォン・ヘッセン・ダルムシュタット：フォン・ヘッセン＝ダルムシュタット
フォン・ヘッセン・カッセル：フォン・ヘッセン＝カッセル
フォン・シャウムブルク・リッペ：フォン・シャウムブルク＝リッペ
フォン・ホルシュタイン・ゴットルプ：フォン・ホルシュタイン＝ゴットルプ
フォン・クリーフェルド：フォン・クレーフェルト
フォン・マントイッフェル：フォン・マントイフェル
フォン・メクレンブルク・シュヴェーリン：フォン・メクレンブルク＝シュヴェリーン
フォン・メクレンブルク・シュトレーリッツ：フォン・メクレンブルク＝シュトレーリッツ
フォン・ザクセン・アルテンブルク：フォン・ザクセン＝アルテンブルク
フォン・ザクセン・コーブルク・ゴータ：フォン・ザクセン＝コーブルク＝ゴータ
フォン・ザクセン・マイニンゲン：フォン・ザクセン＝マイニンゲン
フォン・ザクセン・ヴァイマル・アイゼナハ：フォン・ザクセン＝ヴァイマル＝アイゼナハ
フォン・シュバルツブルク：フォン・シュヴァルツブルク
フォン・シュピー：フォン・シュペー
フォン・ルーン：フォン・ローン
フォン・ジョンス：フォン・ヨンス
フォン・ニエジチョウスキー：フォン・ニェジホフスキ
アベグ：アベッグ
アレンド：アーレント
ベンケ：ベーンケ
ボーメル：ベーメル
ボーシグ：ボルジッヒ
コーデマン：コルデマン
クールメイヤー：クレマイアー
ドレイヤー：ドライアー
デュプラ：デプレ
エーラート：エーレルト
フェイヤーアーベンド：フェイアアーベント
ガルベ：ガーベ
ガーラッハ：ゲルラッハ
ゴーデラー：ゲルデラー
ゴーツ：ゲッツ
グリーブ：グレーベ
グローネル：グレーナー
グロス：グロート
ハールコート：ハーコート
ハリチ：ハーリヒ
ハッセンプフルグ：ハッセンプフルーク
ヒルシュフェルド：ヒルシュフェルト
フバッシュ：フーバッチュ
ジャストロウ：ヤストロー
ジョホウ：ヨーフ
キルヒウェガー：キルヒヴェーガー
クルムナウ：クルムノフ
ライスティコウ：ライスティコフ
レームクール：レームキュール
モール：モル
ペイサー：パイザー
ロープケ：レプケ
シッメルフェニッグ：シメルフェニク
シュリー：シュレー
ウェイデメイアー：ヴァイデマイアー
ヴィットフェルド：ヴィットフェルト
ウェーラート：ヴェーレルト
ゼラーン：ツェラーン
ダスプレー・フォン・フーブルーク：ダスプレ・フォン・ホーブロイク
シュノール・フォン・カロルスフェルド：シュノル・フォン・カロルスフェルト
フォン・ベーム・エルモッリ：フォン・ベーム＝エルモッリ
フォン・クラム・ガラス：フォン・クラム＝ガラス
フォン・ホーヘンハウゼン：フォン・ホーエンハウゼン
フォン・ディートリッヒ：フォン・ディートリヒ
フォン・ヴェイガート：フォン・ヴァイガート
フォン・ツァーリンゲン：フォン・ツェーリンゲン
ツウ・ホーエンローエ：ツー・ホーエンローエ
フォン・ウレーデ：フォン・ヴレーデ
フォン・メイヤーバッハ：フォン・マイアースバッハ
フォン・サーンベルク：フォン・トゥルンベルク
ベック・ルジコウスキー：ベック＝ルジコウスキ
ドールマン：ドルマン
フェルダーロイサー：フェルダーロイター
ジョーリング：ゲーリング
グローシェル：グレーシェル
ハイニッシュ：ハイニシュ
ヘルド：ヘルト
ヘルパッチ：ヘルパッハ
ヘルメリッヒ：ヘルメリヒ
ホムバーガー：ホンベルガー
ヒュメル：フンメル
メルゲンターラー：マーゲンターラー
プラットナー：プラトナー
プラング：プランク
レンメレ：レメレ
サイツ：ザイツ
スティーブ：シュテープ
ストラウス：シュトラウス
セイラー：ザイラー
トランク：トルンク
ウングラウブ：ウングラウプ
ヴァグナー：ヴァーグナー
ゼラー：ツェラー
ゼンガー：ツェンガー
ジンク：ツィンク
オイアーバッハ：アウエルバッハ
オイフルッシ：エフルシ
グンツブルク：ギュンツブルク
フォン・ホフマンスタール：フォン・ホーフマンスタール
アブラモビッチ：アブラモヴィッチ
コーヘン：コーエン
フリードランダー：フリートレンダー
ヤコブソン：ヤーコプゾーン
レーヴィン：レヴィン
エルウィン：エルヴィン
エンゲルバート：エンゲルベルト
ゲブハード：ゲープハルト
ゴットフリード：ゴットフリート
ラインホールド：ラインホルト
ルプレヒト：ループレヒト
レオンハルド：レオンハルト
コンラード：コンラート
ブルクハルド：ブルクハルト
フリードリッヒ：フリードリヒ
ルドウィグ：ルートヴィヒ
ラインハルド：ラインハルト
ヴェイト：ファイト
ヴィトス：フィトゥス
</t>
        </is>
      </c>
      <c r="D5" s="1" t="inlineStr">
        <is>
          <t xml:space="preserve">日本語では一般的ではない表記であるため。
</t>
        </is>
      </c>
      <c r="E5" s="1" t="inlineStr">
        <is>
          <t xml:space="preserve">1.0.4
</t>
        </is>
      </c>
      <c r="F5" s="1" t="inlineStr">
        <is>
          <t xml:space="preserve">なし
</t>
        </is>
      </c>
      <c r="G5" s="1" t="inlineStr">
        <is>
          <t xml:space="preserve">なし
</t>
        </is>
      </c>
      <c r="H5" s="1" t="n"/>
    </row>
    <row r="6" ht="1380" customHeight="1">
      <c r="A6">
        <f>HYPERLINK("https://github.com/matanki-saito/vic3jpadvmod/issues/319",319)</f>
        <v/>
      </c>
      <c r="B6" s="1" t="inlineStr">
        <is>
          <t>アフリカの都市名</t>
        </is>
      </c>
      <c r="C6" s="1" t="inlineStr">
        <is>
          <t xml:space="preserve">サルレイ：サル・レイ
サオ・フィルペ：サンフィリペ
サンタ・クルツ：サンタクルス
フンチャル：フンシャル
ポルトモニズ：ポルトモニス
エストレイト・ダ・カルヘタ：エストレイト・ダ・カリェタ
タンギエルス：タンジェ
タザ：ターザ
オウダ：ウジダ
クサル・エル・ケビル：クサール・エル・ケビール
グエルミム：ゲルミン
エラチディア：エルラシディア
カルザザテ：ワルザザート
ティズニト：ティーズニート
エス・セマラ：エッ＝スマラ
サングレイブ：サングラヴ
アクジョウト：アクジュージト
フデリク：フデリック
ゴウルマ・ラハロウス：グルマ・ラルス
ボルジ・モクタル：ボルジュ・モウタール
ティミアオウイン：ティミャオウィン
ティン・ザオウティン：ティン・ザウティン
ガーラダイア：ガルダイア
ティミモウン：ティミムン
エル・オウド：エル・ウェッド
バツナ：バトナ
ミラー：ミラ
カッセリネ：カスリーヌ
サブハ：セブハ
タジルブ：タゼルボ
アジダビヤ：アジュダービヤー
アズ・ズワイティナ：アッ＝ズウェティナ
シルテ：スルト
アル・バイダ：アル・バイダー
エル・サロウム：アッ＝サルーム
シディ・バッラニ：シーディ・バラーニ
ゲベル・イウェイビド：ジェベル・イウェイビド
エル・トゥール：エルトール
ネケル：ネヘル
アリーシ：アリーシュ
アシュト：アシュート
ソハグ：ソハーグ
バッラミヤ：バッラーミーヤ
エル・カールガ：エル・ハルガ
ポート・スーダン：ポートスーダン
ワディ・ハルファ：ワジハルファ
カドゥグリ：カードゥクリー
カートゥム：ハルツーム
ワディ・メダニ：ワドメダニ
メルト：メルート
デッシー：デセ
バヒル・ダール：バハルダール
アンコベール：アンコベル
ガルカヨ：ガルカイヨ
カルデョ：カルド
グールー：グル
ダル・エス・サラーム：ダルエスサラーム
トゥレアール：テュレアール
イホロンベ：イフルンベ
モロンダバ：ムルンダヴァ
タナナリブ：タナナリヴ
タマタベ：タマタヴ
サマババ：サンバヴァ
ディエゴ・スアレズ：ディエゴ・スアレス
セント・デニス：サン＝ドニ
ポート・ルイス：ポートルイス
クレピペ：キュールピップ
クアトル・ボルネス：カトル・ボルヌ
セント・ピエール：サン・ピエール
リチンガ：リシンガ
カサマ：カザマ
フワンジェ：ワンゲ
チモイオ：シモイオ
マピンハネ：マピニャネ
サイサイ：シャイシャイ
ルクスビル：ルーヴィル
マルゲート：マルギット
グラハムスタウン：グラハムズタウン
グラーフ・ライネット：グラーフ＝ライネ
スプリングボク：スプリングボック
ブリスタウン：ブリッツタウン
ダ・アール：デ・アール
ルーデリッツ：リューデリッツ
ガーンジ：ハンツィ
オツジワロンゴ：オティワロンゴ
フアンボ：ウアンボ
アンブリズ：アンブリス
サオ・サルバド：サン・サルヴァドール
ケンゲ：ケンジュ
ムウェネ・ディト：ムワンヌ・ディトゥ
エクエタービル：エクアトゥールヴィル
ボエンデ：ブエンデ
ゲマナ：ゲメナ
ブラッザビル：ブラザヴィル
キバンゴウ：キバングー
オウエッソ：ウェッソ
リブレビル：リーブルヴィル
ポート・ジェンティル：ポールジャンティ
フォウガモウ：フガムー
マココウ：マコクー
イエオンデ・ステーション：イェオンデ・ステーション
ポート・クラレンス：ポールクラランス
ヌガオウンデレ：ンガウンデレ
ヌガオウンダル：ンガウンダル
ボッサンゴア：ボサンゴア
ワウ：ワーウ
エル・ファシャー：エル＝ファーシル
マッサコリー：マッサコリ
アガデズ：アガデス
アルリト：アーリット
ジンダー：ザンデール
ディッファ：ディファ
ボンゴール：ボンゴル
サル：サール
カラバール：カラバル
ポート・ハーコート：ポートハーコート
オニツシャ：オニチャ
ジャクパ：ジェイクパ
ピズヒ：パイジ
オンドゥ：オンド
ポルト・ノボ：ポルトノボ
ダパオン：ダパング
アタクパム：アタクパメ
タマール：タマレ
ブーナ：ブナ
フェルケッセドーグー：フェルケセドゥーグー
コルホゴ：コロゴ
クードーグー：クドゥグ
ソレンゾ：ソランゾ
シカッソ：シカソ
カイェス：カイ
クーリコロ：クリコロ
セントルイス：サン＝ルイ
ビグノナ：ビニョナ
ラーベ：ラベ
ボーケ：ボケ
グバルンガ：バルンガ
ドゥエクエ：デコエ
コスタ・アデジェ：コスタ・アデヘ
フンチャル：フンシャル
ポルトモニズ：ポルトモニス
</t>
        </is>
      </c>
      <c r="D6" s="1" t="inlineStr">
        <is>
          <t xml:space="preserve">日本語では一般的ではない表記であるため。
</t>
        </is>
      </c>
      <c r="E6" s="1" t="inlineStr">
        <is>
          <t xml:space="preserve">1.0.3
</t>
        </is>
      </c>
      <c r="F6" s="1" t="inlineStr">
        <is>
          <t xml:space="preserve">なし
</t>
        </is>
      </c>
      <c r="G6" s="1" t="inlineStr">
        <is>
          <t xml:space="preserve">なし
</t>
        </is>
      </c>
      <c r="H6" s="1" t="n"/>
    </row>
    <row r="7" ht="2775" customHeight="1">
      <c r="A7">
        <f>HYPERLINK("https://github.com/matanki-saito/vic3jpadvmod/issues/300",300)</f>
        <v/>
      </c>
      <c r="B7" s="1" t="inlineStr">
        <is>
          <t>オセアニア、南北アメリカ、一部ヨーロッパの都市名</t>
        </is>
      </c>
      <c r="C7" s="1" t="inlineStr">
        <is>
          <t xml:space="preserve">タウンスビル：タウンズビル
トゥーウーンバ：トゥーンバ
カサリン：キャサリン
ジャブリ：ジャビルー
ペルス：パース
ポート・ヘッドランド：ポートヘッドランド
バンブリー：バンバリー
ポート・ピリー：ポートピリー
クーバー・ペディ：クーバーペディ
ターコーラ：タークーラ
ミルドゥラ：ミルデューラ
アルムダール：アームデール
ポート・アルバート：ポートアルバート
ワーナンブール：ウォーナンブール
バリンスデール：バーンズデール
ラウンセストン：ローンセストン
ストラハン：ストラーン
ブレンハイム：ブレナム
アウクランド：オークランド
ナピエ：ネーピア
パルメルストン：パーマストン
ファンガレイ：ファンアーレイ
タフナ：ターフナ
ナディ：ナンディ
ラバサ：ランバサ
コウマク：コマク
ノウメア：ヌメア
オウベア：ウヴェア
ポルト・バト：ポート＝ヴァト
ルガンビル：ルーガンビル
フォラーリ：フォラリ
ウォジェ：ウォッジェ
ヌクヒヴァ：ヌク・ヒバ
カイルアコナ：カイルア・コナ
プリンセビル：プリンスヴィル
イーサフィヨルズル：イーサフィヨルズゥル
ブレンドゥオス：ブリョンドゥオゥス
アクレイリ：アークレイリ
エギルスタディール：エイイルススタジル
ゴットハフン：ゴズハウン
キルケスピルダーレン：キアゲスピルデーレン
カンゲルルススアーク：スンラ・ストラムフィヨーア
フィスケナッセト：フィスケネスズ
セントジョージ：セントジョージズ
フラッツ・ビレッジ：フラッツヴィレッジ
サマーセット・ビレッジ：サマセットヴィレッジ
アングラ・ド・ヘロイスモ：アングラ・ド・エロイズモ
ホルタ：オルタ
セントジョン：セントジョンズ
シェシャツィウ：シェハツィウ
シクティミ：シクーティミ
シャーブルック：シェルブルック
バル・ドール：ヴァルドール
サッドブリー：サドバリー
フォート・ダグラス：フォートダグラス
ホエール・コーブ：ホエール・コーヴ
フォート・レゾリューション：フォートレゾリューション
フォート・スミス：フォートスミス
フォート・プロビデンス：フォートプロヴィデンス
レギーナ：レジャイナ
フォート・エドモントン：フォートエドモントン
フォート・マックマレー：フォートマクマレー
バンダーホーフ：バンダーフーフ
フォート・ネルソン：フォートネルソン
イヌビク：イヌヴィック
カルマクス：カーマクス
ヴァルデズ：ヴァルディーズ
アウグスタ：オーガスタ
ザ・フォーク：ザフォークズ
バンゴール：バンゴー
コンコルド：コンコード
モンペリエ：モントピリア
ルドロウ：ラドロー
ジェームスタウン：ジェームズタウン
ニューヘブン：ニューヘイブン
ビンハントン：ビンガムトン
アルバニー：オールバニ
モーリスタウン：モリスタウン
アンナポリス：アナポリス
フレドリックスバーグ：フレデリックスバーグ
ホルダービー・ランディング：ホルダービーズ・ランディング
コロンブス：コロンバス
アテネ：アセンズ
トレド：トリード
オー・クレア：オークレア
ペオリア：ピオリア
エバンスビル：エバンズビル
ルイスビル：ルイビル
ラレイグ：ローリー
メコン：メイコン
アウグスタ：オーガスタ
バーミンガム：バーミングハム
ビロクシー：ビロクシ
トゥペロ：テューペロ
トゥルサ：タルサ
イダベル：アイダベル
マックアレスター：マカレスター
ケープ・ジラードー：ケープジラード
トペカ：トピカ
ロワシティ：アイオワシティ
アイツキン：エイキン
ピエール：ピア
ビスマルク：ビズマーク
ミノット：マイノット
リードビル：レッドビル
アルブクエルク：アルバカーキ
ルイドース：ルイドソ
トゥクソン：ツーソン
ホルブルック：ホルブロック
ソルトレークシティ：ソルトレイクシティ
レノ：リノ
カンデラリア：キャンディラリア
ボイス：ボイシ
カー・ダレーン：コー・ダリーン
ベリンガム：ベリンハム
サンクエンティン：サン・ケンティン
メキシカリ：メヒカリ
カボ・サン・ルーカス：カボ・サン・ルカス
サンタローゼリア：サンタ・ロサリア
ノヴォジョア：ナボホア
シフアフア：チワワ
ジメネズ：ヒメネス
クアウテモック：クアウテモク
サンチアゴ・パパスキアロ：サンティアゴ・パパスキアロ
エルサルト：エル・サルト
モンテレリー：モンテレイ
シウダード・ヴァレス：シウダー・バージェス
シウダード・ヴィクトリア：シウダー・ビクトリア
ザカテカス：サカテカス
フレスニヨ：フレスニジョ
ジャルパ：ハルパ
ヴァルパライソ：バルパライソ
サンルイスポトシ：サン・ルイス・ポトシ
グアナジュアト：グアナフアト
シウダード・ヴァレス：シウダー・バージェス
フチタン・デ・ザラコザ：フチタン・デ・サラゴサ
エル・フォルテ：エル・フエルテ
グアダラジャ：グアダラハラ
プレルト・ヴァラルタ：プエルト・バジャルタ
チルパンチンゴ：チルパンシンゴ
ジフアタネジョ：シワタネホ
チルパンチンゴ：チルパンシンゴ
ヴェラクルズ：ベラクルス
ジャラパ：ハラパ
パヨオビスポ：パヨ・オビスポ
エスキンツラ：エスクイントラ
ベリーゼ・シティ：ベリーズシティ
アカジュツルア：アカフトラ
プレルト・コルテス：プエルト・コルテス
サン・ペドロ・スラ：サン・ペドロ・スーラ
シナンデーガ：チナンデガ
サンノゼ：サンホセ
デイヴィド：ダビド
カルタゲナ：カルタヘナ
ブエナヴェンツラ：ブエナベントゥラ
ネイヴァ：ネイバ
トゥンジャ：トゥンハ
イバギュー：イバゲー
マニザレス：マニサレス
ヴィラビセンチオ：ビジャビセンチオ
フローレンシア：フロレンシア
サン・ホセ・デル・グアビアレ：サン・ホセ・デル・グアビアーレ
プレルト・カレーノ：プエルト・カレーニョ
サン・フェルナンド・ド・アプール：サン・フェルナンド・デ・アプレ
カイエン：カイエンヌ
ノイゲダハト：ノイトヘダフト
ベレム：ベレン
サン・セバスチアン：サン・セバスティアン
ボア・ビスタ：ボア・ヴィスタ
カンポグランデ：カンポ・グランデ
カロリーナ：カロリナ
インペラトリズ：インペラトリス
マカオ：マカウ
パレルハス：パレリャス
ジャボアタオ：ジャボアタン
イルヘウス：イリェウス
ベロ・ホリゾンテ：ベロオリゾンテ
パトス・ド・ミナス：パトス・デ・ミナス
リベイラオ・プレト：リベイロン・プレト
ヴィトリア：ヴィトーリア
マンフアク：マニュアス
ジュイス・デ・フォラ：ジュイス・デ・フォーラ
サオ・パウロ：サンパウロ
クリティバ：クリチバ
カスカベル：カスカヴェル
クルツアルタ：クルスアルタ
プンタ・デル・エスタ：プンタ・デル・エステ
バーゲ：バジェ
サン・ゴンカロ・デ・アマランテ：サン・ゴンサーロ・デ・アマランテ
イグアツ：イグアトゥ
クリティバノス：クリチバノス
ロドリゲス・アルベス：ロドリゲス・アルヴェス
パラヒバ：パライバ
ジュアゼリンホ：ジュアゼリニョ
バヒア・ブランカ：バイアブランカ
トレス・アロイス：トレス・アロヨス
ザラーテ：サラテ
ゴーヤ：ゴヤ
エスキーナ：エスキナ
レジステンシア：レシステンシア
モンテ・クエマド：モンテ・ケマド
ジュジュイ：フフイ
クイネス：キネス
メンドーザ：メンドーサ
サン・ユアン：サンフアン
ネウクエン：ネウケン
サンジュリアン：サンフリアン
ザパラ：サパラ
スタンレー：スタンリー
プンタ・アレナス：プンタ・アレーナス
プエルト・モント：プエルトモント
コイハケ：コイアイケ
ヴァルディヴィア：バルディビア
ヴィラリカ：ビジャリカ
ヴァルパライソ：バルパライソ
トコピラ：トコピジャ
サンタ・クルツ：サンタクルス
サント・コラゾン：サント・コラソン
ポゾ・コロラド：ポソ・コロラド
ドクトール・ペドロP.ペーニャ：ドクトル・ペドロ・ペ・ペーニャ
ペドロ・ジュアン・カバレロ：ペドロ・フアン・カバリェロ
ヴィアチャ：ビアチャ
トリニダード：トリニダ
イクイク：イキケ
ハンバーストーン：ウンベルストネ
モレンド：モジェンド
アヤクチョ：アヤクーチョ
カラオ：カヤオ
フアンカヨ：ワンカヨ
プカラパ：プカルパ
フアヌコ：ワヌコ
トルヒーヨ：トルヒージョ
チクラヨ：チクラーヨ
イクイトス：イキトス
サン・ロレンツォ：サン・ロレンソ
サンティアゴ・デ・キューバ：サンティアゴ・デ・クーバ
サンタ・クララ：サンタ・クラーラ
ナッサウ：ナッソー
ニコルスタウン：ニコールズタウン
カプ・アイシアン：カパイシャン
ポルタウプリンス：ポルトープランス
コルニロン：コルニヨン
ハクメル：ジャクメル
レス・ケイス：レカイ
サンティアゴ・デ・ロス・カバレロス：サンティアゴ・デ・ロス・カバリェロス
サント・ドミンゴ：サントドミンゴ
ラ・ヴェガ：ラベガ
ポンケ：ポンセ
サン・ユアン：サンフアン
サン・ピエール：サン＝ピエール
ブラッサテッレ：ブラサ・テレ
ミディナ：イムディーナ
</t>
        </is>
      </c>
      <c r="D7" s="1" t="inlineStr">
        <is>
          <t xml:space="preserve">日本語では一般的ではない表記であるため。
</t>
        </is>
      </c>
      <c r="E7" s="1" t="inlineStr">
        <is>
          <t xml:space="preserve">1.0.3
</t>
        </is>
      </c>
      <c r="F7" s="1" t="inlineStr">
        <is>
          <t xml:space="preserve">なし
</t>
        </is>
      </c>
      <c r="G7" s="1" t="inlineStr">
        <is>
          <t xml:space="preserve">なし
</t>
        </is>
      </c>
      <c r="H7" s="1" t="n"/>
    </row>
    <row r="8" ht="60" customHeight="1">
      <c r="A8">
        <f>HYPERLINK("https://github.com/matanki-saito/vic3jpadvmod/issues/289",289)</f>
        <v/>
      </c>
      <c r="B8" s="1" t="inlineStr">
        <is>
          <t>海軍基地の方式　一括修正</t>
        </is>
      </c>
      <c r="C8" s="1" t="inlineStr">
        <is>
          <t xml:space="preserve">船のクラス　Ship Class
輸送船団護衛　Convoy Escorts
輸送船団レイダー　Convoy Raiders
　レイダー進撃　Commerce Raiders
</t>
        </is>
      </c>
      <c r="D8" s="1" t="inlineStr">
        <is>
          <t xml:space="preserve">Ship Class　艦種
Convoy Escorts　船団護衛
Convoy Raiders　船団襲撃
　Commerce Raiders　通商破壊船
</t>
        </is>
      </c>
      <c r="E8" s="1" t="inlineStr">
        <is>
          <t xml:space="preserve">誤訳
</t>
        </is>
      </c>
      <c r="F8" s="1" t="inlineStr">
        <is>
          <t xml:space="preserve">1.0.4
</t>
        </is>
      </c>
      <c r="G8" s="1" t="inlineStr">
        <is>
          <t xml:space="preserve">なし
</t>
        </is>
      </c>
      <c r="H8" s="1" t="inlineStr">
        <is>
          <t xml:space="preserve">なし
</t>
        </is>
      </c>
    </row>
    <row r="9" ht="150" customHeight="1">
      <c r="A9">
        <f>HYPERLINK("https://github.com/matanki-saito/vic3jpadvmod/issues/269",269)</f>
        <v/>
      </c>
      <c r="B9" s="1" t="inlineStr">
        <is>
          <t>諸言語の固有名詞</t>
        </is>
      </c>
      <c r="C9" s="1" t="inlineStr">
        <is>
          <t xml:space="preserve">アラビア語：アルバニア語
モン・クメール語派：モン・クメール語
ミャオ・ヤオ語族：ミャオ・ヤオ語
スラブ語：スラヴ諸語
ユーゴスラビア語：ユーゴスラヴ諸語
アラブ語圏：アラビア語圏
チュルク語族：テュルク諸語
漢字文化圏：漢文化圏
ヒマラヤ語系：ヒマラヤ諸語
タイ語：タイ諸語
バントゥー系民族：バントゥー諸語
エチオピア語：エチオピア諸語
カフカース語：コーカサス諸語
ポリネシア語：ポリネシア諸語
ケルト語：ケルト諸語
</t>
        </is>
      </c>
      <c r="D9" s="1" t="inlineStr">
        <is>
          <t xml:space="preserve">日本語では一般的ではない表記であるため。
</t>
        </is>
      </c>
      <c r="E9" s="1" t="inlineStr">
        <is>
          <t xml:space="preserve">1.0.3
</t>
        </is>
      </c>
      <c r="F9" s="1" t="inlineStr">
        <is>
          <t xml:space="preserve">なし
</t>
        </is>
      </c>
      <c r="G9" s="1" t="inlineStr">
        <is>
          <t xml:space="preserve">日本語修正MOD
</t>
        </is>
      </c>
      <c r="H9" s="1" t="n"/>
    </row>
    <row r="10" ht="30" customHeight="1">
      <c r="A10">
        <f>HYPERLINK("https://github.com/matanki-saito/vic3jpadvmod/issues/268",268)</f>
        <v/>
      </c>
      <c r="B10" s="1" t="inlineStr">
        <is>
          <t>漢字化されていない清の人名</t>
        </is>
      </c>
      <c r="C10" s="1" t="inlineStr">
        <is>
          <t xml:space="preserve">ティアンペイ：天培
フアンシェン：化成
ブヤンタイ：布彦泰
ヤンザ：顔扎
雲輝：雲飛
ゲ：葛
トン：佟
デング：鄧
</t>
        </is>
      </c>
      <c r="D10" s="1" t="inlineStr">
        <is>
          <t xml:space="preserve">日本語では一般的ではない表記であるため。
</t>
        </is>
      </c>
      <c r="E10" s="1" t="inlineStr">
        <is>
          <t xml:space="preserve">1.0.3
</t>
        </is>
      </c>
      <c r="F10" s="1" t="inlineStr">
        <is>
          <t xml:space="preserve">なし
</t>
        </is>
      </c>
      <c r="G10" s="1" t="inlineStr">
        <is>
          <t xml:space="preserve">日本語修正MOD
</t>
        </is>
      </c>
      <c r="H10" s="1" t="n"/>
    </row>
    <row r="11" ht="300" customHeight="1">
      <c r="A11">
        <f>HYPERLINK("https://github.com/matanki-saito/vic3jpadvmod/issues/238",238)</f>
        <v/>
      </c>
      <c r="B11" s="1" t="inlineStr">
        <is>
          <t>日本文化のランダムキャラクターの名前</t>
        </is>
      </c>
      <c r="C11" s="1" t="inlineStr">
        <is>
          <t xml:space="preserve">※改行して書いてください。「：」で分離してください
names_l_japanese.yml
権野兵衛：権兵衛
早尾：速雄
比古之丞：彦之丞
博士：浩
岩尾：巌
景秋：景明
景教：景範
勘太郎：貫太郎
一重：一成
圭佑：啓介
健吉：謙吉
浩一郎：小一郎
言仁：載仁
小僧：航三
蔵之介：倉之助
正岳：正毅
ミチスラ：道貫
峰尾：岑生
満季：光衛
延吉：信義
茂人：重遠
新作：晋作
惣六：操六
佑典：資紀
佐之：祐亨
住吉：純義
高森：隆盛
高良：孝允
武明：武揚
為基：為楨
外間三郎：苫三郎
友之介：鞆之助
年吉：利良
弥八：矢八
安方：保鞏
安吉：安芳
吉賀：良馨
義道：好道
優作：勇作
麻子：浅子
千賀子：親子
銀子：吟子
玉蘭：玉瀾
果穂：花圃
恵：慶
粂八：九女八
美樹：美幾
のぶ：延
纓：応為
輝：照
上尾：神尾
可児：閑院
正木：真崎
大隅：大角
芝山：柴山
白河：白川
橘：立花
上田：植田
山県：山縣
山谷：山屋
</t>
        </is>
      </c>
      <c r="D11" s="1" t="inlineStr">
        <is>
          <t xml:space="preserve">下記ページで考証した通り、アルファベット表記を読む限りはVictoria3の日本文化のランダムキャラクターの名前は軍人・将軍など明治時代の実在人物をもとにしている。日本語訳を作成するにあたりこうした出典は考慮されなかったと考えられ、「小僧(Kozo)」など明らかに不適切な訳を生んでしまっている。これを、本来の意図と思われる表記に統一する。
https://bitbucket.org/awak1180/nmih-1180-scenario/wiki/Victoria3%E3%81%AE%E6%97%A5%E6%9C%AC%E8%AA%9E%E4%BF%AE%E6%AD%A3%E3%81%AE%E3%81%9F%E3%82%81%E3%81%AE%E3%83%A1%E3%83%A2
</t>
        </is>
      </c>
      <c r="E11" s="1" t="inlineStr">
        <is>
          <t xml:space="preserve">1.0.3
</t>
        </is>
      </c>
      <c r="F11" s="1" t="inlineStr">
        <is>
          <t xml:space="preserve">なし
</t>
        </is>
      </c>
      <c r="G11" s="1" t="inlineStr">
        <is>
          <t xml:space="preserve">なし
</t>
        </is>
      </c>
      <c r="H11" s="1" t="n"/>
    </row>
    <row r="12" ht="4290" customHeight="1">
      <c r="A12">
        <f>HYPERLINK("https://github.com/matanki-saito/vic3jpadvmod/issues/237",237)</f>
        <v/>
      </c>
      <c r="B12" s="1" t="inlineStr">
        <is>
          <t>非ランダム人物名の表記修正</t>
        </is>
      </c>
      <c r="C12" s="1" t="inlineStr">
        <is>
          <t xml:space="preserve">ドスト：ドースト
フォン・ヴィンディッシュ・グラッツ：フォン・ヴィンディシュ＝グレーツ
エルツァーツォグ：エルツヘルツォーク
ツァーリンゲン：ツェーリンゲン
アンドレ・ランベルト：アンドレ＝ランベール
エヴァイン：エヴァン
レオポルド：レオポルド1世
オブ・ザクセン・コーブルク・ゴータ：ド・サクス＝コブール・エ・ゴータ
プリッセ：プリス
バラオ：バラオン
デ・アルカンターラ・ベルガルデ：デ・アルカンタラ・ベルガルデ
オラフ：オーラヴ
ホイットワース・アイルマー：ホイットワース＝アイルマー
ブルゴーニュ：バーゴイン
ソマーセット：サマセット
サー・ジョージ：ジョージ
テオドロス二世：テオドロス2世
アシャード：アシャール
ジーン・バプティステ：ジャン・バティスト
ベルナルド・ピエール：ベルナール・ピエール
マグナン：マニャン
バラゲイ：バラゲ
バラゲイ・ディリエ：バラゲ・ディリエ
ジャッケス・ルイス：ジャック・ルイ
レイル：レイユ
バートランド：ベルトラン
クラウセル：クローゼル
イオアニス：イオアンニス
ジーン・ピエール：ジャン＝ピエール
フォン・ドルンベルグ：フォン・デルンベルク
ヴィルヘルム二世：ヴィルヘルム2世
フォン・ヘッセ・カッセル：フォン・ヘッセン＝カッセル
プリンス・フリードリッヒ：フリードリヒ
メーラブ二世：メフラブ2世
ディ・ブルボン・パルマ：ディ・ボルボーネ＝パルマ
マーティン・ペルフェクト：マルティン・ペルフェクト
フランセスコ四世：フランチェスコ4世
ハプスブルク・エステ：ハプスブルク＝エステ
ペトロヴィチ・ニジェゴス：ペトロヴィチ＝ニェゴシュ
デイヴィド・ヘンドリク：ダヴィト・ヘンドリク
フランス・デイヴィド：ダーヴィド・フェレンツ
ヘンドリク・マーカス：ヘンドリク・メルクス
カレル・ベルンハルド：カレル・ベルンハルト
ファン・ザクセン・ワイマール・アイセナハ：ファン・サクセン＝ヴァイマル＝アイセナフ
ジーン・フランソワ：ジャン＝フランソワ
ド・レゴ・バレット：ド・レゴ・バーレト
フォン・クラウセンネック：フォン・クラウゼネック
フォン・マフリング：フォン・ミュフリンク
フォン・コロンブ：フォン・コロンプ
フォン・グロルマン：フォン・グロールマン
ルール：リューレ
カール・フリードリッヒ：カール・フリードリヒ
ツゥ・ドーナ・シュロビッテン：ツー・ドーナ＝シュロービッテン
フリードリッヒ・グラフ：フリードリヒ・グラーフ
フォン・ノイマン・コーセル：フォン・ノイマン・コーゼル
フォン・レイハー：フォン・ライハー
クフラポヴィツスキー：フラポヴィツキー
ニコレイ：ニコライ
ムラフヨフ・カルスキー：ムラヴィヨーフ＝カールスキー
カーロ・アルベルト：カルロ・アルベルト
サヴォイ：サヴォイア
エマヌエレ：エマヌエーレ
バヴァ：バーヴァ
ド・ソナズ：デ・ソナス
アゴスティノ：アゴスティーノ
シオード：キオド
アレクサンダー：アレクサンダル
カラドルデヴィチ：カラジョルジェヴィチ
プリンス・レオポルド：レオポルド
ブルボン・両シチリア：ボルボーネ・ディ・シチリア
ヨハン・ペーター：ユハン・ペーテル
アフ・ビルベルグ：アーヴ・ビルベルグ
レシド・メフメド：レシト・メフメト
メフメド・ナミク：メフメト・ナムク
アブドゥルケリム：アブデュルケリム
レオポルド二世：レオポルド2世
ハプスブルク・トスカーナ：ダスブルゴ＝トスカーナ
エドムンド・P：エドモンド・P
ガイネス：ゲインズ
ヴィルヘルム一世：ヴィルヘルム1世
ゴードン・レノックス：ゴードン＝レノックス
ジョセフ・アントン：ヨーゼフ・アントン
フォン・マッフェイ：フォン・マッファイ
ルードヴィヒ一世：ルートヴィヒ1世
フォン・ギース：フォン・ギーゼ
ルードヴィヒ・ゲオルグ：ルートヴィヒ・ゲオルク
ウィンター：ヴィンター
マクルーリン：マクローリン
ルシア：リュシエ
ムハンメド・ベッロ：ムハンマド・ベッロ
フォン・コロブラト・リーブスタンスキー：フォン・コロヴラト＝リープシュタインスキー
ヴィンセンツ：ヴィンツェンツ
ミラビュー：ミラボー
トマス・ジェファソン：トーマス・ジェファーソン
ウヴァロフ：ウヴァーロフ
ヘルゼン：ゲルツェン
オスマンオグル：オスマンオウル
コカ・フスレフ：コジャ・ヒュスレヴ
ムスタファ・レシード：ムスタファ・レシト
ド・ブログリー：ド・ブロイ
ジャン・ド・デュー：ジャン＝ド＝デュー
フェルディナンド・フィリッペ：フェルディナン・フィリップ
ルイス・ナポレオン：ルイ＝ナポレオン
ギヨーム・ヘンリー：ギヨーム・アンリ
ヴィットーリオ・エマヌエレ：ヴィットーリオ・エマヌエーレ
イザベル：イサベル
アンキロン：アンツィロン
フォン・ヴィリヒ・ウンド・ロットゥム：フォン・ヴィリヒ・ウント・ロットゥム
マリア・ルイーサ：マリア・ルイーザ
カーロ・ルドヴィーコ：カルロ・ルドヴィーコ
スタルク：シュターク
フォン・ナッサウ・ヴァイルブルク：フォン・ナッサウ＝ヴァイルブルク
アスカニール：アスカーニエン
ジョセフ・ルードヴィヒ：ヨーゼフ・ルートヴィヒ
フォン・アルマンスペルグ：フォン・アーマンスペルク
ムハンマド・アリ：ムハンマド・アリー
アル・アラウィーヤ：アル＝アラウィーヤ
アル・ハシミ：アル＝ハーシミ
アブド・アル・ムッターリブ：アブド・アル＝ムッタリブ
サウド：サウード
アル・サウド：アル＝サウード
アル・マンスール・アリ：アル＝マンスール・アリー
アル・カシム：アル＝カーシム
アン・ナシール・アブダラー：アン＝ナースィル・アブドゥッラー
トゥワイニ：スワイニー
カーリファ：ハリーファ
カジャール：ガージャール
ミルザ・アカシ：ミールザー・アカーシ
バロホ：バローチ
マー・シャー：ミール・シャー
タルプール：タルプル
サヤジ・ラオ：サヤージー・ラーオ
ゲクワド：ガーイクワード
バラクザイ：バーラクザイ
コカンド：コーカンド
シャー・アリ：シール・アリー
アラー・カリ・バハダール：アッラーフ・クリ・バハドゥール
マン・シング：マーン・シング
ナシール・ウド・ディン・ハイダール：ナーシルッディーン・ハイダル
マングード：マンギト
ムザッファール・アル・ディン：ムザッファルッディーン
アブドゥルメシド：アブデュルメジト
ラグホズイ：ラグージー
ブホンサーレ：ボーンスレー
ナシール・ウド・ダウラー：ナーシル・ウッダウラ
アフザル・ウド・ダウラー：アフザル・ウッダウラ
アサフ・ジャー：アーサフ・ジャー
ギャルシェン：ギャルツェン
ギャツソ：ギャツォ
ミン・マン：ミンマン
ティエウ・トリ：ティエウチ
アリ・イスカンダール：アリー・イスカンダル
アル・アラウィ：アル＝アラウィー
アブデルカデール：アブド・アルカーディル
サーレ・セラッシー：サーレ・セラシエ
ハイル・メレコット：ハイレ・メレコト
ホセ・ギャスパー：ホセ・ガスパル
ド・オルベゴソ：デ・オルベゴソ
ド・パウラ・サンタンデール：デ・パウラ・サンタンデール
ボルキアー：ボルキア
アル・アッバス：アル＝アッバース
シャー・アリ：シール・アリー
ガイ・ヴィクトール：ギー＝ヴィクトル
デュプラ：デュペレ
バウディン：ボーダン
アントニオ・ロペズ：アントニオ・ロペス
ド・サンタ・アンナ：デ・サンタ・アナ
エンジェルベルタス：エンヘルベルトゥス
フェルディナンド二世：フェルディナンド2世
カーロ・アルベルト一世：カルロ・アルベルト1世
シューブリック：シュブリック
アブドゥケリム・ナディール：アブデュルケリム・ナディール
ロバート・チャールス：ロバート・チャールズ
ジョージ・アウグスタス：ジョージ・オーガスタス
ヨツェフ・フランツ・カール：ヨーゼフ・フランツ・カール
ウィーログロウスキー：ヴィエログウォフスキ
シャーナー：チャーナー
タコン・イ・ロシーク：タコン・イ・ロシケ
エルネスト・アウグストゥス：アーネスト・オーガスタス
シャルル・マリー・ナポレオン：シャルル＝マリー＝ナポレオン
ジーン・クレティエン：ジャン・クレティアン
リビングストーン：リヴィングストン
コズロウスキー：コズウォフスキ
マクロヴィッツ：マクウォヴィチ
ランコウスキー：ワンコフスキ
ブコヴィッツ：ブコヴィチ
ドルジマラ：ドゥジマワ
神聖大公アルブレヒト：大公アルブレヒト
フォン・ハプスブルク・ロートリンゲン：フォン・ハプスブルク＝ロートリンゲン
アルベルト・フローレント・ヨセフ：アルベール＝フローラン＝ジョゼフ
アンドレアス・ヴィクトール：アンドレアス・ヴィクトル
ムハンマド・アリムデｨｰン：ムハンマド・アリームッディーン
ムハンマド・ジャラーロッディーン：ムハンマド・ジャラールッディーン
アジ・ムハンマド・サレフデｨｰン：アジ・ムハンマド・サレーフッディーン
アブドゥル・ジャリル・シャイフデｨｰン：アブドゥル・ジャリール・シャイーフッディーン
アル・カーリファ：アル＝ハリーファ
プリンス・カール・テオドール：カール・テオドール
レスペス：レスペ
ジョルジュ・エルネス：ジョルジュ・エルネスト
フランソワ・アシレ：フランソワ・アシル
プリンスジ・ルイス：ルイス
サー・アレクサンダー：アレクサンダー
バーデン・ポーウェル：ベーデン＝パウエル
プリンス・ジョージ：ジョージ
プリンス・フリードリッヒ・カール：フリードリヒ・カール
ボロエヴィク：ボロイェヴィッチ
フランツ・エドアルド：フランツ・エドゥアルト
神聖大公フリードリッヒ：大公フリードリヒ
オスマン・ヌリ：オスマン・ヌーリ
メフメド・アリ：メフメト・アリー
ディアズ：ディアス
ソラノ・ロペス：ソラーノ・ロペス
フランツ・コンラード：フランツ・コンラート
大公ニコラス：大公ニコライ
ランゲル：ヴラーンゲリ
織部：オリベ
ヨアキム・ジョゼ：ジョアキン・ジョゼ
グラッドストーン：グラッドストン
プリンス・ゴング：奕訢
アウクランド：オークランド
ダビッドソン：デイヴィッドソン
オブ・オーストリア・エステ：ダスブルゴ＝エステ
フィッツジェイムス：フィッツジェームズ
コーンウォリス・ウエスト：コーンウォリス＝ウェスト
ハンフリース・オーウェン：ハンフリーズ＝オーウェン
ロイド・モスティン：ロイド＝モスティン
ルウェリン・ジョーンズ：ルウェリン＝ジョーンズ
プライス・グウィン：プライス＝グウィン
ジョバンニ・マリア：ジョヴァンニ・マリーア
マルティム・フランシスコ：マルティン・フランシスコ
リベイロ・デ・アンドラーダ：リベイロ・デ・アンドラダ
ダ・クンハ・バルボサ：ダ・クーニャ・バルボーザ
デ・サウザ・エ・オリヴェイラ・コーティニョ：デ・ソウザ・エ・オリヴェイラ・コウティーニョ
ジョアオ・パウロ；ジョアン・パウロ
ダマド・メフメド：ダマト・メフメト
ウスマン・バーコマンダ：ウスマン・ブルコマンダ
フランツ・ジョセフ：フランツ・ヨーゼフ
イグナツ：イグナーツ
フォン・ドブルホフ・ダイアー：フォン・ドブルホフ＝ディーア
ディ・サルッツオ：ディ・サルッツォ
サウリ・ディグリアーノ：サウリ・ディリアーノ
ソラロ・デラ・マルガリータ：ソラーロ・デッラ・マルガリータ
ゴメズ・ファリアス：ゴメス・ファリアス
ロドビコ：ロドヴィーコ
マンギーノ・イ・メンディビル：マンヒーノ・イ・メンディビル
アフ・ウィンガルド：アヴ・ヴィンゴルド
マリー・テレーセ：マリー・テレーズ
セスバ：シェフスヴァル
ロバノフ・ロストフスキー：ロバーノフ＝ロストーフスキー
メスチェルスキー：メシチェールスキー
ピストルカーズ：ピストリコルス
サルティコフ：サルトィコフ
イェンガリチェフ：エンガルィーチェフ
パレイ：パーレイ
アダルバート：アーダルベルト
シギスムンド：ジギスムント
ワルデルマール：ヴァルデマール
カール・ルードヴィヒ：カール・ルートヴィヒ
ルードヴィヒ：ルートヴィヒ
アブドゥラジズ：アブデュルアズィズ
アブドゥルメジド：アブデュルメジト
バエジド：バヤズィト
ケマレディン：ケマレッディン
フェルディナンド・フィリップ：フェルディナン＝フィリップ
セベリム・デ・ノロンハ：セヴェリン・デ・ノローニャ
フォン・ホルシュタイン・ゴットルプ：フォン・ホルシュタイン＝ゴットルプ
フォン・ヘッセ：フォン・ヘッセン
フォン・グルックスバーグ：フォン・グリュックスブルク
ユアン・カルロス：フアン・カルロス
ウィレム・アレキサンダー：ウィレム・アレクサンダー
デ・ブルボン：デ・ボルボン
デ・ボルボン・アンジョー：デ・ボルボン＝アンホー
デ・ボルボン・パルマ：デ・ボルボン＝パルマ
デ・ハブスブルゴ：デ・アブスブルゴ
デ・ヴィッテルスバッハ：デ・ビッテルスバチ
ゴンカルブス・ダ・シルバ：ゴンサルヴェス・ダ・シルヴァ
デ・サウサ・ネト：デ・ソウザ・ネト
ヨアキム・マルケス：ジョアキン・マルケス
リスボア：リジュボア
ユスフ・マクサムド・イブラヒム：ユースフ・マハムード・イブラヒム
ド・ブルボン・コンデ：ド・ブルボン＝コンデ
ラバル・ニュージェント：ラヴァル・ヌゲント
フォン・ウエストミース：フォン・ヴェストミース
フォン・フィクケルモント：フォン・フィケルモント
フォン・バディエラ：フォン・バンディエラ
ゴッドウィン：ゴドウィン
サー・チャールズ：チャールズ
サー・トーマス・ビアム：トーマス・バイアム
ファビアン・ゴットリーブ：ファビアン・ゴットリープ
ハフィズ・オスマン：ハーフィズ・オスマン
オマール・ラトフィ：オメル・リュトフィ
エリー・アウグスタス・フレドリック：エリー・オーガスタス・フレドリック
ジャン・ヴィクトル：ジャン＝ヴィクトル
パシャ・アブ・ウィダン：パシャ・アブー・ウィダーン
</t>
        </is>
      </c>
      <c r="D12" s="1" t="inlineStr">
        <is>
          <t xml:space="preserve">日本語では一般的ではない表記であるため。
気付いたところのみを列挙。
</t>
        </is>
      </c>
      <c r="E12" s="1" t="inlineStr">
        <is>
          <t xml:space="preserve">1.0.3
</t>
        </is>
      </c>
      <c r="F12" s="1" t="inlineStr">
        <is>
          <t xml:space="preserve">なし
</t>
        </is>
      </c>
      <c r="G12" s="1" t="inlineStr">
        <is>
          <t xml:space="preserve">なし
</t>
        </is>
      </c>
      <c r="H12" s="1" t="n"/>
    </row>
    <row r="13" ht="45" customHeight="1">
      <c r="A13">
        <f>HYPERLINK("https://github.com/matanki-saito/vic3jpadvmod/issues/226",226)</f>
        <v/>
      </c>
      <c r="B13" s="1" t="inlineStr">
        <is>
          <t>軍艦の名称変更</t>
        </is>
      </c>
      <c r="C13" s="1" t="inlineStr">
        <is>
          <t xml:space="preserve">装甲船：装甲艦
ドレッドノート：弩級戦艦
戦艦：超弩級戦艦
</t>
        </is>
      </c>
      <c r="D13" s="1" t="inlineStr">
        <is>
          <t xml:space="preserve">スクリーンショットのように並んでいることを鑑みるとすべて「〇〇艦」とした方がすっきりしているため
※既に「軍艦」は「戦列艦」に修正済
</t>
        </is>
      </c>
      <c r="E13" s="1" t="inlineStr">
        <is>
          <t xml:space="preserve">1.0.1
</t>
        </is>
      </c>
      <c r="F13" s="1" t="inlineStr">
        <is>
          <t xml:space="preserve">なし
</t>
        </is>
      </c>
      <c r="G13" s="1" t="inlineStr">
        <is>
          <t xml:space="preserve">なし
</t>
        </is>
      </c>
      <c r="H13" s="1" t="n"/>
    </row>
    <row r="14" ht="240" customHeight="1">
      <c r="A14">
        <f>HYPERLINK("https://github.com/matanki-saito/vic3jpadvmod/issues/222",222)</f>
        <v/>
      </c>
      <c r="B14" s="1" t="inlineStr">
        <is>
          <t>ideologyの固有名詞</t>
        </is>
      </c>
      <c r="C14" s="1" t="inlineStr">
        <is>
          <t xml:space="preserve">ニヒリスト：虚無主義者
廃止論者：奴隷制廃止論者
奴隷商人：奴隷所有者
ジンゴイスト：好戦主義者
王政主義者：王党派
社会民主主義：社会民主主義者
コミュニスト：共産主義者
前衛主義：前衛主義者
エスノ・ナショナリズム：民族主義者
神権主義者：神政主義者
市場リベラル：市場自由主義者
パターナリズム：父権主義
ポピュリスト：大衆主義
軍政主義：権威主義
レッセフェール：自由放任主義
個別主義：独立主義
ジンゴイスト：好戦主義
プロレタリアン：プロレタリア
反奴隷主義：奴隷制反対派
奴隷制支持：奴隷制支持派
アグレアリアン：農本主義
スカラー・ジェントリー：紳士
司教主義：教皇主義
儒教主義：儒者
神道敬虔主義：神道原理主義
軍事独裁主義：カウディーリョ主義
</t>
        </is>
      </c>
      <c r="D14" s="1" t="inlineStr">
        <is>
          <t xml:space="preserve">日本語では一般的ではない表記であるため。
</t>
        </is>
      </c>
      <c r="E14" s="1" t="inlineStr">
        <is>
          <t xml:space="preserve">1.0.3
</t>
        </is>
      </c>
      <c r="F14" s="1" t="inlineStr">
        <is>
          <t xml:space="preserve">なし
</t>
        </is>
      </c>
      <c r="G14" s="1" t="inlineStr">
        <is>
          <t xml:space="preserve">なし
</t>
        </is>
      </c>
      <c r="H14" s="1" t="n"/>
    </row>
    <row r="15" ht="1620" customHeight="1">
      <c r="A15">
        <f>HYPERLINK("https://github.com/matanki-saito/vic3jpadvmod/issues/220",220)</f>
        <v/>
      </c>
      <c r="B15" s="1" t="inlineStr">
        <is>
          <t>アジアの都市名</t>
        </is>
      </c>
      <c r="C15" s="1" t="inlineStr">
        <is>
          <t xml:space="preserve">ポートアーサー：旅順
ハバロフスク：ハバロフカ
ベロゴロスク：ベロゴルスク
ホヅホ：ホジョ
連雲港：海州
蘇州：宿州
南洋：南陽
咸陽：襄陽
インメン：荊門
トゥーユン：都勻
ゴウルオ：果洛
シュヴィー・クーレン：シヴェー・フレン
ディングァンイン：定遠営
バヤンコーンゴール：バヤンホンゴル
コルゴ：ホルゴ
ドルツバ：ドルージュバ
ンガリ：ガリ
ドロンパ：ドンパ
クリャブ：クリャーブ
アンイ：アイニ
ナリン：ナルン
アルマティンスク：アルマチンスク
ザーケント：ジャルケント
パブロダル：パヴロダル
ザナオゼン：ジャナオゼン
マリー：マル
トルクメナバット：テュルクメナバート
ランカラン：レンキャラン
エリザベトポリ：エリザヴェトポリ
アレクサンドロポル：アレクサンドロポリ
ジレスン：ギレスン
ヨズガート：ヨズガト
シヴァス：スィヴァス
シノプ：スィノプ
ケンゲリ：チャンクル
エレグリ：エレーリ
バリケシール：バルケスィル
クルク・クルス：クルク・キリセ
ミジェ：ミディエ
アイディン：アイドゥン
アフヨン：アフィヨン
リマソル：リマソール
メルシン：メルスィン
マラチャ：マラティヤ
ラス・アルアイン：ラース・アル＝アイン
タルトゥス：タルトゥース
ハマ：ハマー
サラミヤ：サラミーヤ
デイル・エル・カマール：デイル・エル＝カマール
サルト：アッ＝サルト
アル・フダイダ：アル＝フダイダ
アル・ムカラ：アル＝ムカッラー
サララー：サラーラ
ダーラーン：ザフラーン
ブレイダ：ブライダ
ダンマン：ダンマーム
ハイル：ハーイル
カーティフ：カティーフ
クト：クート
アマラ：アマーラ
ナシリア：ナーシリーヤ
バグダッド：バグダード
モスル：モースル
タブリズ：タブリーズ
スフィアン：スフィヤン
マラゲ：マラーゲ
アルダビル：アルダビール
ロレスタン：ロレスターン
イラム：イーラーム
アーヴァズ：アフヴァーズ
バンダー・マーシャー：バンダレ・マーフシャフル
デズフル：デズフール
コラムシャー：ホッラムシャフル
マスジェド・ソレイマン：マスジェデ・ソレイマーン
ブシェー：ブーシェフル
ヤスジ：ヤースージュ
カンガン：カンガーン
ベベハン：ベフベハーン
ハッジバード：ハージアーバード
バンダー・アッバス：バンダレ・アッバース
ジャスク：ジャースク
バンダー・エシャラク：バンダレ・チャーラク
イスファハン：エスファハーン
カシャン：カーシャーン
コーメイン：ホメイン
セムナン：セムナーン
サリ：サーリー
カムシャー：ガーエムシャフル
シャルス：チャールース
ゴナバッド：ゴナーバード
ボンジヌルド：ボジュヌールド
イランシャー：イーラーンシャフル
チャバハール：チャーバハール
ラスク：ラースク
ザラバード：ザラーバード
グワダール：グワーダル
オルマラ：オルマーラ
ヘラット：ヘラート
ガーズニ：ガズニー
フェイザバード：ファイザーバード
コーハート：コハート
ペシャワール：ペシャーワル
ムルタン：ムルターン
バハワルプール：バハーワルプル
サクール：サッカル
アハメダバード：アフマダーバード
ポルバンダール：ポールバンダル
ラジコット：ラージコート
スラット：スーラト
ブージ：ブジ
コタ：コーター
アジメール：アジュメール
バレイリー：バレーリー
アリガー：アリーガル
アラーハバード：イラーハーバード
ゴラクプール：ゴーラクプル
カンプール：カーンプル
インドア：インドール
レワ：リーワー
ノヴァゴア：ノヴァ・ゴア
ドゥール：ドゥーレ
ラトナギリ：ラトナーギリー
ムナール：ムンナル
グダルール：クーダルール
ダンブラ：ダンブッラ
ヴァヴニヤ：バブニヤ
ヴェロール：ヴェールール
サレム：セーラム
ヴィシャハパルマン：ヴィシャーカパトナム
ブラマプール：ブラマプル
ヴィジャヤワダ：ヴィジャヤワーダ
マバブナガール：マフブーブナガル
アムラヴァティ：アムラーワティー
サムバルプール：サンバルプル
ブバネシュワル：ブバネーシュワル
プラバニ：プールバニ
バガルプール：バーガルプル
ムザファルプール：ムザッファルプル
ジャムシェドプル：ジャムシェードプル
ラングプル：ロンプール
クミラ：クミッラ
バリシャール：バリサル
アイザウル：アイゾール
ディブルガル：ディブルーガル
インファル：インパール
グワハティ：グワーハーティー
ミトキナ：ミッチーナー
プタオ：プーターオ
ピヤポン：ピャーポン
モニワ：モンユワ
マグウェイ：マグウェ
タンギー：タウンジー
クトカイ：クカイ
ケンタン：チャイントン
ラシオ：ラーショー
ナン：ナーン
ランパン：ランパーン
カンガイ：クアンガイ
クロン・バッタンバン：クロン・バタンバン
コンカエン：コーンケン
サムソンクラム：サムットソンクラーム
ポトサヌロク：ピッサヌローク
サラブリ：サラブリー
プラチュアップキリカーン：プラチュワップキーリーカン
マウラミーネ：モーラミャイン
チュンフォン：チュムポーン
ムアール：ムアル
テロカベトン：テロクベトン
バタビア：バタヴィア
バンドゥン：バンドン
ポンティアナク：ポンティアナック
カイエリ：カイェリ
ビーマ：ビマ
</t>
        </is>
      </c>
      <c r="D15" s="1" t="inlineStr">
        <is>
          <t xml:space="preserve">日本語では一般的ではない表記であるため。
</t>
        </is>
      </c>
      <c r="E15" s="1" t="inlineStr">
        <is>
          <t xml:space="preserve">1.0.3
</t>
        </is>
      </c>
      <c r="F15" s="1" t="inlineStr">
        <is>
          <t xml:space="preserve">なし
</t>
        </is>
      </c>
      <c r="G15" s="1" t="inlineStr">
        <is>
          <t xml:space="preserve">なし
</t>
        </is>
      </c>
      <c r="H15" s="1" t="n"/>
    </row>
    <row r="16" ht="930" customHeight="1">
      <c r="A16">
        <f>HYPERLINK("https://github.com/matanki-saito/vic3jpadvmod/issues/213",213)</f>
        <v/>
      </c>
      <c r="B16" s="1" t="inlineStr">
        <is>
          <t>アジア、アフリカの都市(hub)</t>
        </is>
      </c>
      <c r="C16" s="1" t="inlineStr">
        <is>
          <t xml:space="preserve">ソウル→漢城
泰州→台州　綴りは同じだが、場所が異なるため
ラーサ→ラサ
スリナガール→スリナガル
クザンド→ホジェンド
コッカンド→コーカンド
ヌカス→ヌクス
アシュガバット→アシガバート
バルカナバット→バルカナバート
トルクメナバット→トルクメナバート
バク→バクー
ポチ→ポティ
ナクシヴァニ→ナヒチェヴァン
バツミ→バトゥミ
シヴァス→シバス　原音に則るならスィヴァス
コニャ→コンヤ
アンターリャ→アンタルヤ
ジダー→ジッダ
リヤヅ→リヤド
コラマバッド→ホッラマーバード
ケルマンシャー→ケルマーンシャー
アーヴァズ→アフワーズ
バンダー・マーシャー→バンダレマーシャー
コラムシャー→ホッラムシャー
シラズ→シーラーズ
ヤスジ→ヤースージ
バンダー・アッバス→バンダレアッバース
ケルマン→ケルマーン
バンダー・エシャラク→バンダレシャラク
イスファハン→イスファハーン
コム→ゴム　やや細かい？
カズヴィン→ガズヴィーン
マシャード→マシュハド
ザヘダン→ザーヘダーン
アラーハバード→アラーハーバード
マイスール→マイソール
コチ→コーチ
ヴィシャハパルマン→ヴィシャカパトナム　Vishakhapatnam の誤りだと思われる
アンビカプール→アンビカプル　語末のpurは短母音のため。以下同じ
ジャグダルプール→ジャグダルプル
サムバルプール→サンバルプル
バガルプール→バガルプル
ランチ→ラーンチー
ケール→カレ
フパカン→ファカン
マラウク→ミャウウー
バゴ→バゴー
マンダレイ→マンダレー
ナイピタウ→ネピドー　ネーピードーの方が良いか？
ケンタン→ケントゥン
ヒュエ→フエ
カンソー→カントー
クロン・バンラン→クロン・バンルン
クロン・シエムリープ→クロン・シェムリアップ
ナコンサワン→ナコーンサワン
ペカンバル→プカンバル
メントク→ムントク
メンガラ→ムンガラ
シレボン→チレボン　チェリボンでも良いか
セラン→スラン
マリング→マリン
バンジェルマシン→バンジャルマシン
ザンボアンガ→サンボアンガ
メナド→マナド　Manado の誤りだと思われる
サオ・ヴィセント→サン・ヴィセンテ
タンギエルス→タンジール
メリラ→メリリャ
ノウアクショット→ヌアクショット
コンスタンティン→コンスタンティーヌ
マルサ・マトルフ→マルサ・マトルーフ
ポート・セイド→ポートサイド
ディボウティ→ジブチ
ジッマ→ジンマ
ブロエムフォンテイン→ブルームフォンテーン
ルクスビル→ルービル
ニューキャッスル→ニューカッスル
ウィンドフーク→ウィントフック
ベングエラ→ベンゲラ
サオ・サルバド→サンサルバドル　São Salvadol の誤りだと思われる
ブラッザビル→ブラザビル
オニツシャ→オニシャ
コトノー→コトヌー
ローメ→ロメ
アックラ→アクラ
ヤムーッソークロ→ヤムスクロ
コナクリー→コナクリ
サンタ・クルツ・デ・テネリフェ→サンタ・クルス・デ・テネリフェ
</t>
        </is>
      </c>
      <c r="D16" s="1" t="inlineStr">
        <is>
          <t xml:space="preserve">日本語の標準的な表記と異なるため
</t>
        </is>
      </c>
      <c r="E16" s="1" t="inlineStr">
        <is>
          <t xml:space="preserve">1.0.3
</t>
        </is>
      </c>
      <c r="F16" s="1" t="inlineStr">
        <is>
          <t xml:space="preserve">なし
</t>
        </is>
      </c>
      <c r="G16" s="1" t="inlineStr">
        <is>
          <t xml:space="preserve">なし
</t>
        </is>
      </c>
      <c r="H16" s="1" t="n"/>
    </row>
    <row r="17" ht="2970" customHeight="1">
      <c r="A17">
        <f>HYPERLINK("https://github.com/matanki-saito/vic3jpadvmod/issues/205",205)</f>
        <v/>
      </c>
      <c r="B17" s="1" t="inlineStr">
        <is>
          <t>ヨーロッパの都市名</t>
        </is>
      </c>
      <c r="C17" s="1" t="inlineStr">
        <is>
          <t xml:space="preserve">ボマースンド：ボマルスンド
エッケロ：エッケレ
クリスチャンスン：クリスチャンサン
フレデリクシャルド：フレデリクシャールド
コングスビンゲル：コングスヴィンゲル
スンツバル：スンツヴァル
ルーレオー：ルレオ
ソーデルハムン：セーデルハムン
ニュヒェーピング：ニューショーピング
ファルン：ファールン
シェブデ：シェヴデ
ベクシェー：ヴェクショー
ビスビュー：ヴィスビュー
ロマクロスター：ロマクロステル
スライト：スリテ
クリスチャンスタード：クリシャンスタード
ホル：ヘール
ネストベズ：ネストヴェズ
イェリング：ヤアイング
シュテッティン：シュテティーン
シュヴェット：シュヴェート
ケスリン：ケスリーン
シュタルガルト：シュタールガルト
エルフルト：エアフルト
ゲラ：ゲーラ
アウグスブルク：アウクスブルク
カイゼルスラウテルン：カイザースラウテルン
ブランズウィック：ブラウンシュヴァイク
マグデブルク：マクデブルク
ステンダール：シュテンダール
パダーボルン：パーダーボルン
シャルルロア：シャルルロワ
ブルージュ：ブルッヘ
アーンヘム：アルンヘム
グローニンゲン：フローニンゲン
ハーリンゲン：ハルリンゲン
ドラハテン：ドラフテン
ブルック・イン・ウォーターランド：ブルク・イン・ヴァテルラント
マーサーティドビル：マーサー・ティドビル
ニューキャッスル：ニューカッスル
リバプール：リヴァプール
バローインファーネス：バロー＝イン＝ファーネス
エジンバラ：エディンバラ
ダンフリース：ダンフリーズ
インバネス：インヴァネス
オーマ：オマー
カバン：キャヴァン
ガルウェー：ゴールウェイ
スリゴ：スライゴ
キャッスルバー：カスルバー
ラウレア：ローレイ
ヴァネス：ヴァンヌ
サン・ブリュー・サン＝ブリユー
アブランシュ：アヴランシュ
ボーベ：ボーヴェ
サン・カンタン：サン＝カンタン
レ・サーブル・ドロンヌ：レ・サブル＝ドロンヌ
ポアティエ：ポワティエ
サン・ジュニアン：サン＝ジュニアン
クレルモン・フェラン：クレルモン＝フェラン
モンソー・レ・ミーヌ：モンソー＝レ＝ミーヌ
プイイ・アン・オオワ：プイイ＝アン＝オスワ
メッス：メス
ガープ：ガプ
トゥルーズ：トゥールーズ
モン・ド・マルサン：モン＝ド＝マルサン
パウ：ポー
ベジャ：ベージャ
フィゲイラ・ダ・フォズ：フィゲイラ・ダ・フォス
ビゼウ：ヴィゼウ
カシュテロ・ブランコ：カステロ・ブランコ
ファーロ：ファロ
ヴィゴ：ビーゴ
オヴィエド：オビエド
ヴィトリア：ビトリア
ザラゴザ：サラゴサ
カラタユド：カラタユー
マドリッド：マドリード
シウダード・レアル：シウダー・レアル
カルタゲナ：カルタヘナ
カステリョ・デ・ラ・プラナ：カステリョン・デ・ラ・プラナ
ヴィック：ビック
イビザ：イビサ
カグリアリ：カリャリ
ヌオロ：ヌーオロ
カルボニア：カルボーニア
カルタニセッタ：カルタニッセッタ
カタニア：カターニア
アルカーモ：アルカモ
コセンザ：コゼンツァ
コリリアーノ・カラブロ：コリリアーノ・カーラブロ
バリ：バーリ
タラント：ターラント
フォッジア：フォッジャ
サラ・コンシリナ：サーラ・コンシリーナ
カセルタ：カゼルタ
ポテンザ：ポテンツァ
ペスカラ：ペスカーラ
アンコナ：アンコーナ
ペサーロ：ペーザロ
ペルジア：ペルージャ
アスコーリ・ピセノ：アスコリ・ピチェーノ
リボルノ：リヴォルノ
グロセット：グロッセート
ラベンナ：ラヴェンナ
サン・マリノ：サンマリノ
ベローナ：ヴェローナ
パドゥア：パドヴァ
ブレシャ：ブレシア
ノヴァラ：ノヴァーラ
クネオ：クーネオ
トノン・レ・バン：トノン＝レ＝バン
サン・ジャン・ド・モーリエンヌ：サン＝ジャン＝ド＝モーリエンヌ 
ジュネーブ：ジュネーヴ
メラノ：メラーノ
ロベレト：ロヴェレート
ボルザノ：ボルツァーノ
グラズ：グラーツ
チェスケ：チェスケー
スビタビ：スヴィタヴィ
ピルセン：ピルゼン
ブレクラフ：ブジェツラフ
イフラバ：イフラヴァ
ジリーナ：ジリナ
トレンチン：トレンチーン
コシチェ：コシツェ
ウジホロド：ウージュホロド
ポプラド：ポプラト
ナジバーラド：ナジヴァーラド
ベレクサース：ベレグサース
ソトマルニメティ：サトマールネーメティ
コロジュバール：コロジュヴァール
アルバ・ルリア：アルバ・ユリア
ティミソアラ：ティミショアラ
オルティソアラ：オルツィショアラ
ファゲ：ファジェト
ノビサド：ノヴィ・サド
パンチェボ：パンチェヴォ
ベリキ・ベチュケレク：ヴェリキ・ベチケレク
サバトカ：サバドカ
ブロド・ナ・サビ：ブロド・ナ・サヴィ
ブイェロバル：ビェロヴァル
オシイェク：オシエク
グラディスカ：グラディシュカ
セーケシュフェヘールバール：セーケシュフェヘールヴァール
プトゥイ：プトゥーイ
ノボメスト：ノヴォ・メスト
プラ：プーラ
ウディネ：ウーディネ
カーロヴァック：カルロヴァツ
シザク：シサク
ザダール：ザダル
サラエボ：サラエヴォ
モスター：モスタル
ベルグラード：ベオグラード
クルシェバツ：クルシェヴァツ
スメデロボ：スメデレヴォ
クラリエボ：クラリェヴォ
プリスティナ：プリシュティナ
レスコヴァク：レスコヴァツ
ベシアーヌ：ベシアナ
ポドゴリカ：ポドゴリツァ
バー：バール
モイコバツ：モイコヴァツ
ベラーネ：ベラネ
ハノビ：ハノヴィ
ベラート：ベラト
カヴァダルシ：カヴァダルツィ
プリレップ：プリレプ
フローリナ：フロリナ
クサンチ：クサンティ
カルドヒツァ：カルディツァ
カラマータ：カラマタ
コリント：コリントス
テラ：テーラ
ミティリニ：ミティリーニ
プロブディフ：プロヴディフ
バルガス：ブルガス
スターラ・ザゴラ：スタラ・ザゴラ
コンスタンタ：コンスタンチャ
イアシ：ヤシ
ラダウティ：ラダウツィ
フォクサーニ：フォクシャニ
ルブフ：ルヴフ
チェルノフツィ：チェルニウツィー
スタニスラビブ：スタニスラーヴィウ
ビエルスコ：ビェルスコ
ケーニヒシュッテ：ケーニヒスヒュッテ
クロイツベルク：クロイツブルク
ポーセン：ポーゼン
ソーン：トルン
ストラスブルク：シュトラスブルク
インスタブルク：インスターブルク
アレンスタイン：アレンシュタイン
チェンストホバ：チェンストホヴァ
トマシュフ・マゾビエツキ：トマシュフ・マゾヴィエツキ
キエルツェ：キェルツェ
ロムザ：ウォムジャ
オストロレカ：オストロウェンカ
ビルニュス：ヴィルニュス
リーガ：リガ
リアパーヤ：リエパーヤ
エルガワ：イェルガヴァ
マドーナ：マドナ
ナルバ：ナルヴァ
クローンシュタット：クロンシュタット
ゴメル：ゴメリ
ビイテプスク：ヴィチェプスク
ボリソフ：バルイサウ
マズィル：モーズィリ
バブルイスク：ボブルイスク
ロブノ：ロヴノ
ターノポール：タルノーポリ
コヴェル：コーヴェリ
ノヴォフラード・ヴォルインスキー：ノヴォフラード＝ヴォルィーンシキー
キーフ：キーウ
スムイ：スームィ
ニコラエフ：ニコラーエフ
オデッサ：オデーサ
エリザベートグラード：エリザヴェトグラード
ボズネセンスク：ヴォズネセンスク
スダク：スダーク
エカテリノスラフ：エカチェリノスラーフ
ロデイノイェ・ポリェ：ロジェーイノイェ・ポーリェ
ペトロザボーツク：ペトロザヴォーツク
シャンガリー：シャーンガルィ
ベレツニク：ベレージニク
リビンスク ：ルィビンスク 
コノシャ：コーノシャ
ヴェルスク：ヴェリスク
リャツァン：リャザン
アルツァマス：アルザマス
ブヤトカ：ヴャトカ
ペンツァ：ペンザ
アレクサンドロ・グルシェフスカヤ：アレクサンドロ＝グルシェフスカヤ
ノボチェルカスク：ノヴォチェルカッスク
チムリャンスカヤ：ツィムリャーンスカヤ
イェカテリノダール：エカチェリノダール
ピャティゴルスク：ピャチゴルスク
ティクホレツスク：チホレツク
メイコプ：マイコープ
アルマビル：アルマヴィル
ペトロフスク・ポルト：ペトロフスク＝ポルト
ブラジカフカス：ヴラジカフカース
グロズニー：グロズヌイ
アストラカーン：アストラハン
カラチ：カラーチ
アクトーベ：アクトベ
クルサリー：クルサルィ
シャルカール：シャルカル
グリェフ：グリーエフ
サマラ：サマーラ
オレンブルグ：オレンブルク
ウーファ：ウファ
リスファ：ルィシヴァ
ベレツニキ：ベレズニキ
アムデルマ：アンジェルマ
カールタ：ハルター
エカテリンブルク：エカチェリンブルク
ニジニ・タジル：ニジニ・タギル
ハンティ・マンシースク：ハンティ＝マンシースク
グブキンスキー：グープキンスキー
セルジノ：セルギノ
ノボニコラエフスク：ノヴォニコラエフスク
ウスチ・アバカンスコエ：ウスチ＝アバカンスコエ
バーナウル：バルナウル
アク・ドヴラク：アク＝ドヴラーク
マクラコボ：マクラコーヴォ
ヴァンガシュ：ヴァンガーシュ
カルパシェヴォ：コルパーシェヴォ
ブラツク：ブラーツク
サンガー：サンガール
ミルニー：ミールヌイ
スコヴォロディノ：スコヴォロジノ
アラフ・ユニ：アラフ＝ユニ
ユニクチャン：ウィヌィクチャン
ボルガー：ボルグル
ベリンゴフスキー：ベーリンゴフスキー
アチャイファエム：アチャーイヴァヤーム
ヴァエギ：ヴァイェーギ
ペトロパブロフスク・カムチャツキー：ペトロパヴロフスク＝カムチャツキー
ギジガ：ギージガ
ミルコヴォ：ミーリコヴォ
クリヤチ：クリュチ
ユジノ・サハリンスク：ユジノ＝サハリンスク
オクハ：オハ
ノジリキ：ノギリキ
</t>
        </is>
      </c>
      <c r="D17" s="1" t="inlineStr">
        <is>
          <t xml:space="preserve">日本語では一般的ではない表記であるため。
</t>
        </is>
      </c>
      <c r="E17" s="1" t="inlineStr">
        <is>
          <t xml:space="preserve">1.0.3
</t>
        </is>
      </c>
      <c r="F17" s="1" t="inlineStr">
        <is>
          <t xml:space="preserve">なし
</t>
        </is>
      </c>
      <c r="G17" s="1" t="inlineStr">
        <is>
          <t xml:space="preserve">なし
</t>
        </is>
      </c>
      <c r="H17" s="1" t="n"/>
    </row>
    <row r="18" ht="615" customHeight="1">
      <c r="A18">
        <f>HYPERLINK("https://github.com/matanki-saito/vic3jpadvmod/issues/195",195)</f>
        <v/>
      </c>
      <c r="B18" s="1" t="inlineStr">
        <is>
          <t>政体名と称号名</t>
        </is>
      </c>
      <c r="C18" s="1" t="inlineStr">
        <is>
          <t xml:space="preserve">帝国制：帝国
公国制：公国
大公国制：大公国
首長制：首長国
公爵領制：公国
立憲公爵領制：立憲公国制
絶対公爵領制：絶対公国制
カウンティ制：伯国
立憲カウンティ制：立憲伯国制
絶対カウンティ制：絶対伯国制
帝政：ツァーリ国
サルタン国：スルタン国
へディーヴ：へディーヴ国
シャー王国：シャー国
公国制：大公国
ベイリク：君侯国
カリフ制：カリフ国
シャリフ制：シャリーフ国
スナナテ国：ススフナン国
チェルケシア自治領：チェルケシア連合
ハキム国：ハキーム国
法王君主制：チョゲル君主制
龍の王国：龍王国
絶対大公領制：絶対大公国制
大公領制：大公国
立憲大公領制：立憲大公国制
東洋正教会神権制：東方諸教会神権制
イマーム：イマーム国
教皇制度：教皇国
ザイド派イマーマ：ザイド派イマーム国
ブータン二頭政治：ブータン二頭政
共和制：共和国
軍閥長国：軍閥国家
選択的独裁制：選挙独裁制
ヴァンガードステート：前衛国家
ソビエト共和制：ソビエト共和国
教皇主義者コミューン：教皇主義コミューン
無政府コミューン：無政府主義共同体
王：国王
プリンス：公
プリンセス：公女
大プリンス：大公
大プリンセス：女大公
チャンセラー：首相
ツァーリナ：ツァリーツァ
ツァレーヴィチ：ツェサレーヴィチ
ツァレヴナ：ツァレーヴナ
マハラジャ：マハーラージャ
マハラニ：マハーラーニ
ベイ・アル-マハラ：ベイ・アル＝マハッラ
神聖大公：オーストリア大公
神聖女大公：オーストリア女大公
ハキム：ハキーム
護国女官：護国女卿
龍の王：龍王
龍の女王：龍女王
龍の皇太子：龍王子
龍の皇女：龍王女
龍の摂政王：龍の摂政
帝王：諸王の王
王妃：諸王の女王
ラニ：ラーニ
ハイプリースト：高僧
ハイプリーステス：高僧
チェアマン：主席
チェアウーマン：主席
アヤトラ：アーヤトッラー
イマム：イマーム
人民司教：人民神祇官
東インド会社：勅許会社
司教領制：司教国
</t>
        </is>
      </c>
      <c r="D18" s="1" t="inlineStr">
        <is>
          <t xml:space="preserve">日本語では一般的ではない表記であるため
</t>
        </is>
      </c>
      <c r="E18" s="1" t="inlineStr">
        <is>
          <t xml:space="preserve">1.0.3
</t>
        </is>
      </c>
      <c r="F18" s="1" t="inlineStr">
        <is>
          <t xml:space="preserve">なし
</t>
        </is>
      </c>
      <c r="G18" s="1" t="inlineStr">
        <is>
          <t xml:space="preserve">なし
</t>
        </is>
      </c>
      <c r="H18" s="1" t="n"/>
    </row>
    <row r="19" ht="735" customHeight="1">
      <c r="A19">
        <f>HYPERLINK("https://github.com/matanki-saito/vic3jpadvmod/issues/185",185)</f>
        <v/>
      </c>
      <c r="B19" s="1" t="inlineStr">
        <is>
          <t>国名</t>
        </is>
      </c>
      <c r="C19" s="1" t="inlineStr">
        <is>
          <t xml:space="preserve">アンイ：アニ
バスター：バスタール
ブランズウィック：ブラウンシュヴァイク
ブルンディ：ブルンジ
ビザンティウム：ビザンツ
ザクセン・コーブルク・ゴータ：ザクセン＝コーブルク＝ゴータ
ダー・アル・クチ：ダル・アル・クティ
ダル・フェルティト：ダール・フェルティト
サント・ドミンゴ：サントドミンゴ
エル・サルバドル：エルサルバドル
大ゲルマン：大ドイツ
ヘッセ・カッセル：ヘッセン＝カッセル
ヘッセ：ヘッセン
オビア：ホビョ
ヒバ：ヒヴァ
コカンド：コーカンド
ランファン：蘭芳
シャウムブルク・リッペ：シャウムブルク＝リッペ
シュバルツブルク：シュヴァルツブルク
メクレンブルク・シュトレーリッツ：メクレンブルク＝シュトレーリッツ
ザクセン・マイニンゲン：ザクセン＝マイニンゲン
サクソン：ザクセン
モッシ：モシ
マイスール：マイソール
ネジド：ナジュド
ナイ・タフ：ンガーティ・タフ
ナヴァホ：ナバホ
ペルシャ：ペルシア
ポーランド・リトアニア：ポーランド＝リトアニア
サルデーニャ・ピエモンテ：サルデーニャ＝ピエモンテ
シュレスヴィヒ：シュレースヴィヒ
スカニア：スコーネ
インド準州：インディアン準州
バルト連合王国：バルト連合州
ザクセン・ワイマール：ザクセン＝ヴァイマル
ウェストファリア：ヴェストファーレン
ワロニア：ワロン
パーマ：ペルミ
ハザラ：ハザーラ
チエン：黔
フォルモサ：台湾
広東：粤
北カフカース：北コーカサス
テュルキスタン：トルキスタン
ポンティアナ：ポンティアナック
カルムイキア：カルムイク
連合君主大公国：主権大公合衆国
アメリカ組織連合：アメリカ組合主義国
ニューグラナダ：ヌエバ・グラナダ
アメリカ君主同盟：アメリカ主権連合国
アメリカ共産国：アメリカ共産合衆国
アメリカ教会会議連合：アメリカ教会会議連合国
清：大清
サン・ドマング：サン＝ドマング
ニュースペイン：ヌエバ・エスパーニャ
バク・コミューン：バクー・コミューン
バクヴィアン：バクー
オーストリア・ハンガリー：オーストリア＝ハンガリー
アングロ・インド：イギリス領インド
クメール王朝：クメール帝国
モンゴル帝国：大モンゴル帝国
グレート・スー国；大スー国
李氏朝鮮：朝鮮
カフカース・イマーム：コーカサス・イマーム国
シュレースウィヒ・ホルシュタイン：シュレースヴィヒ＝ホルシュタイン
</t>
        </is>
      </c>
      <c r="D19" s="1" t="inlineStr">
        <is>
          <t xml:space="preserve">日本語では一般的ではない表記であるため
</t>
        </is>
      </c>
      <c r="E19" s="1" t="inlineStr">
        <is>
          <t xml:space="preserve">1.0.3
</t>
        </is>
      </c>
      <c r="F19" s="1" t="inlineStr">
        <is>
          <t xml:space="preserve">なし
</t>
        </is>
      </c>
      <c r="G19" s="1" t="inlineStr">
        <is>
          <t xml:space="preserve">なし
</t>
        </is>
      </c>
      <c r="H19" s="1" t="n"/>
    </row>
    <row r="20" ht="315" customHeight="1">
      <c r="A20">
        <f>HYPERLINK("https://github.com/matanki-saito/vic3jpadvmod/issues/128",128)</f>
        <v/>
      </c>
      <c r="B20" s="1" t="inlineStr">
        <is>
          <t>カタカナになっている漢字圏の人名（非ランダム人名）</t>
        </is>
      </c>
      <c r="C20" s="1" t="inlineStr">
        <is>
          <t xml:space="preserve">ダオグアング：道光
イズフ：奕詝
アイシン・ギオロ：愛新覚羅
ジズヘン：自珍
ゴング：龔
シャンリン：長齢
ユアン：元
ルアン：院
キイング：耆英
レクシング：楽行
ユピアン：育楩
バンボ：堂輔
ビュングク：炳国
ビュンハク：炳学
ビュンシ：炳始
チョイウン：最応
ドンイン：敦仁
ドゥセオン：淳斗
ハユン：昰応
ホンジプ：弘集
ホングン：興根
ギュホ：奎鎬
インヨン：寅永
ジョスン：祖淳
ジョンヤン：重陽
ジャグン：左根
キョンジェ：景在
サンワン：相璜
ソンモク：淳穆
ソンタク：舜沢
ワンヨン：元容
ヨンソン：英淳
ユワン：有源
ビョン：昪
チョク：坧
ゲウン：昑
ミョウンボク：命福
サン：祘
ジャヨン：茲映
ジュンソン：曽順
ヒョウユ：孝裕
オクジョン：玉貞
ウォン：元
ソン：宋
ソク：石
ソン：成
シン：申
パーク：朴
ナ：羅
ムン：文
コ：高
ガン：姜
オク：檍
ナングン：南宮
ボンハク：奉劾
サンオク：尚沃
イム：林
ジョンヒ：正喜
</t>
        </is>
      </c>
      <c r="D20" s="1" t="inlineStr">
        <is>
          <t xml:space="preserve">カタカナ表記は一般的な表記からかけ離れている。
</t>
        </is>
      </c>
      <c r="E20" s="1" t="inlineStr">
        <is>
          <t xml:space="preserve">1.0.3
</t>
        </is>
      </c>
      <c r="F20" s="1" t="inlineStr">
        <is>
          <t xml:space="preserve">なし
</t>
        </is>
      </c>
      <c r="G20" s="1" t="inlineStr">
        <is>
          <t xml:space="preserve">なし
</t>
        </is>
      </c>
      <c r="H20" s="1" t="n"/>
    </row>
    <row r="21" ht="1050" customHeight="1">
      <c r="A21">
        <f>HYPERLINK("https://github.com/matanki-saito/vic3jpadvmod/issues/127",127)</f>
        <v/>
      </c>
      <c r="B21" s="1" t="inlineStr">
        <is>
          <t>カタカナになっている漢字圏の人名</t>
        </is>
      </c>
      <c r="C21" s="1" t="inlineStr">
        <is>
          <t xml:space="preserve">アバハイ：阿巴亥
フイシン：恵興
リングイ：霊桂
キージン：愨靖
ワンロン：婉容
ウェンジン：文静
シンツェン：杏貞
アン：安
チュン：醇
グオ：果
ヘン：恒
フイ：恵
ジンジン：敬謹
ケキン：克勤
リル：礼
ニン：寧
チエン：謙
ロン：栄
シュンチェン：順承
スー：粛
ウェン：文
シャン：諴
シュン：恂
イン：英
ツィー：質
ツォン：鐘
チワン：庄
タイキン：太清
シング：秀姑
シュアンジャオ：宣嬌
チュワ・チン：佐鎮
グー：九
ヘオン・ギョー：亨九
ムン・ゲウン：明根
サン・ヨン：相永
ビンゲオガク：凭虚閣
フワヒエオプ：和協
ジェオンギルダン：静一堂
セオンフイ：宣禧
シンジェオン：神貞
サンヒー：成希
イェオンスハプ：令寿閣
ユンジダン：允摯堂
チャン：張
チョー：崔
ギム：金
ウォン：権
ジュンイン：君瑛
キンタン：慶棠
サニアン：三娘
シャンツィアン：善祥
ユンメイ：韻梅
シー：石
シェーフェン：擷芬
アキュウ：亜嬌
ジンホン：金訇
クイ：崔
ニエ：聶
ツァオ：趙
ガン：関
オボイ：鰲拝
ソニン：索尼
ソンゴッツ：索額図
スクサハ：蘇克薩哈
ムングツ：明珠
ナラン：納蘭
ヘセン：和珅
チャングリン：長齢
ワン：王
リー：李
ツァン：張
リウ：劉
チェン：陳
ファン：黄
リャン：梁
ルオ：羅
ウォン：鄺
フシア：夏
ツウ：朱
マオ：毛
リャオ：廖
タン：譚
ガオ：高
シー：謝
コング：孔
パン：潘
ユー：于
イ：李
ヨー：曹
バク：朴
ユン：尹
シム：沈
キム：金
ホン：洪
セオ：徐
イェオ：鄭
ウォン：権
フェン：馮
シー：石
スーング：宋
シュー：薛
ツァイ：蔡
ツェン：甄
パー：帕
ハン：項
メー：米
チャイ：柴
カオ：高
バン：邦
ゾン：宗
ゾウア：祖
マイ：梅
ブロン：隆
キン：秦
カ：卡
ディア：賈
ネン：寧
カク：卡
リン：林
ウォン：黄
ヤン：厳
サー：薩
ホウ：侯
ツェン：鄭
ビン：冰
ヘー：賀
ドゥ：杜
スー：徐
ホアン：黄
ノン：儂
レー：勒
ベー：貝
ヴァン：范
クォン：国
クイン：瓊
テー：特
ドゥク：徳
ツァンシャン：占山
ティエメイ：鉄梅
シャンツィ：尚志
リンジェ：麟閣
シャンイン：向応
シンジェ：性徳
カンアン：康安
ウー：呉
サン：孫
マー：馬
フー：胡
ペン：彭
ドン：董
イェー：叶
ルー：呂
ティアン：田
ヤン：江
ウェイ：韋
ティン：丁
シェン：沈
ファン：芳
ジン：金
キウ：邱
ホワン：桓
チュン：鍾
ヒョン：刑
シンジョン：神宗
ホン：黄
チョク：戚
テク：卓
ション：宣
シー：施
ジプ：集
ガク：国
モク：穆
ボー：保
ヨン：栄
ギュー：喬
ジウクァン：秀全
ユンシャン：雲山
ジウキン：秀清
ダカイ：達開
ユーチェン：玉成
レンガン：仁玕
ジカイ：子才
ヨンフー：永福
フェンジア：逢甲
ヤトセン：逸仙
タオ：陶
サオ：召
モウア：馬
ヴエ：呉
ヘル：侯
リーファウ：李峰
パオ：宝
ヤン：楊
ロー：洛
チャ：張
コンウェン：従文
ジーミン：志明
リャンユー：良玉
ゼクスウ：則徐
バオツェン：葆楨
バオチェン：宝琛
ナイ・ション：乃裳
シュー：紓
フー：復
セン：森
デバン：徳榜
シン：心
ネー：倪
フイイン：徽音
スー：舒
マン：孟
トリュー：趙
カーン：慶
フン：馮
ハウ：厚
デン：登
ファッチ：珀
カオ：高
</t>
        </is>
      </c>
      <c r="D21" s="1" t="inlineStr">
        <is>
          <t xml:space="preserve">カタカナ表記は一般的な表記からかけ離れている。
</t>
        </is>
      </c>
      <c r="E21" s="1" t="inlineStr">
        <is>
          <t xml:space="preserve">1.0.3
</t>
        </is>
      </c>
      <c r="F21" s="1" t="inlineStr">
        <is>
          <t xml:space="preserve">なし
</t>
        </is>
      </c>
      <c r="G21" s="1" t="inlineStr">
        <is>
          <t xml:space="preserve">なし
</t>
        </is>
      </c>
      <c r="H21" s="1" t="n"/>
    </row>
    <row r="22" ht="165" customHeight="1">
      <c r="A22">
        <f>HYPERLINK("https://github.com/matanki-saito/vic3jpadvmod/issues/95",95)</f>
        <v/>
      </c>
      <c r="B22" s="1" t="inlineStr">
        <is>
          <t>interest_groups内で使われる固有名詞</t>
        </is>
      </c>
      <c r="C22" s="1" t="inlineStr">
        <is>
          <t xml:space="preserve">東方正教会：東方諸教会
イギリス国教会：聖公会
福音派：福音教会
スンニ派聖職者：スンナ派イスラム法学者
シーア派聖職者：シーア派イスラム法学者
大乗僧：大乗仏教僧
上座僧：上座部仏教僧
異教シャーマン：シャーマン
地主階級：地主ジェントリ
ユンカース：ユンカー
ユンカー地主：地主ユンカー
カルロス支持派：カルロス派
イザベル支持派：イサベル派
鉄道タイクーン：鉄道実業家
宮廷ハーレム：宮廷ハレム
中央集権主義者：中央主義者
官僚階級：文人
儒教学者：儒学者
幕府：佐幕派
</t>
        </is>
      </c>
      <c r="D22" s="1" t="inlineStr">
        <is>
          <t xml:space="preserve">日本語では一般的ではない表記であるため
</t>
        </is>
      </c>
      <c r="E22" s="1" t="inlineStr">
        <is>
          <t xml:space="preserve">1.0.3
</t>
        </is>
      </c>
      <c r="F22" s="1" t="inlineStr">
        <is>
          <t xml:space="preserve">なし
</t>
        </is>
      </c>
      <c r="G22" s="1" t="inlineStr">
        <is>
          <t xml:space="preserve">なし
</t>
        </is>
      </c>
      <c r="H22" s="1" t="n"/>
    </row>
    <row r="23" ht="405" customHeight="1">
      <c r="A23">
        <f>HYPERLINK("https://github.com/matanki-saito/vic3jpadvmod/issues/89",89)</f>
        <v/>
      </c>
      <c r="B23" s="1" t="inlineStr">
        <is>
          <t>日本の史実人物の名前</t>
        </is>
      </c>
      <c r="C23" s="1" t="inlineStr">
        <is>
          <t xml:space="preserve">names_l_japanese.yml
オシオ：大塩
コアン：洪庵
森：毛利
忍子：仁孝
長人：統仁
秀龍：英龍
庸三：耀蔵
</t>
        </is>
      </c>
      <c r="D23" s="1" t="inlineStr">
        <is>
          <t xml:space="preserve">上記の翻訳が使われた人物は、明らかに大塩平八郎、緒方洪庵、毛利敬親、仁孝天皇、統仁親王(孝明天皇)、江川英龍、鳥居耀蔵をさしている。
https://ja.wikipedia.org/wiki/%E5%A4%A7%E5%A1%A9%E5%B9%B3%E5%85%AB%E9%83%8E
https://ja.wikipedia.org/wiki/%E7%B7%92%E6%96%B9%E6%B4%AA%E5%BA%B5
https://ja.wikipedia.org/wiki/%E6%AF%9B%E5%88%A9%E6%95%AC%E8%A6%AA
https://ja.wikipedia.org/wiki/%E4%BB%81%E5%AD%9D%E5%A4%A9%E7%9A%87
https://ja.wikipedia.org/wiki/%E5%AD%9D%E6%98%8E%E5%A4%A9%E7%9A%87
https://ja.wikipedia.org/wiki/%E6%B1%9F%E5%B7%9D%E8%8B%B1%E9%BE%8D
https://ja.wikipedia.org/wiki/%E9%B3%A5%E5%B1%85%E8%80%80%E8%94%B5
</t>
        </is>
      </c>
      <c r="E23" s="1" t="inlineStr">
        <is>
          <t xml:space="preserve">1.0.3
</t>
        </is>
      </c>
      <c r="F23" s="1" t="inlineStr">
        <is>
          <t xml:space="preserve">なし
</t>
        </is>
      </c>
      <c r="G23" s="1" t="inlineStr">
        <is>
          <t xml:space="preserve">なし
</t>
        </is>
      </c>
      <c r="H23" s="1" t="n"/>
    </row>
    <row r="24" ht="720" customHeight="1">
      <c r="A24">
        <f>HYPERLINK("https://github.com/matanki-saito/vic3jpadvmod/issues/80",80)</f>
        <v/>
      </c>
      <c r="B24" s="1" t="inlineStr">
        <is>
          <t>政党名の固有名詞</t>
        </is>
      </c>
      <c r="C24" s="1" t="inlineStr">
        <is>
          <t xml:space="preserve">ボリシェビキ党：ボリシェヴィキ党
イギリスファシスト連合：イギリス・ファシスト連合
シルバーレギオン：白銀軍団
文民党：市民党
国家文民同盟：国家市民同盟
国家戦線：国民戦線
ノルウェー国民連合：国民連合
全ロシアファシスト党：全ロシア・ファシスト党
スウェーデン民主連盟：スウェーデン民族同盟
国家統一党：国民連合
ズボール：ズボル
イラン-e-No党：新イラン党
全国社会キリスト教党：国家社会キリスト党
全国ファシスト党：国家ファシスト党
ギリシャ国家統一党：ギリシャ国民連合
ノルウェー右翼党：右翼党
デンマーク右翼党：右翼党
リベラル保守党：自由主義保守党
右派政党：右翼党
制憲連盟：制憲協会
奔放ヴェンスタ：ヴェンスタ自由思想家派
古ラントマンナ党：旧ラントマンナ党
リベラル民主：自由民主派
リベラルユニオン：自由主義連合
自由連合：自由連盟
全国リベラル党：国民自由党
帝国改革協会：保皇会
立憲改進党：立憲改革党
進歩ソサエティ：社会進歩派
自由合意党：自由調和党
グレートリベラル党：大自由党
ロシア民主労働党：カデット党
英国党：イングランド党
愛国統一党：愛国同盟
民族人民党：国家人民党
帝国氏族党：皇族党
帝道党：皇道党
ロシア全軍事統一党：ロシア全軍連合
進歩の相違：進歩異議派
社会リベラル党：社会自由党
自由発想民主連合：自由思想家民主同盟
急進リベラル党：急進自由党
奔放人民党：自由思想家人民党
メキシコリベラル党：メキシコ自由党
ポルトガルカトリックセンター：ポルドガル・カトリック中央
穏健ヴェンスタ：ヴェンスタ穏健派
ゼントルム：中央党
諸学会評議会：有識者評議会
ロシア人民統一党：ロシア人民同盟
無知党：ノウ・ナッシング党
保守派カトリック：カトリック保守派
伝統主義者コミュニオン：伝統主義コミュニオン
メンシェビキ党：メンシェヴィキ党
タイ民主党：民主党
社会主義労働者同盟：社会主義労働者連合
メキシコ労働党：労働者党
社会労働党：社会主義労働党
南軍社会主義者協会：連合国社会主義協会
農耕同盟：農業同盟
全国農民協定：全国農民合意
国家農耕連合：農業国民連合
小作農党：農民党
全国農民党：国家農民党
社会主義同盟：社会主義者同盟
イタリア労働組合：イタリア組合主義連合
</t>
        </is>
      </c>
      <c r="D24" s="1" t="inlineStr">
        <is>
          <t xml:space="preserve">日本語では一般的ではない表記であるため
</t>
        </is>
      </c>
      <c r="E24" s="1" t="inlineStr">
        <is>
          <t xml:space="preserve">1.0.3
</t>
        </is>
      </c>
      <c r="F24" s="1" t="inlineStr">
        <is>
          <t xml:space="preserve">なし
</t>
        </is>
      </c>
      <c r="G24" s="1" t="inlineStr">
        <is>
          <t xml:space="preserve">なし
</t>
        </is>
      </c>
      <c r="H24" s="1" t="n"/>
    </row>
    <row r="25" ht="1050" customHeight="1">
      <c r="A25">
        <f>HYPERLINK("https://github.com/matanki-saito/vic3jpadvmod/issues/78",78)</f>
        <v/>
      </c>
      <c r="B25" s="1" t="inlineStr">
        <is>
          <t>州名の固有名詞</t>
        </is>
      </c>
      <c r="C25" s="1" t="inlineStr">
        <is>
          <t xml:space="preserve">アーカンサス：アーカンソー
ブリティッシュ・コロンビア：ブリティッシュコロンビア
アルベルタ：アルバータ
スカニア：スコーネ
ペロポネーゼ：ペロポネソス
カタロニア：カタルーニャ
ニュー・サウス・ウェールズ：ニューサウスウェールズ
ノースアイランド：北島
サウスアイランド：南島
ウリャスタイ：ウリヤスタイ
休戦沿岸：休戦海岸
シフアフア：チワワ
グエレッロ：ゲレーロ
ザカテカス：サカテカス
パスターサ：パスタサ
マト・グロッソ：マットグロッソ
サオ・パウロ：サンパウロ
ミナス・ジェライス：ミナスジェライス
バヒア：バイーア
ペルナムブコ：ペルナンブーコ
マランハオ：マラニョン
パーラ：パラー
メンドーザ：メンドーサ
シャコ：チャコ
ジュジュイ：フフイ
サンタ・クルツ：サンタクルス
アルリフ：アル・リーフ
コンスタンティン：コンスタンティーヌ
リビヤ砂漠：リビア砂漠
リビヤ：リビア
ブルーナイル：青ナイル
モカンビーク：モザンビーク
ラインスター：レンスター
ローン：ローヌ
アルザス・ロレーヌ：アルザス＝ロレーヌ
リムジン：リムーザン
バーガンディー：ブルゴーニュ
フランシュ・コンテ：フランシュ＝コンテ
オーベルジュ：オーヴェルニュ
イル・ド・フランス：イル＝ド＝フランス
ケープ・ヴェルデ：カーボベルデ
ワロニア：ワロン
ホランド：ホラント
ジーランド：ゼーラント
バルチスタン：バルーチスターン
マイスール：マイソール
ペグ：ペグー
ヴィサヤ：ビサヤ
アティッカ：アッティカ
コンゴ・オレエンタル：コンゴ・オリエンタル
コートジボワール：象牙海岸
ヴリスタート：フレイスタート
ハイル：ハーイル
ネジド：ナジュド
バグダッド：バグダード
モスル：モースル
シスタン：スィースターン
コーラサン：ホラーサーン
ラリスタン：ラーレスターン
クーゼスタン：フーゼスターン
ファルス：ファールス
イスファハン：エスファハーン
マザンダラン：マーザンダラーン
イラケジェミ：エラーケ・アジャム
タブリズ：タブリーズ
ルリスタン：ロレスターン
ヒュダヴェンディガル：ヒュダヴェンディギャール
アイディン：アイドゥン
コニャ：コンヤ
ヤンセオ：両西
ヤンホ：両湖
ラーサ：ラサ
ンガリ：ガリ
オストロボスニア：ポフヤンマー
ネネシア：ネネツ
ヒバ：ヒヴァ
キルギスタン：キルギス
オラル：ウラリスク
トルクメニア：トルクメン
オブ：オビ
サマラ：サマーラ
クバ：クバーニ
アストラカーン：アストラハン
ルハンスク：ルハンシク
アプリア：プッリャ
西ガリシア：西ガリツィア
東ガリシア：東ガリツィア
ベーケシ：ベーケーシュ
トランスダヌビア：ドゥナーントゥール
スティリア：シュタイアーマルク
デルビデク：デールヴィデーク
ポーセン：ポーゼン
ウェストファリア：ヴェストファーレン
シュレースウィヒ・ホルシュタイン：シュレースヴィヒ＝ホルシュタイン
ブランズウィック：ブラウンシュヴァイク
サルディーニャ：サルデーニャ
キーウ：キエフ
アンブリア：ウンブリア
ウター：ユタ
ガラパゴスライズ：ガラパゴス海膨
ナタル沿岸：ナタール沿岸
パタゴニアレイク：パタゴニア湖
パライーバ：パライバ
サンタ・カタリーナ：サンタカタリーナ
ヴェラクルズ：ベラクルス
クァシム系国家：カーシム
クァシム系：カーシム
</t>
        </is>
      </c>
      <c r="D25" s="1" t="inlineStr">
        <is>
          <t xml:space="preserve">日本語では一般的ではない表記であるため
</t>
        </is>
      </c>
      <c r="E25" s="1" t="inlineStr">
        <is>
          <t xml:space="preserve">1.0.3
</t>
        </is>
      </c>
      <c r="F25" s="1" t="inlineStr">
        <is>
          <t xml:space="preserve">なし
</t>
        </is>
      </c>
      <c r="G25" s="1" t="inlineStr">
        <is>
          <t xml:space="preserve">なし
</t>
        </is>
      </c>
      <c r="H25" s="1" t="n"/>
    </row>
    <row r="26" ht="105" customHeight="1">
      <c r="A26">
        <f>HYPERLINK("https://github.com/matanki-saito/vic3jpadvmod/issues/73",73)</f>
        <v/>
      </c>
      <c r="B26" s="1" t="inlineStr">
        <is>
          <t>【修正提案】旅行馬車　Passenger Carriages</t>
        </is>
      </c>
      <c r="C26" s="1" t="inlineStr">
        <is>
          <t xml:space="preserve">木製の旅行馬車：木製客車
鉄製の旅行馬車：鋼製客車
</t>
        </is>
      </c>
      <c r="D26" s="1" t="inlineStr">
        <is>
          <t xml:space="preserve">鉄道用車両の話なので、明らかな誤訳
=HYPERLINK("https://user-images.githubusercontent.com/37979626/198259174-bece5056-338f-4f3e-93c7-6400cf6db48d.png","screenshot")
</t>
        </is>
      </c>
      <c r="E26" s="1" t="inlineStr">
        <is>
          <t xml:space="preserve">1.0.1
</t>
        </is>
      </c>
      <c r="F26" s="1" t="inlineStr">
        <is>
          <t xml:space="preserve">なし
</t>
        </is>
      </c>
      <c r="G26" s="1" t="inlineStr">
        <is>
          <t xml:space="preserve">なし
</t>
        </is>
      </c>
      <c r="H26" s="1" t="n"/>
    </row>
    <row r="27" ht="45" customHeight="1">
      <c r="A27">
        <f>HYPERLINK("https://github.com/matanki-saito/vic3jpadvmod/issues/63",63)</f>
        <v/>
      </c>
      <c r="B27" s="1" t="inlineStr">
        <is>
          <t>strategic_regionsにおける固有名詞</t>
        </is>
      </c>
      <c r="C27" s="1" t="inlineStr">
        <is>
          <t xml:space="preserve">バルティック：バルト
ペルシャ：ペルシア
中国北部：華北
中国南部：華南
マスカリン：マスカリン諸島
アダマン海：アンダマン海
シアム湾：シャム湾
</t>
        </is>
      </c>
      <c r="D27" s="1" t="inlineStr">
        <is>
          <t xml:space="preserve">日本語では一般的ではない表記であるため
</t>
        </is>
      </c>
      <c r="E27" s="1" t="inlineStr">
        <is>
          <t xml:space="preserve">1.0.3
</t>
        </is>
      </c>
      <c r="F27" s="1" t="inlineStr">
        <is>
          <t xml:space="preserve">なし
</t>
        </is>
      </c>
      <c r="G27" s="1" t="inlineStr">
        <is>
          <t xml:space="preserve">なし
</t>
        </is>
      </c>
      <c r="H27" s="1" t="n"/>
    </row>
    <row r="28" ht="330" customHeight="1">
      <c r="A28">
        <f>HYPERLINK("https://github.com/matanki-saito/vic3jpadvmod/issues/47",47)</f>
        <v/>
      </c>
      <c r="B28" s="1" t="inlineStr">
        <is>
          <t>文化の固有名詞</t>
        </is>
      </c>
      <c r="C28" s="1" t="inlineStr">
        <is>
          <t xml:space="preserve">ワロニア：ワロン
アングロ・カナダ：イギリス系カナダ
カタロニア：カタルーニャ
フランス・カナダ：フランス系カナダ
南スラブ：南スラヴ
東スロバキア：東スラヴ
ベラルーシ：白ロシア
バルティック：バルト
マスリ：ミスル
アマジグ：アマーズィーグ
ペルシャ：ペルシア
ハザラ：ハザーラ
マニプリ：マニプル
パンジャブ：パンジャーブ
マラーティー：マラーター
小アジア：アジア少数民族
広東：粤
サポテク：サポテカ
ナヴァホ：ナバホ
ミスキティア：ミスキート
カリブ：カリベニョ
アフリカ・アメリカ：アフリカ系アメリカ
アフリカ・カリブ：アフリカ系カリブ
アフリカ・カリブ：アフリカ系カリベニョ
アフリカ・ブラジル：アフリカ系ブラジル
アフリカ・アンティル：アフリカ系アンティル
江戸：エド
ハラチン：ハラティン
モッシ：モシ
コンゴ：バコンゴ
アフリカ・少数民族：アフリカ少数民族
シダマ：シダモ
オクシタニア：オック
スマトラ人：スマトラ
ボルネオ人：ボルネオ
バリ人：バリ
イエメン系：イエメン
</t>
        </is>
      </c>
      <c r="D28" s="1" t="inlineStr">
        <is>
          <t xml:space="preserve">日本語では一般的ではない表記であるため
</t>
        </is>
      </c>
      <c r="E28" s="1" t="inlineStr">
        <is>
          <t xml:space="preserve">1.0.3
</t>
        </is>
      </c>
      <c r="F28" s="1" t="inlineStr">
        <is>
          <t xml:space="preserve">なし
</t>
        </is>
      </c>
      <c r="G28" s="1" t="inlineStr">
        <is>
          <t xml:space="preserve">なし
</t>
        </is>
      </c>
      <c r="H28" s="1" t="n"/>
    </row>
    <row r="29" ht="135" customHeight="1">
      <c r="A29">
        <f>HYPERLINK("https://github.com/matanki-saito/vic3jpadvmod/issues/41",41)</f>
        <v/>
      </c>
      <c r="B29" s="1" t="inlineStr">
        <is>
          <t>地名（西欧を中心に複数）</t>
        </is>
      </c>
      <c r="C29" s="1" t="inlineStr">
        <is>
          <t xml:space="preserve">【エリア名】
バーガンディー：ブルゴーニュ
リムジン：リムーザン
オーベルジュ：オーベルニュ
ローン：ローヌ
ラインスター：レンスター
カタロニア：カタルーニャ
【都市名】
トゥリン：トリノ
クラコフ：クラクフ
バーゴス：ブルゴス
ジノア：ジェノヴァ
サン・テティエンヌ：サンテティエンヌ
モントーバン：モンタルバン
ナンテス：ナント
ロウエン：ルーアン
リオン：リヨン
ナムール：ナミュール
</t>
        </is>
      </c>
      <c r="D29" s="1" t="inlineStr">
        <is>
          <t xml:space="preserve">日本で一般的に聞く表記（一部違和感を感じてGoogleマップを参考に）
</t>
        </is>
      </c>
      <c r="E29" s="1" t="inlineStr">
        <is>
          <t xml:space="preserve">1.0.3
</t>
        </is>
      </c>
      <c r="F29" s="1" t="inlineStr">
        <is>
          <t xml:space="preserve">Gland Edition付属のもの
</t>
        </is>
      </c>
      <c r="G29" s="1" t="inlineStr">
        <is>
          <t xml:space="preserve">なし
</t>
        </is>
      </c>
      <c r="H29" s="1" t="n"/>
    </row>
    <row r="30" ht="60" customHeight="1">
      <c r="A30">
        <f>HYPERLINK("https://github.com/matanki-saito/vic3jpadvmod/issues/38",38)</f>
        <v/>
      </c>
      <c r="B30" t="inlineStr">
        <is>
          <t>宗教の固有名詞</t>
        </is>
      </c>
      <c r="C30" t="inlineStr">
        <is>
          <t xml:space="preserve">東方正教会：東方諸教会
スンニ派：スンナ派
ユダヤ諸語：ユダヤ教
上座仏教：上座部仏教
東方教会：東洋宗教
仏教徒：仏教
キリスト教徒：キリスト教
イスラム教徒：イスラム教
</t>
        </is>
      </c>
      <c r="D30" t="inlineStr">
        <is>
          <t xml:space="preserve">日本語では一般的ではない表記であるため
</t>
        </is>
      </c>
      <c r="E30" t="inlineStr">
        <is>
          <t xml:space="preserve">1.0.3
</t>
        </is>
      </c>
      <c r="F30" t="inlineStr">
        <is>
          <t xml:space="preserve">なし
</t>
        </is>
      </c>
      <c r="G30" t="inlineStr">
        <is>
          <t xml:space="preserve">なし
</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2022-11-11T13:02:27Z</dcterms:created>
  <dcterms:modified xsi:type="dcterms:W3CDTF">2022-11-11T13:02:27Z</dcterms:modified>
</cp:coreProperties>
</file>