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2375" windowHeight="5130" activeTab="5"/>
  </bookViews>
  <sheets>
    <sheet name="Osnovni podaci" sheetId="4" r:id="rId1"/>
    <sheet name="Dionica 1" sheetId="1" r:id="rId2"/>
    <sheet name="Dionica 2" sheetId="2" r:id="rId3"/>
    <sheet name="Dionica 3" sheetId="3" r:id="rId4"/>
    <sheet name="Dionica 4" sheetId="5" r:id="rId5"/>
    <sheet name="Grafički prikaz" sheetId="6" r:id="rId6"/>
  </sheets>
  <calcPr calcId="125725"/>
</workbook>
</file>

<file path=xl/calcChain.xml><?xml version="1.0" encoding="utf-8"?>
<calcChain xmlns="http://schemas.openxmlformats.org/spreadsheetml/2006/main">
  <c r="G2" i="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"/>
  <c r="M36"/>
  <c r="M37"/>
  <c r="M38"/>
  <c r="M39"/>
  <c r="M40"/>
  <c r="M41"/>
  <c r="M42"/>
  <c r="M43"/>
  <c r="M44"/>
  <c r="M45"/>
  <c r="M46"/>
  <c r="M47"/>
  <c r="M48"/>
  <c r="M49"/>
  <c r="M50"/>
  <c r="M35"/>
  <c r="M28"/>
  <c r="M29"/>
  <c r="M30"/>
  <c r="M31"/>
  <c r="M32"/>
  <c r="M33"/>
  <c r="M34"/>
  <c r="M27"/>
  <c r="M20"/>
  <c r="M21"/>
  <c r="M22"/>
  <c r="M23"/>
  <c r="M24"/>
  <c r="M25"/>
  <c r="M26"/>
  <c r="M19"/>
  <c r="M2"/>
  <c r="M3"/>
  <c r="M4"/>
  <c r="M5"/>
  <c r="M6"/>
  <c r="M7"/>
  <c r="M8"/>
  <c r="M9"/>
  <c r="M10"/>
  <c r="M11"/>
  <c r="M12"/>
  <c r="M13"/>
  <c r="M14"/>
  <c r="M15"/>
  <c r="M16"/>
  <c r="M17"/>
  <c r="M18"/>
  <c r="M1"/>
  <c r="L36"/>
  <c r="L37"/>
  <c r="L38"/>
  <c r="L39"/>
  <c r="L40"/>
  <c r="L41"/>
  <c r="L42"/>
  <c r="L43"/>
  <c r="L44"/>
  <c r="L45"/>
  <c r="L46"/>
  <c r="L47"/>
  <c r="L48"/>
  <c r="L49"/>
  <c r="L50"/>
  <c r="L35"/>
  <c r="L28"/>
  <c r="L29"/>
  <c r="L30"/>
  <c r="L31"/>
  <c r="L32"/>
  <c r="L33"/>
  <c r="L34"/>
  <c r="L27"/>
  <c r="L20"/>
  <c r="L21"/>
  <c r="L22"/>
  <c r="L23"/>
  <c r="L24"/>
  <c r="L25"/>
  <c r="L26"/>
  <c r="L19"/>
  <c r="L2"/>
  <c r="L3"/>
  <c r="L4"/>
  <c r="L5"/>
  <c r="L6"/>
  <c r="L7"/>
  <c r="L8"/>
  <c r="L9"/>
  <c r="L10"/>
  <c r="L11"/>
  <c r="L12"/>
  <c r="L13"/>
  <c r="L14"/>
  <c r="L15"/>
  <c r="L16"/>
  <c r="L17"/>
  <c r="L18"/>
  <c r="L1"/>
  <c r="E36"/>
  <c r="E37"/>
  <c r="E38"/>
  <c r="E39"/>
  <c r="E40"/>
  <c r="E41"/>
  <c r="E42"/>
  <c r="E43"/>
  <c r="E44"/>
  <c r="E45"/>
  <c r="E46"/>
  <c r="E47"/>
  <c r="E48"/>
  <c r="E49"/>
  <c r="E50"/>
  <c r="E35"/>
  <c r="E28"/>
  <c r="E29"/>
  <c r="E30"/>
  <c r="E31"/>
  <c r="E32"/>
  <c r="E33"/>
  <c r="E34"/>
  <c r="E27"/>
  <c r="E20"/>
  <c r="E21"/>
  <c r="E22"/>
  <c r="E23"/>
  <c r="E24"/>
  <c r="E25"/>
  <c r="E26"/>
  <c r="E19"/>
  <c r="E2"/>
  <c r="E3"/>
  <c r="E4"/>
  <c r="E5"/>
  <c r="E6"/>
  <c r="E7"/>
  <c r="E8"/>
  <c r="E9"/>
  <c r="E10"/>
  <c r="E11"/>
  <c r="E12"/>
  <c r="E13"/>
  <c r="E14"/>
  <c r="E15"/>
  <c r="E16"/>
  <c r="E17"/>
  <c r="E18"/>
  <c r="E1"/>
  <c r="D36"/>
  <c r="D37"/>
  <c r="D38"/>
  <c r="D39"/>
  <c r="D40"/>
  <c r="D41"/>
  <c r="D42"/>
  <c r="D43"/>
  <c r="D44"/>
  <c r="D45"/>
  <c r="D46"/>
  <c r="D47"/>
  <c r="D48"/>
  <c r="D49"/>
  <c r="D50"/>
  <c r="D35"/>
  <c r="D28"/>
  <c r="D29"/>
  <c r="D30"/>
  <c r="D31"/>
  <c r="D32"/>
  <c r="D33"/>
  <c r="D34"/>
  <c r="D27"/>
  <c r="D20"/>
  <c r="D21"/>
  <c r="D22"/>
  <c r="D23"/>
  <c r="D24"/>
  <c r="D25"/>
  <c r="D26"/>
  <c r="D19"/>
  <c r="D2"/>
  <c r="D3"/>
  <c r="D4"/>
  <c r="D5"/>
  <c r="D6"/>
  <c r="D7"/>
  <c r="D8"/>
  <c r="D9"/>
  <c r="D10"/>
  <c r="D11"/>
  <c r="D12"/>
  <c r="D13"/>
  <c r="D14"/>
  <c r="D15"/>
  <c r="D16"/>
  <c r="D17"/>
  <c r="D18"/>
  <c r="D1"/>
  <c r="C36"/>
  <c r="C37"/>
  <c r="C38"/>
  <c r="C39"/>
  <c r="C40"/>
  <c r="C41"/>
  <c r="C42"/>
  <c r="C43"/>
  <c r="C44"/>
  <c r="C45"/>
  <c r="C46"/>
  <c r="C47"/>
  <c r="C48"/>
  <c r="C49"/>
  <c r="C50"/>
  <c r="C35"/>
  <c r="C28"/>
  <c r="C29"/>
  <c r="C30"/>
  <c r="C31"/>
  <c r="C32"/>
  <c r="C33"/>
  <c r="C34"/>
  <c r="C27"/>
  <c r="C20"/>
  <c r="C21"/>
  <c r="C22"/>
  <c r="C23"/>
  <c r="C24"/>
  <c r="C25"/>
  <c r="C26"/>
  <c r="C19"/>
  <c r="C2"/>
  <c r="C3"/>
  <c r="C4"/>
  <c r="C5"/>
  <c r="C6"/>
  <c r="C7"/>
  <c r="C8"/>
  <c r="C9"/>
  <c r="C10"/>
  <c r="C11"/>
  <c r="C12"/>
  <c r="C13"/>
  <c r="C14"/>
  <c r="C15"/>
  <c r="C16"/>
  <c r="C17"/>
  <c r="C18"/>
  <c r="C1"/>
  <c r="B50"/>
  <c r="B36"/>
  <c r="B37"/>
  <c r="B38"/>
  <c r="B39"/>
  <c r="B40"/>
  <c r="B41"/>
  <c r="B42"/>
  <c r="B43"/>
  <c r="B44"/>
  <c r="B45"/>
  <c r="B46"/>
  <c r="B47"/>
  <c r="B48"/>
  <c r="B49"/>
  <c r="B35"/>
  <c r="B34"/>
  <c r="B28"/>
  <c r="B29"/>
  <c r="B30"/>
  <c r="B31"/>
  <c r="B32"/>
  <c r="B33"/>
  <c r="B27"/>
  <c r="B26"/>
  <c r="B25"/>
  <c r="B20"/>
  <c r="B21"/>
  <c r="B22"/>
  <c r="B23"/>
  <c r="B24"/>
  <c r="B19"/>
  <c r="B16"/>
  <c r="B17"/>
  <c r="B18"/>
  <c r="B2"/>
  <c r="B3"/>
  <c r="B4"/>
  <c r="B5"/>
  <c r="B6"/>
  <c r="B7"/>
  <c r="B8"/>
  <c r="B9"/>
  <c r="B10"/>
  <c r="B11"/>
  <c r="B12"/>
  <c r="B13"/>
  <c r="B14"/>
  <c r="B15"/>
  <c r="B1"/>
  <c r="L16" i="5"/>
  <c r="L2"/>
  <c r="K2"/>
  <c r="J2"/>
  <c r="L17"/>
  <c r="L2" i="1"/>
  <c r="L15" i="5"/>
  <c r="L13"/>
  <c r="L14"/>
  <c r="L2" i="2"/>
  <c r="K2"/>
  <c r="J2"/>
  <c r="G2" l="1"/>
  <c r="G13" i="3"/>
  <c r="G20" i="5"/>
  <c r="A8"/>
  <c r="B9" s="1"/>
  <c r="C14" i="3" l="1"/>
  <c r="H19" i="1"/>
  <c r="G19"/>
  <c r="I19"/>
  <c r="F19"/>
  <c r="J19" s="1"/>
  <c r="K19" s="1"/>
  <c r="L19" s="1"/>
  <c r="A21" i="5" l="1"/>
  <c r="C21" s="1"/>
  <c r="R18"/>
  <c r="A10"/>
  <c r="A11" s="1"/>
  <c r="A12" s="1"/>
  <c r="A13" s="1"/>
  <c r="A14" s="1"/>
  <c r="A15" s="1"/>
  <c r="A16" s="1"/>
  <c r="A17" s="1"/>
  <c r="B2"/>
  <c r="A4"/>
  <c r="A5" s="1"/>
  <c r="A6" s="1"/>
  <c r="Q3"/>
  <c r="Q4" s="1"/>
  <c r="Q5" s="1"/>
  <c r="Q6" s="1"/>
  <c r="Q7" s="1"/>
  <c r="P3"/>
  <c r="P4" s="1"/>
  <c r="O3"/>
  <c r="N3"/>
  <c r="N4" s="1"/>
  <c r="N5" s="1"/>
  <c r="N6" s="1"/>
  <c r="N7" s="1"/>
  <c r="A10" i="3"/>
  <c r="A2" i="5" s="1"/>
  <c r="B3" s="1"/>
  <c r="A14" i="3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P3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P4"/>
  <c r="P5" s="1"/>
  <c r="P6" s="1"/>
  <c r="P7" s="1"/>
  <c r="P8" s="1"/>
  <c r="P9" s="1"/>
  <c r="A4"/>
  <c r="A5" s="1"/>
  <c r="A6" s="1"/>
  <c r="G2"/>
  <c r="N3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P10" l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G9"/>
  <c r="N8" i="5"/>
  <c r="N9" s="1"/>
  <c r="N10" s="1"/>
  <c r="N11" s="1"/>
  <c r="N12" s="1"/>
  <c r="N13" s="1"/>
  <c r="N14" s="1"/>
  <c r="N15" s="1"/>
  <c r="Q8"/>
  <c r="Q9" s="1"/>
  <c r="Q10" s="1"/>
  <c r="Q11" s="1"/>
  <c r="Q12" s="1"/>
  <c r="Q13" s="1"/>
  <c r="Q14" s="1"/>
  <c r="Q15" s="1"/>
  <c r="P5"/>
  <c r="B6"/>
  <c r="O4"/>
  <c r="O5" s="1"/>
  <c r="O6" s="1"/>
  <c r="O7" s="1"/>
  <c r="G3" i="3"/>
  <c r="G4"/>
  <c r="Q16" i="5" l="1"/>
  <c r="Q17" s="1"/>
  <c r="Q18" s="1"/>
  <c r="N16"/>
  <c r="N17" s="1"/>
  <c r="N18" s="1"/>
  <c r="O8"/>
  <c r="O9" s="1"/>
  <c r="O10" s="1"/>
  <c r="O11" s="1"/>
  <c r="O12" s="1"/>
  <c r="O13" s="1"/>
  <c r="O14" s="1"/>
  <c r="O15" s="1"/>
  <c r="P6"/>
  <c r="G5" i="3"/>
  <c r="O16" i="5" l="1"/>
  <c r="O17" s="1"/>
  <c r="O18" s="1"/>
  <c r="P7"/>
  <c r="G6" i="3"/>
  <c r="P8" i="5" l="1"/>
  <c r="P9" s="1"/>
  <c r="P10" s="1"/>
  <c r="P11" s="1"/>
  <c r="P12" s="1"/>
  <c r="P13" s="1"/>
  <c r="P14" s="1"/>
  <c r="P15" s="1"/>
  <c r="G7" i="3"/>
  <c r="P16" i="5" l="1"/>
  <c r="P17" s="1"/>
  <c r="P18" s="1"/>
  <c r="G8" i="3"/>
  <c r="G10" l="1"/>
  <c r="B6" l="1"/>
  <c r="A7" s="1"/>
  <c r="A8" s="1"/>
  <c r="B9" s="1"/>
  <c r="N3" i="2" l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P3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D2"/>
  <c r="G10" l="1"/>
  <c r="A7"/>
  <c r="G9"/>
  <c r="G8"/>
  <c r="G7"/>
  <c r="G6"/>
  <c r="G5"/>
  <c r="G4"/>
  <c r="G3"/>
  <c r="G20" i="1"/>
  <c r="H20"/>
  <c r="I20"/>
  <c r="I2" i="2" s="1"/>
  <c r="G18" i="1"/>
  <c r="H18"/>
  <c r="I18"/>
  <c r="G17"/>
  <c r="G16"/>
  <c r="G15"/>
  <c r="G4"/>
  <c r="G5"/>
  <c r="G6"/>
  <c r="G7"/>
  <c r="G8"/>
  <c r="G9"/>
  <c r="G10"/>
  <c r="G11"/>
  <c r="G12"/>
  <c r="G13"/>
  <c r="G14"/>
  <c r="G3"/>
  <c r="G2"/>
  <c r="I2"/>
  <c r="H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F2" l="1"/>
  <c r="J2" s="1"/>
  <c r="K2" s="1"/>
  <c r="H2" i="2"/>
  <c r="R2" s="1"/>
  <c r="R3" s="1"/>
  <c r="R4" s="1"/>
  <c r="F20" i="1"/>
  <c r="J20" s="1"/>
  <c r="F18"/>
  <c r="J18" s="1"/>
  <c r="K18" s="1"/>
  <c r="L18" s="1"/>
  <c r="A8" i="2"/>
  <c r="A9" s="1"/>
  <c r="E2" i="1"/>
  <c r="C3" s="1"/>
  <c r="K20" l="1"/>
  <c r="F2" i="2"/>
  <c r="E2" s="1"/>
  <c r="D3" i="1"/>
  <c r="L20" l="1"/>
  <c r="H3"/>
  <c r="F3" s="1"/>
  <c r="J3" s="1"/>
  <c r="K3" s="1"/>
  <c r="L3" s="1"/>
  <c r="I3"/>
  <c r="E3" l="1"/>
  <c r="D4" l="1"/>
  <c r="C4"/>
  <c r="I4" l="1"/>
  <c r="H4"/>
  <c r="F4" s="1"/>
  <c r="J4" l="1"/>
  <c r="K4" s="1"/>
  <c r="L4" s="1"/>
  <c r="E4"/>
  <c r="D5" l="1"/>
  <c r="C5"/>
  <c r="H5" l="1"/>
  <c r="F5" s="1"/>
  <c r="I5"/>
  <c r="J5" l="1"/>
  <c r="K5" s="1"/>
  <c r="L5" s="1"/>
  <c r="E5"/>
  <c r="D6" l="1"/>
  <c r="C6"/>
  <c r="H6" l="1"/>
  <c r="F6" s="1"/>
  <c r="I6"/>
  <c r="J6" l="1"/>
  <c r="K6" s="1"/>
  <c r="L6" s="1"/>
  <c r="E6"/>
  <c r="D7" l="1"/>
  <c r="C7"/>
  <c r="H7" l="1"/>
  <c r="F7" s="1"/>
  <c r="I7"/>
  <c r="J7" l="1"/>
  <c r="K7" s="1"/>
  <c r="L7" s="1"/>
  <c r="E7"/>
  <c r="C8" l="1"/>
  <c r="D8"/>
  <c r="I8" l="1"/>
  <c r="H8"/>
  <c r="F8" s="1"/>
  <c r="E8" l="1"/>
  <c r="J8"/>
  <c r="K8" s="1"/>
  <c r="L8" s="1"/>
  <c r="C9" l="1"/>
  <c r="D9"/>
  <c r="H9" l="1"/>
  <c r="F9" s="1"/>
  <c r="I9"/>
  <c r="J9" l="1"/>
  <c r="K9" s="1"/>
  <c r="L9" s="1"/>
  <c r="E9"/>
  <c r="C10" l="1"/>
  <c r="D10"/>
  <c r="I10" l="1"/>
  <c r="H10"/>
  <c r="F10" s="1"/>
  <c r="E10" l="1"/>
  <c r="J10"/>
  <c r="K10" s="1"/>
  <c r="L10" s="1"/>
  <c r="C11" l="1"/>
  <c r="D11"/>
  <c r="I11" l="1"/>
  <c r="H11"/>
  <c r="F11" s="1"/>
  <c r="E11" l="1"/>
  <c r="J11"/>
  <c r="K11" s="1"/>
  <c r="L11" s="1"/>
  <c r="C12" l="1"/>
  <c r="D12"/>
  <c r="I12" l="1"/>
  <c r="H12"/>
  <c r="F12" s="1"/>
  <c r="E12" l="1"/>
  <c r="J12"/>
  <c r="K12" s="1"/>
  <c r="L12" s="1"/>
  <c r="C13" l="1"/>
  <c r="D13"/>
  <c r="H13" l="1"/>
  <c r="F13" s="1"/>
  <c r="I13"/>
  <c r="J13" l="1"/>
  <c r="K13" s="1"/>
  <c r="L13" s="1"/>
  <c r="E13"/>
  <c r="D14" l="1"/>
  <c r="C14"/>
  <c r="I14" l="1"/>
  <c r="H14"/>
  <c r="F14" s="1"/>
  <c r="E14" l="1"/>
  <c r="J14"/>
  <c r="K14" s="1"/>
  <c r="L14" s="1"/>
  <c r="C15" l="1"/>
  <c r="D15"/>
  <c r="H15"/>
  <c r="F15" s="1"/>
  <c r="I15"/>
  <c r="E15" l="1"/>
  <c r="D16"/>
  <c r="C16"/>
  <c r="J15"/>
  <c r="K15" s="1"/>
  <c r="L15" s="1"/>
  <c r="H16" l="1"/>
  <c r="F16" s="1"/>
  <c r="I16"/>
  <c r="R5" i="2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E16" i="1" l="1"/>
  <c r="J16"/>
  <c r="K16" s="1"/>
  <c r="L16" s="1"/>
  <c r="A26" l="1"/>
  <c r="B17" s="1"/>
  <c r="D17"/>
  <c r="H17" l="1"/>
  <c r="I17"/>
  <c r="F17" s="1"/>
  <c r="J17" s="1"/>
  <c r="K17" s="1"/>
  <c r="L17" s="1"/>
  <c r="A17"/>
  <c r="B18" s="1"/>
  <c r="C17"/>
  <c r="C18" l="1"/>
  <c r="C19" s="1"/>
  <c r="A30" l="1"/>
  <c r="C30" s="1"/>
  <c r="B20" l="1"/>
  <c r="A20"/>
  <c r="A2" i="2" s="1"/>
  <c r="B3" s="1"/>
  <c r="D3" s="1"/>
  <c r="I3" l="1"/>
  <c r="H3"/>
  <c r="F3" s="1"/>
  <c r="B2"/>
  <c r="C20" i="1"/>
  <c r="C2" i="2" s="1"/>
  <c r="C3" s="1"/>
  <c r="J3" l="1"/>
  <c r="K3" s="1"/>
  <c r="L3" s="1"/>
  <c r="E3"/>
  <c r="D4" s="1"/>
  <c r="C4"/>
  <c r="I4" l="1"/>
  <c r="H4"/>
  <c r="F4" s="1"/>
  <c r="E4" l="1"/>
  <c r="J4"/>
  <c r="K4" s="1"/>
  <c r="L4" s="1"/>
  <c r="A14" l="1"/>
  <c r="B5" s="1"/>
  <c r="D5"/>
  <c r="H5" l="1"/>
  <c r="I5"/>
  <c r="F5" s="1"/>
  <c r="A5"/>
  <c r="B6" s="1"/>
  <c r="C5"/>
  <c r="E5" l="1"/>
  <c r="D6" s="1"/>
  <c r="J5"/>
  <c r="K5" s="1"/>
  <c r="L5" s="1"/>
  <c r="C6"/>
  <c r="H6" l="1"/>
  <c r="I6"/>
  <c r="F6" s="1"/>
  <c r="E6" l="1"/>
  <c r="J6"/>
  <c r="K6" s="1"/>
  <c r="L6" s="1"/>
  <c r="D7" l="1"/>
  <c r="C7"/>
  <c r="H7" l="1"/>
  <c r="I7"/>
  <c r="F7" s="1"/>
  <c r="E7" l="1"/>
  <c r="J7"/>
  <c r="K7" s="1"/>
  <c r="L7" s="1"/>
  <c r="D8" l="1"/>
  <c r="C8"/>
  <c r="H8" l="1"/>
  <c r="I8"/>
  <c r="F8" s="1"/>
  <c r="E8" l="1"/>
  <c r="J8"/>
  <c r="K8" s="1"/>
  <c r="L8" s="1"/>
  <c r="D9" l="1"/>
  <c r="C9"/>
  <c r="A18" l="1"/>
  <c r="C18" s="1"/>
  <c r="B10" s="1"/>
  <c r="H9"/>
  <c r="I9"/>
  <c r="F9" s="1"/>
  <c r="E9" l="1"/>
  <c r="J9"/>
  <c r="K9" s="1"/>
  <c r="L9" s="1"/>
  <c r="B2" i="3"/>
  <c r="A10" i="2"/>
  <c r="A2" i="3" s="1"/>
  <c r="B3" s="1"/>
  <c r="C10" i="2" l="1"/>
  <c r="C2" i="3" s="1"/>
  <c r="D10" i="2"/>
  <c r="H10" l="1"/>
  <c r="H2" i="3" s="1"/>
  <c r="I10" i="2"/>
  <c r="D2" i="3"/>
  <c r="F10" i="2" l="1"/>
  <c r="I2" i="3"/>
  <c r="R2" s="1"/>
  <c r="F2" l="1"/>
  <c r="J2" s="1"/>
  <c r="R3"/>
  <c r="R4" s="1"/>
  <c r="R5" s="1"/>
  <c r="R6" s="1"/>
  <c r="R7" s="1"/>
  <c r="E10" i="2"/>
  <c r="E2" i="3" s="1"/>
  <c r="J10" i="2"/>
  <c r="K10" s="1"/>
  <c r="L10" l="1"/>
  <c r="L2" i="3" s="1"/>
  <c r="K2"/>
  <c r="C3"/>
  <c r="D3"/>
  <c r="H3" l="1"/>
  <c r="F3" s="1"/>
  <c r="I3"/>
  <c r="E3" l="1"/>
  <c r="J3"/>
  <c r="K3" s="1"/>
  <c r="L3" s="1"/>
  <c r="D4" l="1"/>
  <c r="C4"/>
  <c r="I4" l="1"/>
  <c r="H4"/>
  <c r="F4" s="1"/>
  <c r="E4" l="1"/>
  <c r="J4"/>
  <c r="K4" s="1"/>
  <c r="L4" s="1"/>
  <c r="D5" l="1"/>
  <c r="C5"/>
  <c r="H5" l="1"/>
  <c r="F5" s="1"/>
  <c r="I5"/>
  <c r="J5" l="1"/>
  <c r="K5" s="1"/>
  <c r="L5" s="1"/>
  <c r="E5"/>
  <c r="D6" l="1"/>
  <c r="C6"/>
  <c r="H6" l="1"/>
  <c r="F6" s="1"/>
  <c r="I6"/>
  <c r="J6" l="1"/>
  <c r="K6" s="1"/>
  <c r="L6" s="1"/>
  <c r="E6"/>
  <c r="D7" l="1"/>
  <c r="C7"/>
  <c r="C8" s="1"/>
  <c r="H7" l="1"/>
  <c r="F7" s="1"/>
  <c r="J7" s="1"/>
  <c r="K7" s="1"/>
  <c r="L7" s="1"/>
  <c r="I7"/>
  <c r="D8"/>
  <c r="H8" l="1"/>
  <c r="I8"/>
  <c r="R8" s="1"/>
  <c r="F8" s="1"/>
  <c r="J8" s="1"/>
  <c r="K8" s="1"/>
  <c r="L8" s="1"/>
  <c r="D9"/>
  <c r="C9"/>
  <c r="C10" l="1"/>
  <c r="C2" i="5" s="1"/>
  <c r="A18" i="3"/>
  <c r="C18" s="1"/>
  <c r="I9"/>
  <c r="R9" s="1"/>
  <c r="F9" s="1"/>
  <c r="J9" s="1"/>
  <c r="K9" s="1"/>
  <c r="L9" s="1"/>
  <c r="H9"/>
  <c r="D10"/>
  <c r="H10" l="1"/>
  <c r="H2" i="5" s="1"/>
  <c r="I10" i="3"/>
  <c r="D2" i="5"/>
  <c r="D3" l="1"/>
  <c r="C3"/>
  <c r="C4" s="1"/>
  <c r="I2"/>
  <c r="R2" s="1"/>
  <c r="F2" s="1"/>
  <c r="R10" i="3"/>
  <c r="R11" l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F10"/>
  <c r="J10" s="1"/>
  <c r="I3" i="5"/>
  <c r="R3" s="1"/>
  <c r="F3" s="1"/>
  <c r="J3" s="1"/>
  <c r="K3" s="1"/>
  <c r="L3" s="1"/>
  <c r="H3"/>
  <c r="D4"/>
  <c r="C5"/>
  <c r="I4" l="1"/>
  <c r="R4" s="1"/>
  <c r="F4" s="1"/>
  <c r="J4" s="1"/>
  <c r="K4" s="1"/>
  <c r="L4" s="1"/>
  <c r="H4"/>
  <c r="D5"/>
  <c r="K10" i="3"/>
  <c r="C6" i="5"/>
  <c r="L10" i="3" l="1"/>
  <c r="H5" i="5"/>
  <c r="I5"/>
  <c r="R5" s="1"/>
  <c r="F5" s="1"/>
  <c r="J5" s="1"/>
  <c r="K5" s="1"/>
  <c r="L5" s="1"/>
  <c r="D6"/>
  <c r="C7"/>
  <c r="I6" l="1"/>
  <c r="R6" s="1"/>
  <c r="F6" s="1"/>
  <c r="J6" s="1"/>
  <c r="K6" s="1"/>
  <c r="L6" s="1"/>
  <c r="H6"/>
  <c r="D7"/>
  <c r="C8"/>
  <c r="H7" l="1"/>
  <c r="I7"/>
  <c r="R7" s="1"/>
  <c r="F7" s="1"/>
  <c r="J7" s="1"/>
  <c r="K7" s="1"/>
  <c r="L7" s="1"/>
  <c r="D8"/>
  <c r="C9"/>
  <c r="I8" l="1"/>
  <c r="R8" s="1"/>
  <c r="F8" s="1"/>
  <c r="J8" s="1"/>
  <c r="K8" s="1"/>
  <c r="L8" s="1"/>
  <c r="H8"/>
  <c r="D9"/>
  <c r="C10"/>
  <c r="I9" l="1"/>
  <c r="R9" s="1"/>
  <c r="F9" s="1"/>
  <c r="J9" s="1"/>
  <c r="K9" s="1"/>
  <c r="L9" s="1"/>
  <c r="H9"/>
  <c r="D10"/>
  <c r="C11"/>
  <c r="H10" l="1"/>
  <c r="I10"/>
  <c r="R10" s="1"/>
  <c r="F10" s="1"/>
  <c r="J10" s="1"/>
  <c r="K10" s="1"/>
  <c r="L10" s="1"/>
  <c r="D11"/>
  <c r="C12"/>
  <c r="H11" l="1"/>
  <c r="I11"/>
  <c r="R11" s="1"/>
  <c r="F11" s="1"/>
  <c r="J11" s="1"/>
  <c r="K11" s="1"/>
  <c r="L11" s="1"/>
  <c r="D12"/>
  <c r="C13"/>
  <c r="H12" l="1"/>
  <c r="I12"/>
  <c r="R12" s="1"/>
  <c r="F12" s="1"/>
  <c r="J12" s="1"/>
  <c r="K12" s="1"/>
  <c r="L12" s="1"/>
  <c r="D13"/>
  <c r="C14"/>
  <c r="I13" l="1"/>
  <c r="R13" s="1"/>
  <c r="F13" s="1"/>
  <c r="J13" s="1"/>
  <c r="K13" s="1"/>
  <c r="H13"/>
  <c r="D14"/>
  <c r="C15"/>
  <c r="I14" l="1"/>
  <c r="R14" s="1"/>
  <c r="F14" s="1"/>
  <c r="J14" s="1"/>
  <c r="K14" s="1"/>
  <c r="H14"/>
  <c r="D15"/>
  <c r="C16"/>
  <c r="H15" l="1"/>
  <c r="I15"/>
  <c r="R15" s="1"/>
  <c r="F15" s="1"/>
  <c r="J15" s="1"/>
  <c r="K15" s="1"/>
  <c r="D16"/>
  <c r="C17"/>
  <c r="I16" l="1"/>
  <c r="R16" s="1"/>
  <c r="F16" s="1"/>
  <c r="J16" s="1"/>
  <c r="K16" s="1"/>
  <c r="H16"/>
  <c r="D17"/>
  <c r="H17" l="1"/>
  <c r="I17"/>
  <c r="R17" s="1"/>
  <c r="F17" s="1"/>
  <c r="J17" s="1"/>
  <c r="K17" s="1"/>
</calcChain>
</file>

<file path=xl/sharedStrings.xml><?xml version="1.0" encoding="utf-8"?>
<sst xmlns="http://schemas.openxmlformats.org/spreadsheetml/2006/main" count="123" uniqueCount="41">
  <si>
    <t>vrsta vlaka</t>
  </si>
  <si>
    <t>br vučnih vozila</t>
  </si>
  <si>
    <t>povrat snage u KM</t>
  </si>
  <si>
    <t>NE</t>
  </si>
  <si>
    <t>Duljina dionice</t>
  </si>
  <si>
    <t>Radijus krivine</t>
  </si>
  <si>
    <t>Uspon</t>
  </si>
  <si>
    <t>planirana brzina</t>
  </si>
  <si>
    <t>t</t>
  </si>
  <si>
    <t>delta t</t>
  </si>
  <si>
    <t>Ft</t>
  </si>
  <si>
    <t>Fw [kN]</t>
  </si>
  <si>
    <t>Korisnost</t>
  </si>
  <si>
    <t>Korisnost kočnice</t>
  </si>
  <si>
    <t>masa vlaka [t]</t>
  </si>
  <si>
    <t>masa lokomotive [t]</t>
  </si>
  <si>
    <t>k za putnički valk</t>
  </si>
  <si>
    <t>Fadh [kN]</t>
  </si>
  <si>
    <t>Fp [kN]</t>
  </si>
  <si>
    <t>Pomoćni sustavi</t>
  </si>
  <si>
    <t>Qe</t>
  </si>
  <si>
    <t>v [km/h]</t>
  </si>
  <si>
    <t>s [m]</t>
  </si>
  <si>
    <t>a [m/s^2]</t>
  </si>
  <si>
    <t>Ft [kN]</t>
  </si>
  <si>
    <t>Pm [MW]</t>
  </si>
  <si>
    <t>Pe [MW]</t>
  </si>
  <si>
    <t>PRIJELAZ sa 1 na 2 dionicu</t>
  </si>
  <si>
    <t>preostali put [m]</t>
  </si>
  <si>
    <t>t [s]</t>
  </si>
  <si>
    <t>DO 90 km/h</t>
  </si>
  <si>
    <t>potrebno vrijeme</t>
  </si>
  <si>
    <t>DO 80 km/h</t>
  </si>
  <si>
    <t>PRIJELAZ sa 2 na 3 dionicu</t>
  </si>
  <si>
    <t>Do 80 km/h</t>
  </si>
  <si>
    <t>PRIJELAZ sa 3 na 4 dionicu</t>
  </si>
  <si>
    <t>Do 0 km/h</t>
  </si>
  <si>
    <t>put kada vlak kreće kočiti</t>
  </si>
  <si>
    <t>udaljenost potrebna</t>
  </si>
  <si>
    <t>za zaustavljanje</t>
  </si>
  <si>
    <t>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</si>
</sst>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Alignme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autoTitleDeleted val="1"/>
    <c:plotArea>
      <c:layout>
        <c:manualLayout>
          <c:layoutTarget val="inner"/>
          <c:xMode val="edge"/>
          <c:yMode val="edge"/>
          <c:x val="8.0708112978415014E-2"/>
          <c:y val="0.1549286339207599"/>
          <c:w val="0.89222219610608378"/>
          <c:h val="0.60188551431071113"/>
        </c:manualLayout>
      </c:layout>
      <c:scatterChart>
        <c:scatterStyle val="smoothMarker"/>
        <c:ser>
          <c:idx val="1"/>
          <c:order val="0"/>
          <c:tx>
            <c:v>Prijeđeni put</c:v>
          </c:tx>
          <c:marker>
            <c:symbol val="none"/>
          </c:marker>
          <c:xVal>
            <c:numRef>
              <c:f>'Grafički prikaz'!$B$1:$B$50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74.177229379683439</c:v>
                </c:pt>
                <c:pt idx="16">
                  <c:v>75</c:v>
                </c:pt>
                <c:pt idx="17">
                  <c:v>80</c:v>
                </c:pt>
                <c:pt idx="18">
                  <c:v>81.61833963526648</c:v>
                </c:pt>
                <c:pt idx="19">
                  <c:v>85</c:v>
                </c:pt>
                <c:pt idx="20">
                  <c:v>90</c:v>
                </c:pt>
                <c:pt idx="21">
                  <c:v>91.297054958450744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114.14941634976203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136.90700000000001</c:v>
                </c:pt>
                <c:pt idx="33">
                  <c:v>140</c:v>
                </c:pt>
                <c:pt idx="34">
                  <c:v>142.46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165.23400000000001</c:v>
                </c:pt>
                <c:pt idx="41">
                  <c:v>170</c:v>
                </c:pt>
                <c:pt idx="42">
                  <c:v>175</c:v>
                </c:pt>
                <c:pt idx="43">
                  <c:v>180</c:v>
                </c:pt>
                <c:pt idx="44">
                  <c:v>185</c:v>
                </c:pt>
                <c:pt idx="45">
                  <c:v>190</c:v>
                </c:pt>
                <c:pt idx="46">
                  <c:v>195</c:v>
                </c:pt>
                <c:pt idx="47">
                  <c:v>200</c:v>
                </c:pt>
                <c:pt idx="48">
                  <c:v>205</c:v>
                </c:pt>
                <c:pt idx="49">
                  <c:v>209.68</c:v>
                </c:pt>
              </c:numCache>
            </c:numRef>
          </c:xVal>
          <c:yVal>
            <c:numRef>
              <c:f>'Grafički prikaz'!$D$1:$D$50</c:f>
              <c:numCache>
                <c:formatCode>General</c:formatCode>
                <c:ptCount val="50"/>
                <c:pt idx="0">
                  <c:v>0</c:v>
                </c:pt>
                <c:pt idx="1">
                  <c:v>3.837616822429907</c:v>
                </c:pt>
                <c:pt idx="2">
                  <c:v>15.349028066110664</c:v>
                </c:pt>
                <c:pt idx="3">
                  <c:v>34.528478995415377</c:v>
                </c:pt>
                <c:pt idx="4">
                  <c:v>61.364472004142414</c:v>
                </c:pt>
                <c:pt idx="5">
                  <c:v>95.839794607862075</c:v>
                </c:pt>
                <c:pt idx="6">
                  <c:v>137.9315644953505</c:v>
                </c:pt>
                <c:pt idx="7">
                  <c:v>187.61129138424113</c:v>
                </c:pt>
                <c:pt idx="8">
                  <c:v>244.84495532036246</c:v>
                </c:pt>
                <c:pt idx="9">
                  <c:v>309.59310095821212</c:v>
                </c:pt>
                <c:pt idx="10">
                  <c:v>381.81094726272465</c:v>
                </c:pt>
                <c:pt idx="11">
                  <c:v>461.44851198093187</c:v>
                </c:pt>
                <c:pt idx="12">
                  <c:v>548.45075014720499</c:v>
                </c:pt>
                <c:pt idx="13">
                  <c:v>642.75770580832693</c:v>
                </c:pt>
                <c:pt idx="14">
                  <c:v>744.30467608536151</c:v>
                </c:pt>
                <c:pt idx="15">
                  <c:v>834.64199432037685</c:v>
                </c:pt>
                <c:pt idx="16">
                  <c:v>852.92578588296715</c:v>
                </c:pt>
                <c:pt idx="17">
                  <c:v>964.03689699407823</c:v>
                </c:pt>
                <c:pt idx="18">
                  <c:v>1000</c:v>
                </c:pt>
                <c:pt idx="19">
                  <c:v>1076.8325130879218</c:v>
                </c:pt>
                <c:pt idx="20">
                  <c:v>1196.4940765622189</c:v>
                </c:pt>
                <c:pt idx="21">
                  <c:v>1228.6909652172178</c:v>
                </c:pt>
                <c:pt idx="22">
                  <c:v>1321.2645912559492</c:v>
                </c:pt>
                <c:pt idx="23">
                  <c:v>1446.2645912559492</c:v>
                </c:pt>
                <c:pt idx="24">
                  <c:v>1571.2645912559492</c:v>
                </c:pt>
                <c:pt idx="25">
                  <c:v>1696.2645912559492</c:v>
                </c:pt>
                <c:pt idx="26">
                  <c:v>1800</c:v>
                </c:pt>
                <c:pt idx="27">
                  <c:v>1821.2645912559492</c:v>
                </c:pt>
                <c:pt idx="28">
                  <c:v>1946.2645912559492</c:v>
                </c:pt>
                <c:pt idx="29">
                  <c:v>2071.2645912559492</c:v>
                </c:pt>
                <c:pt idx="30">
                  <c:v>2196.2645912559492</c:v>
                </c:pt>
                <c:pt idx="31">
                  <c:v>2321.2645912559492</c:v>
                </c:pt>
                <c:pt idx="32">
                  <c:v>2368.9395912559494</c:v>
                </c:pt>
                <c:pt idx="33">
                  <c:v>2443.8729290059491</c:v>
                </c:pt>
                <c:pt idx="34">
                  <c:v>2500.0556390059492</c:v>
                </c:pt>
                <c:pt idx="35">
                  <c:v>2556.5033290059491</c:v>
                </c:pt>
                <c:pt idx="36">
                  <c:v>2667.620829005949</c:v>
                </c:pt>
                <c:pt idx="37">
                  <c:v>2778.7383290059488</c:v>
                </c:pt>
                <c:pt idx="38">
                  <c:v>2889.8558290059486</c:v>
                </c:pt>
                <c:pt idx="39">
                  <c:v>3000.9733290059485</c:v>
                </c:pt>
                <c:pt idx="40">
                  <c:v>3006.1736280059486</c:v>
                </c:pt>
                <c:pt idx="41">
                  <c:v>3106.4121400059485</c:v>
                </c:pt>
                <c:pt idx="42">
                  <c:v>3199.3646400059483</c:v>
                </c:pt>
                <c:pt idx="43">
                  <c:v>3279.8171400059482</c:v>
                </c:pt>
                <c:pt idx="44">
                  <c:v>3347.7696400059481</c:v>
                </c:pt>
                <c:pt idx="45">
                  <c:v>3403.2221400059479</c:v>
                </c:pt>
                <c:pt idx="46">
                  <c:v>3446.1746400059478</c:v>
                </c:pt>
                <c:pt idx="47">
                  <c:v>3476.6271400059477</c:v>
                </c:pt>
                <c:pt idx="48">
                  <c:v>3494.5796400059476</c:v>
                </c:pt>
                <c:pt idx="49">
                  <c:v>3500.0575800059473</c:v>
                </c:pt>
              </c:numCache>
            </c:numRef>
          </c:yVal>
          <c:smooth val="1"/>
        </c:ser>
        <c:axId val="56998144"/>
        <c:axId val="57012224"/>
      </c:scatterChart>
      <c:valAx>
        <c:axId val="56998144"/>
        <c:scaling>
          <c:orientation val="minMax"/>
        </c:scaling>
        <c:axPos val="b"/>
        <c:numFmt formatCode="General" sourceLinked="1"/>
        <c:tickLblPos val="nextTo"/>
        <c:crossAx val="57012224"/>
        <c:crosses val="autoZero"/>
        <c:crossBetween val="midCat"/>
        <c:majorUnit val="20"/>
      </c:valAx>
      <c:valAx>
        <c:axId val="570122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6998144"/>
        <c:crosses val="autoZero"/>
        <c:crossBetween val="midCat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style val="4"/>
  <c:chart>
    <c:autoTitleDeleted val="1"/>
    <c:plotArea>
      <c:layout>
        <c:manualLayout>
          <c:layoutTarget val="inner"/>
          <c:xMode val="edge"/>
          <c:yMode val="edge"/>
          <c:x val="6.208631992749785E-2"/>
          <c:y val="0.11331401968128457"/>
          <c:w val="0.91080352624083427"/>
          <c:h val="0.64303078819680004"/>
        </c:manualLayout>
      </c:layout>
      <c:scatterChart>
        <c:scatterStyle val="smoothMarker"/>
        <c:ser>
          <c:idx val="0"/>
          <c:order val="0"/>
          <c:tx>
            <c:v>Brzina</c:v>
          </c:tx>
          <c:marker>
            <c:symbol val="none"/>
          </c:marker>
          <c:xVal>
            <c:numRef>
              <c:f>'Grafički prikaz'!$B$1:$B$50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74.177229379683439</c:v>
                </c:pt>
                <c:pt idx="16">
                  <c:v>75</c:v>
                </c:pt>
                <c:pt idx="17">
                  <c:v>80</c:v>
                </c:pt>
                <c:pt idx="18">
                  <c:v>81.61833963526648</c:v>
                </c:pt>
                <c:pt idx="19">
                  <c:v>85</c:v>
                </c:pt>
                <c:pt idx="20">
                  <c:v>90</c:v>
                </c:pt>
                <c:pt idx="21">
                  <c:v>91.297054958450744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114.14941634976203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136.90700000000001</c:v>
                </c:pt>
                <c:pt idx="33">
                  <c:v>140</c:v>
                </c:pt>
                <c:pt idx="34">
                  <c:v>142.46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165.23400000000001</c:v>
                </c:pt>
                <c:pt idx="41">
                  <c:v>170</c:v>
                </c:pt>
                <c:pt idx="42">
                  <c:v>175</c:v>
                </c:pt>
                <c:pt idx="43">
                  <c:v>180</c:v>
                </c:pt>
                <c:pt idx="44">
                  <c:v>185</c:v>
                </c:pt>
                <c:pt idx="45">
                  <c:v>190</c:v>
                </c:pt>
                <c:pt idx="46">
                  <c:v>195</c:v>
                </c:pt>
                <c:pt idx="47">
                  <c:v>200</c:v>
                </c:pt>
                <c:pt idx="48">
                  <c:v>205</c:v>
                </c:pt>
                <c:pt idx="49">
                  <c:v>209.68</c:v>
                </c:pt>
              </c:numCache>
            </c:numRef>
          </c:xVal>
          <c:yVal>
            <c:numRef>
              <c:f>'Grafički prikaz'!$C$1:$C$50</c:f>
              <c:numCache>
                <c:formatCode>General</c:formatCode>
                <c:ptCount val="50"/>
                <c:pt idx="0">
                  <c:v>0</c:v>
                </c:pt>
                <c:pt idx="1">
                  <c:v>5.5261682242990657</c:v>
                </c:pt>
                <c:pt idx="2">
                  <c:v>11.050263966601225</c:v>
                </c:pt>
                <c:pt idx="3">
                  <c:v>16.568145371597563</c:v>
                </c:pt>
                <c:pt idx="4">
                  <c:v>22.075684560969371</c:v>
                </c:pt>
                <c:pt idx="5">
                  <c:v>27.568779988386957</c:v>
                </c:pt>
                <c:pt idx="6">
                  <c:v>33.04336864959636</c:v>
                </c:pt>
                <c:pt idx="7">
                  <c:v>38.495438070406131</c:v>
                </c:pt>
                <c:pt idx="8">
                  <c:v>43.9210379976086</c:v>
                </c:pt>
                <c:pt idx="9">
                  <c:v>49.31629172089491</c:v>
                </c:pt>
                <c:pt idx="10">
                  <c:v>54.677406957603203</c:v>
                </c:pt>
                <c:pt idx="11">
                  <c:v>60.000686236615195</c:v>
                </c:pt>
                <c:pt idx="12">
                  <c:v>65.282536722818179</c:v>
                </c:pt>
                <c:pt idx="13">
                  <c:v>70.519479429197474</c:v>
                </c:pt>
                <c:pt idx="14">
                  <c:v>75.70815776973248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83.58653281747597</c:v>
                </c:pt>
                <c:pt idx="20">
                  <c:v>88.726118585511884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84.432600000000022</c:v>
                </c:pt>
                <c:pt idx="34" formatCode="0.00">
                  <c:v>80.004600000000025</c:v>
                </c:pt>
                <c:pt idx="35" formatCode="0.00">
                  <c:v>80.004600000000025</c:v>
                </c:pt>
                <c:pt idx="36" formatCode="0.00">
                  <c:v>80.004600000000025</c:v>
                </c:pt>
                <c:pt idx="37" formatCode="0.00">
                  <c:v>80.004600000000025</c:v>
                </c:pt>
                <c:pt idx="38" formatCode="0.00">
                  <c:v>80.004600000000025</c:v>
                </c:pt>
                <c:pt idx="39" formatCode="0.00">
                  <c:v>80.004600000000025</c:v>
                </c:pt>
                <c:pt idx="40" formatCode="0.00">
                  <c:v>80.004600000000025</c:v>
                </c:pt>
                <c:pt idx="41" formatCode="0.00">
                  <c:v>71.425800000000038</c:v>
                </c:pt>
                <c:pt idx="42" formatCode="0.00">
                  <c:v>62.425800000000038</c:v>
                </c:pt>
                <c:pt idx="43" formatCode="0.00">
                  <c:v>53.425800000000038</c:v>
                </c:pt>
                <c:pt idx="44" formatCode="0.00">
                  <c:v>44.425800000000038</c:v>
                </c:pt>
                <c:pt idx="45" formatCode="0.00">
                  <c:v>35.425800000000038</c:v>
                </c:pt>
                <c:pt idx="46" formatCode="0.00">
                  <c:v>26.425800000000038</c:v>
                </c:pt>
                <c:pt idx="47" formatCode="0.00">
                  <c:v>17.425800000000038</c:v>
                </c:pt>
                <c:pt idx="48" formatCode="0.00">
                  <c:v>8.4258000000000379</c:v>
                </c:pt>
                <c:pt idx="49" formatCode="0.00">
                  <c:v>1.8000000000384375E-3</c:v>
                </c:pt>
              </c:numCache>
            </c:numRef>
          </c:yVal>
          <c:smooth val="1"/>
        </c:ser>
        <c:axId val="61397248"/>
        <c:axId val="57361920"/>
      </c:scatterChart>
      <c:valAx>
        <c:axId val="61397248"/>
        <c:scaling>
          <c:orientation val="minMax"/>
        </c:scaling>
        <c:axPos val="b"/>
        <c:numFmt formatCode="General" sourceLinked="1"/>
        <c:tickLblPos val="nextTo"/>
        <c:crossAx val="57361920"/>
        <c:crosses val="autoZero"/>
        <c:crossBetween val="midCat"/>
        <c:majorUnit val="20"/>
        <c:minorUnit val="1"/>
      </c:valAx>
      <c:valAx>
        <c:axId val="57361920"/>
        <c:scaling>
          <c:orientation val="minMax"/>
        </c:scaling>
        <c:axPos val="l"/>
        <c:majorGridlines/>
        <c:numFmt formatCode="General" sourceLinked="1"/>
        <c:tickLblPos val="nextTo"/>
        <c:crossAx val="61397248"/>
        <c:crosses val="autoZero"/>
        <c:crossBetween val="midCat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style val="4"/>
  <c:chart>
    <c:autoTitleDeleted val="1"/>
    <c:plotArea>
      <c:layout>
        <c:manualLayout>
          <c:layoutTarget val="inner"/>
          <c:xMode val="edge"/>
          <c:yMode val="edge"/>
          <c:x val="6.59656360846268E-2"/>
          <c:y val="9.7447353964475375E-2"/>
          <c:w val="0.90786964129483816"/>
          <c:h val="0.80549746688640667"/>
        </c:manualLayout>
      </c:layout>
      <c:lineChart>
        <c:grouping val="stacked"/>
        <c:ser>
          <c:idx val="0"/>
          <c:order val="0"/>
          <c:tx>
            <c:v>akceleracija</c:v>
          </c:tx>
          <c:marker>
            <c:symbol val="none"/>
          </c:marker>
          <c:cat>
            <c:numRef>
              <c:f>'Grafički prikaz'!$B$1:$B$50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74.177229379683439</c:v>
                </c:pt>
                <c:pt idx="16">
                  <c:v>75</c:v>
                </c:pt>
                <c:pt idx="17">
                  <c:v>80</c:v>
                </c:pt>
                <c:pt idx="18">
                  <c:v>81.61833963526648</c:v>
                </c:pt>
                <c:pt idx="19">
                  <c:v>85</c:v>
                </c:pt>
                <c:pt idx="20">
                  <c:v>90</c:v>
                </c:pt>
                <c:pt idx="21">
                  <c:v>91.297054958450744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114.14941634976203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136.90700000000001</c:v>
                </c:pt>
                <c:pt idx="33">
                  <c:v>140</c:v>
                </c:pt>
                <c:pt idx="34">
                  <c:v>142.46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165.23400000000001</c:v>
                </c:pt>
                <c:pt idx="41">
                  <c:v>170</c:v>
                </c:pt>
                <c:pt idx="42">
                  <c:v>175</c:v>
                </c:pt>
                <c:pt idx="43">
                  <c:v>180</c:v>
                </c:pt>
                <c:pt idx="44">
                  <c:v>185</c:v>
                </c:pt>
                <c:pt idx="45">
                  <c:v>190</c:v>
                </c:pt>
                <c:pt idx="46">
                  <c:v>195</c:v>
                </c:pt>
                <c:pt idx="47">
                  <c:v>200</c:v>
                </c:pt>
                <c:pt idx="48">
                  <c:v>205</c:v>
                </c:pt>
                <c:pt idx="49">
                  <c:v>209.68</c:v>
                </c:pt>
              </c:numCache>
            </c:numRef>
          </c:cat>
          <c:val>
            <c:numRef>
              <c:f>'Grafički prikaz'!$E$1:$E$50</c:f>
              <c:numCache>
                <c:formatCode>General</c:formatCode>
                <c:ptCount val="50"/>
                <c:pt idx="0">
                  <c:v>0.30700934579439254</c:v>
                </c:pt>
                <c:pt idx="1">
                  <c:v>0.30689420790567556</c:v>
                </c:pt>
                <c:pt idx="2">
                  <c:v>0.30654896694424105</c:v>
                </c:pt>
                <c:pt idx="3">
                  <c:v>0.30597439940954491</c:v>
                </c:pt>
                <c:pt idx="4">
                  <c:v>0.30517196818986581</c:v>
                </c:pt>
                <c:pt idx="5">
                  <c:v>0.30414381451163336</c:v>
                </c:pt>
                <c:pt idx="6">
                  <c:v>0.30289274560054269</c:v>
                </c:pt>
                <c:pt idx="7">
                  <c:v>0.30142221817791481</c:v>
                </c:pt>
                <c:pt idx="8">
                  <c:v>0.29973631796035072</c:v>
                </c:pt>
                <c:pt idx="9">
                  <c:v>0.29783973537268299</c:v>
                </c:pt>
                <c:pt idx="10">
                  <c:v>0.29573773772288847</c:v>
                </c:pt>
                <c:pt idx="11">
                  <c:v>0.29343613812238767</c:v>
                </c:pt>
                <c:pt idx="12">
                  <c:v>0.29094126146551641</c:v>
                </c:pt>
                <c:pt idx="13">
                  <c:v>0.28825990780750033</c:v>
                </c:pt>
                <c:pt idx="14">
                  <c:v>0.28539931350068182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0.29460649755229196</c:v>
                </c:pt>
                <c:pt idx="19">
                  <c:v>0.28553254266866163</c:v>
                </c:pt>
                <c:pt idx="20">
                  <c:v>0.27281492288621634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-0.5</c:v>
                </c:pt>
                <c:pt idx="33">
                  <c:v>-0.5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0</c:v>
                </c:pt>
              </c:numCache>
            </c:numRef>
          </c:val>
        </c:ser>
        <c:marker val="1"/>
        <c:axId val="61398016"/>
        <c:axId val="61482880"/>
      </c:lineChart>
      <c:catAx>
        <c:axId val="61398016"/>
        <c:scaling>
          <c:orientation val="minMax"/>
        </c:scaling>
        <c:axPos val="b"/>
        <c:numFmt formatCode="General" sourceLinked="1"/>
        <c:tickLblPos val="nextTo"/>
        <c:crossAx val="61482880"/>
        <c:crosses val="autoZero"/>
        <c:auto val="1"/>
        <c:lblAlgn val="ctr"/>
        <c:lblOffset val="100"/>
        <c:tickLblSkip val="4"/>
        <c:tickMarkSkip val="4"/>
      </c:catAx>
      <c:valAx>
        <c:axId val="61482880"/>
        <c:scaling>
          <c:orientation val="minMax"/>
        </c:scaling>
        <c:axPos val="l"/>
        <c:majorGridlines/>
        <c:numFmt formatCode="General" sourceLinked="1"/>
        <c:tickLblPos val="nextTo"/>
        <c:crossAx val="613980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style val="4"/>
  <c:chart>
    <c:autoTitleDeleted val="1"/>
    <c:plotArea>
      <c:layout/>
      <c:lineChart>
        <c:grouping val="stacked"/>
        <c:ser>
          <c:idx val="0"/>
          <c:order val="0"/>
          <c:tx>
            <c:v>radna snaga</c:v>
          </c:tx>
          <c:marker>
            <c:symbol val="none"/>
          </c:marker>
          <c:cat>
            <c:numRef>
              <c:f>'Grafički prikaz'!$B$1:$B$50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74.177229379683439</c:v>
                </c:pt>
                <c:pt idx="16">
                  <c:v>75</c:v>
                </c:pt>
                <c:pt idx="17">
                  <c:v>80</c:v>
                </c:pt>
                <c:pt idx="18">
                  <c:v>81.61833963526648</c:v>
                </c:pt>
                <c:pt idx="19">
                  <c:v>85</c:v>
                </c:pt>
                <c:pt idx="20">
                  <c:v>90</c:v>
                </c:pt>
                <c:pt idx="21">
                  <c:v>91.297054958450744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114.14941634976203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136.90700000000001</c:v>
                </c:pt>
                <c:pt idx="33">
                  <c:v>140</c:v>
                </c:pt>
                <c:pt idx="34">
                  <c:v>142.46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165.23400000000001</c:v>
                </c:pt>
                <c:pt idx="41">
                  <c:v>170</c:v>
                </c:pt>
                <c:pt idx="42">
                  <c:v>175</c:v>
                </c:pt>
                <c:pt idx="43">
                  <c:v>180</c:v>
                </c:pt>
                <c:pt idx="44">
                  <c:v>185</c:v>
                </c:pt>
                <c:pt idx="45">
                  <c:v>190</c:v>
                </c:pt>
                <c:pt idx="46">
                  <c:v>195</c:v>
                </c:pt>
                <c:pt idx="47">
                  <c:v>200</c:v>
                </c:pt>
                <c:pt idx="48">
                  <c:v>205</c:v>
                </c:pt>
                <c:pt idx="49">
                  <c:v>209.68</c:v>
                </c:pt>
              </c:numCache>
            </c:numRef>
          </c:cat>
          <c:val>
            <c:numRef>
              <c:f>'Grafički prikaz'!$F$1:$F$50</c:f>
              <c:numCache>
                <c:formatCode>General</c:formatCode>
                <c:ptCount val="50"/>
                <c:pt idx="0">
                  <c:v>0.25</c:v>
                </c:pt>
                <c:pt idx="1">
                  <c:v>0.52089059923034631</c:v>
                </c:pt>
                <c:pt idx="2">
                  <c:v>0.79167960620594235</c:v>
                </c:pt>
                <c:pt idx="3">
                  <c:v>1.0621639888038021</c:v>
                </c:pt>
                <c:pt idx="4">
                  <c:v>1.3321414000475182</c:v>
                </c:pt>
                <c:pt idx="5">
                  <c:v>1.6014107837444587</c:v>
                </c:pt>
                <c:pt idx="6">
                  <c:v>1.8697729730194297</c:v>
                </c:pt>
                <c:pt idx="7">
                  <c:v>2.1370312779610847</c:v>
                </c:pt>
                <c:pt idx="8">
                  <c:v>2.4029920587063041</c:v>
                </c:pt>
                <c:pt idx="9">
                  <c:v>2.667465280436025</c:v>
                </c:pt>
                <c:pt idx="10">
                  <c:v>2.9302650469413334</c:v>
                </c:pt>
                <c:pt idx="11">
                  <c:v>3.1912101096380003</c:v>
                </c:pt>
                <c:pt idx="12">
                  <c:v>3.4501243491577545</c:v>
                </c:pt>
                <c:pt idx="13">
                  <c:v>3.7068372269214445</c:v>
                </c:pt>
                <c:pt idx="14">
                  <c:v>3.9611842043986512</c:v>
                </c:pt>
                <c:pt idx="15">
                  <c:v>1.0062736383442266</c:v>
                </c:pt>
                <c:pt idx="16">
                  <c:v>1.0062736383442266</c:v>
                </c:pt>
                <c:pt idx="17">
                  <c:v>1.0062736383442266</c:v>
                </c:pt>
                <c:pt idx="18">
                  <c:v>4.1802832244008723</c:v>
                </c:pt>
                <c:pt idx="19">
                  <c:v>4.2762603744534813</c:v>
                </c:pt>
                <c:pt idx="20">
                  <c:v>4.4074385709144916</c:v>
                </c:pt>
                <c:pt idx="21">
                  <c:v>1.0436760504201681</c:v>
                </c:pt>
                <c:pt idx="22">
                  <c:v>1.0436760504201681</c:v>
                </c:pt>
                <c:pt idx="23">
                  <c:v>1.0436760504201681</c:v>
                </c:pt>
                <c:pt idx="24">
                  <c:v>1.0436760504201681</c:v>
                </c:pt>
                <c:pt idx="25">
                  <c:v>1.0436760504201681</c:v>
                </c:pt>
                <c:pt idx="26">
                  <c:v>1.0436760504201681</c:v>
                </c:pt>
                <c:pt idx="27">
                  <c:v>0.41874607843137257</c:v>
                </c:pt>
                <c:pt idx="28">
                  <c:v>0.41874607843137257</c:v>
                </c:pt>
                <c:pt idx="29">
                  <c:v>0.41874607843137257</c:v>
                </c:pt>
                <c:pt idx="30">
                  <c:v>0.41874607843137257</c:v>
                </c:pt>
                <c:pt idx="31">
                  <c:v>0.41874607843137257</c:v>
                </c:pt>
                <c:pt idx="32">
                  <c:v>0</c:v>
                </c:pt>
                <c:pt idx="33">
                  <c:v>0</c:v>
                </c:pt>
                <c:pt idx="34">
                  <c:v>0.72920805900926022</c:v>
                </c:pt>
                <c:pt idx="35">
                  <c:v>0.72920805900926022</c:v>
                </c:pt>
                <c:pt idx="36">
                  <c:v>0.72920805900926022</c:v>
                </c:pt>
                <c:pt idx="37">
                  <c:v>0.72920805900926022</c:v>
                </c:pt>
                <c:pt idx="38">
                  <c:v>0.72920805900926022</c:v>
                </c:pt>
                <c:pt idx="39">
                  <c:v>0.72920805900926022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0.25000470588235613</c:v>
                </c:pt>
              </c:numCache>
            </c:numRef>
          </c:val>
        </c:ser>
        <c:marker val="1"/>
        <c:axId val="58205312"/>
        <c:axId val="58206848"/>
      </c:lineChart>
      <c:catAx>
        <c:axId val="58205312"/>
        <c:scaling>
          <c:orientation val="minMax"/>
        </c:scaling>
        <c:axPos val="b"/>
        <c:numFmt formatCode="General" sourceLinked="1"/>
        <c:tickLblPos val="nextTo"/>
        <c:crossAx val="58206848"/>
        <c:crosses val="autoZero"/>
        <c:auto val="1"/>
        <c:lblAlgn val="ctr"/>
        <c:lblOffset val="100"/>
        <c:tickLblSkip val="4"/>
        <c:tickMarkSkip val="4"/>
      </c:catAx>
      <c:valAx>
        <c:axId val="58206848"/>
        <c:scaling>
          <c:orientation val="minMax"/>
        </c:scaling>
        <c:axPos val="l"/>
        <c:majorGridlines/>
        <c:numFmt formatCode="General" sourceLinked="1"/>
        <c:tickLblPos val="nextTo"/>
        <c:crossAx val="582053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style val="4"/>
  <c:chart>
    <c:autoTitleDeleted val="1"/>
    <c:plotArea>
      <c:layout>
        <c:manualLayout>
          <c:layoutTarget val="inner"/>
          <c:xMode val="edge"/>
          <c:yMode val="edge"/>
          <c:x val="5.5626880720627409E-2"/>
          <c:y val="8.171755969528198E-2"/>
          <c:w val="0.92426554304030384"/>
          <c:h val="0.6925888227386211"/>
        </c:manualLayout>
      </c:layout>
      <c:lineChart>
        <c:grouping val="stacked"/>
        <c:ser>
          <c:idx val="0"/>
          <c:order val="0"/>
          <c:tx>
            <c:v>jalova snaga</c:v>
          </c:tx>
          <c:marker>
            <c:symbol val="none"/>
          </c:marker>
          <c:cat>
            <c:numRef>
              <c:f>'Grafički prikaz'!$B$1:$B$50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74.177229379683439</c:v>
                </c:pt>
                <c:pt idx="16">
                  <c:v>75</c:v>
                </c:pt>
                <c:pt idx="17">
                  <c:v>80</c:v>
                </c:pt>
                <c:pt idx="18">
                  <c:v>81.61833963526648</c:v>
                </c:pt>
                <c:pt idx="19">
                  <c:v>85</c:v>
                </c:pt>
                <c:pt idx="20">
                  <c:v>90</c:v>
                </c:pt>
                <c:pt idx="21">
                  <c:v>91.297054958450744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114.14941634976203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136.90700000000001</c:v>
                </c:pt>
                <c:pt idx="33">
                  <c:v>140</c:v>
                </c:pt>
                <c:pt idx="34">
                  <c:v>142.46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165.23400000000001</c:v>
                </c:pt>
                <c:pt idx="41">
                  <c:v>170</c:v>
                </c:pt>
                <c:pt idx="42">
                  <c:v>175</c:v>
                </c:pt>
                <c:pt idx="43">
                  <c:v>180</c:v>
                </c:pt>
                <c:pt idx="44">
                  <c:v>185</c:v>
                </c:pt>
                <c:pt idx="45">
                  <c:v>190</c:v>
                </c:pt>
                <c:pt idx="46">
                  <c:v>195</c:v>
                </c:pt>
                <c:pt idx="47">
                  <c:v>200</c:v>
                </c:pt>
                <c:pt idx="48">
                  <c:v>205</c:v>
                </c:pt>
                <c:pt idx="49">
                  <c:v>209.68</c:v>
                </c:pt>
              </c:numCache>
            </c:numRef>
          </c:cat>
          <c:val>
            <c:numRef>
              <c:f>'Grafički prikaz'!$G$1:$G$50</c:f>
              <c:numCache>
                <c:formatCode>General</c:formatCode>
                <c:ptCount val="50"/>
                <c:pt idx="0">
                  <c:v>0.12108052620946314</c:v>
                </c:pt>
                <c:pt idx="1">
                  <c:v>2.0174006160151334</c:v>
                </c:pt>
                <c:pt idx="2">
                  <c:v>0.80767474943667494</c:v>
                </c:pt>
                <c:pt idx="3">
                  <c:v>1.0836240150597058</c:v>
                </c:pt>
                <c:pt idx="4">
                  <c:v>1.1748382852330468</c:v>
                </c:pt>
                <c:pt idx="5">
                  <c:v>1.2010580878083437</c:v>
                </c:pt>
                <c:pt idx="6">
                  <c:v>1.4023297297645718</c:v>
                </c:pt>
                <c:pt idx="7">
                  <c:v>1.3244130355067285</c:v>
                </c:pt>
                <c:pt idx="8">
                  <c:v>1.4892407236108471</c:v>
                </c:pt>
                <c:pt idx="9">
                  <c:v>1.65314650543707</c:v>
                </c:pt>
                <c:pt idx="10">
                  <c:v>1.8160151728623921</c:v>
                </c:pt>
                <c:pt idx="11">
                  <c:v>1.9777343981028941</c:v>
                </c:pt>
                <c:pt idx="12">
                  <c:v>2.1381950321772063</c:v>
                </c:pt>
                <c:pt idx="13">
                  <c:v>2.2972913847664209</c:v>
                </c:pt>
                <c:pt idx="14">
                  <c:v>2.454921484047861</c:v>
                </c:pt>
                <c:pt idx="15">
                  <c:v>0.62363239024812533</c:v>
                </c:pt>
                <c:pt idx="16">
                  <c:v>0.62363239024812533</c:v>
                </c:pt>
                <c:pt idx="17">
                  <c:v>0.62363239024812533</c:v>
                </c:pt>
                <c:pt idx="18">
                  <c:v>2.5907068612439059</c:v>
                </c:pt>
                <c:pt idx="19">
                  <c:v>2.6501881566050751</c:v>
                </c:pt>
                <c:pt idx="20">
                  <c:v>2.7314851011837162</c:v>
                </c:pt>
                <c:pt idx="21">
                  <c:v>0.64681232337480987</c:v>
                </c:pt>
                <c:pt idx="22">
                  <c:v>0.64681232337480987</c:v>
                </c:pt>
                <c:pt idx="23">
                  <c:v>0.64681232337480987</c:v>
                </c:pt>
                <c:pt idx="24">
                  <c:v>0.64681232337480987</c:v>
                </c:pt>
                <c:pt idx="25">
                  <c:v>0.64681232337480987</c:v>
                </c:pt>
                <c:pt idx="26">
                  <c:v>0.64681232337480987</c:v>
                </c:pt>
                <c:pt idx="27">
                  <c:v>0.2595155113363446</c:v>
                </c:pt>
                <c:pt idx="28">
                  <c:v>0.2595155113363446</c:v>
                </c:pt>
                <c:pt idx="29">
                  <c:v>0.2595155113363446</c:v>
                </c:pt>
                <c:pt idx="30">
                  <c:v>0.2595155113363446</c:v>
                </c:pt>
                <c:pt idx="31">
                  <c:v>0.2595155113363446</c:v>
                </c:pt>
                <c:pt idx="32">
                  <c:v>0</c:v>
                </c:pt>
                <c:pt idx="33">
                  <c:v>0</c:v>
                </c:pt>
                <c:pt idx="34">
                  <c:v>0.45192256608890435</c:v>
                </c:pt>
                <c:pt idx="35">
                  <c:v>0.45192256608890435</c:v>
                </c:pt>
                <c:pt idx="36">
                  <c:v>0.45192256608890435</c:v>
                </c:pt>
                <c:pt idx="37">
                  <c:v>0.45192256608890435</c:v>
                </c:pt>
                <c:pt idx="38">
                  <c:v>0.45192256608890435</c:v>
                </c:pt>
                <c:pt idx="39">
                  <c:v>0.45192256608890435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0.12108280537231098</c:v>
                </c:pt>
              </c:numCache>
            </c:numRef>
          </c:val>
        </c:ser>
        <c:marker val="1"/>
        <c:axId val="74857472"/>
        <c:axId val="78043392"/>
      </c:lineChart>
      <c:catAx>
        <c:axId val="74857472"/>
        <c:scaling>
          <c:orientation val="minMax"/>
        </c:scaling>
        <c:axPos val="b"/>
        <c:numFmt formatCode="General" sourceLinked="1"/>
        <c:tickLblPos val="nextTo"/>
        <c:crossAx val="78043392"/>
        <c:crosses val="autoZero"/>
        <c:auto val="1"/>
        <c:lblAlgn val="ctr"/>
        <c:lblOffset val="100"/>
        <c:tickLblSkip val="4"/>
        <c:tickMarkSkip val="4"/>
      </c:catAx>
      <c:valAx>
        <c:axId val="78043392"/>
        <c:scaling>
          <c:orientation val="minMax"/>
        </c:scaling>
        <c:axPos val="l"/>
        <c:majorGridlines/>
        <c:numFmt formatCode="General" sourceLinked="1"/>
        <c:tickLblPos val="nextTo"/>
        <c:crossAx val="748574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54</xdr:row>
      <xdr:rowOff>104775</xdr:rowOff>
    </xdr:from>
    <xdr:to>
      <xdr:col>11</xdr:col>
      <xdr:colOff>19050</xdr:colOff>
      <xdr:row>75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247649</xdr:colOff>
      <xdr:row>76</xdr:row>
      <xdr:rowOff>57149</xdr:rowOff>
    </xdr:from>
    <xdr:to>
      <xdr:col>11</xdr:col>
      <xdr:colOff>19049</xdr:colOff>
      <xdr:row>95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97</xdr:row>
      <xdr:rowOff>142875</xdr:rowOff>
    </xdr:from>
    <xdr:to>
      <xdr:col>11</xdr:col>
      <xdr:colOff>28575</xdr:colOff>
      <xdr:row>114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228599</xdr:colOff>
      <xdr:row>115</xdr:row>
      <xdr:rowOff>114299</xdr:rowOff>
    </xdr:from>
    <xdr:to>
      <xdr:col>10</xdr:col>
      <xdr:colOff>609599</xdr:colOff>
      <xdr:row>133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228599</xdr:colOff>
      <xdr:row>134</xdr:row>
      <xdr:rowOff>47625</xdr:rowOff>
    </xdr:from>
    <xdr:to>
      <xdr:col>10</xdr:col>
      <xdr:colOff>609599</xdr:colOff>
      <xdr:row>150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opLeftCell="C1" workbookViewId="0">
      <selection activeCell="K1" sqref="K1:L4"/>
    </sheetView>
  </sheetViews>
  <sheetFormatPr defaultRowHeight="15"/>
  <cols>
    <col min="1" max="1" width="10.28515625" style="1" bestFit="1" customWidth="1"/>
    <col min="2" max="2" width="14.85546875" style="1" bestFit="1" customWidth="1"/>
    <col min="3" max="3" width="13.28515625" style="1" bestFit="1" customWidth="1"/>
    <col min="4" max="4" width="19" style="1" bestFit="1" customWidth="1"/>
    <col min="5" max="5" width="17.42578125" style="1" bestFit="1" customWidth="1"/>
    <col min="6" max="6" width="9.140625" style="1"/>
    <col min="7" max="7" width="16.5703125" style="1" bestFit="1" customWidth="1"/>
    <col min="8" max="8" width="16" style="1" bestFit="1" customWidth="1"/>
    <col min="9" max="9" width="15.42578125" style="1" bestFit="1" customWidth="1"/>
    <col min="10" max="16384" width="9.140625" style="1"/>
  </cols>
  <sheetData>
    <row r="1" spans="1:11">
      <c r="A1" s="1" t="s">
        <v>0</v>
      </c>
      <c r="B1" s="1" t="s">
        <v>1</v>
      </c>
      <c r="C1" s="1" t="s">
        <v>14</v>
      </c>
      <c r="D1" s="1" t="s">
        <v>15</v>
      </c>
      <c r="E1" s="1" t="s">
        <v>2</v>
      </c>
      <c r="F1" s="1" t="s">
        <v>12</v>
      </c>
      <c r="G1" s="1" t="s">
        <v>13</v>
      </c>
      <c r="H1" s="1" t="s">
        <v>16</v>
      </c>
      <c r="I1" s="1" t="s">
        <v>19</v>
      </c>
    </row>
    <row r="2" spans="1:11">
      <c r="A2" s="1">
        <v>1141</v>
      </c>
      <c r="B2" s="1">
        <v>1</v>
      </c>
      <c r="C2" s="1">
        <v>400</v>
      </c>
      <c r="D2" s="1">
        <v>82</v>
      </c>
      <c r="E2" s="1" t="s">
        <v>3</v>
      </c>
      <c r="F2" s="1">
        <v>0.85</v>
      </c>
      <c r="G2" s="1">
        <v>0.8</v>
      </c>
      <c r="H2" s="1">
        <v>0.04</v>
      </c>
      <c r="I2" s="1">
        <v>0.25</v>
      </c>
    </row>
    <row r="3" spans="1:11">
      <c r="A3" s="1">
        <v>1141</v>
      </c>
      <c r="B3" s="1">
        <v>1</v>
      </c>
      <c r="C3" s="1">
        <v>400</v>
      </c>
      <c r="D3" s="1">
        <v>82</v>
      </c>
      <c r="E3" s="1" t="s">
        <v>3</v>
      </c>
      <c r="F3" s="1">
        <v>0.85</v>
      </c>
      <c r="G3" s="1">
        <v>0.8</v>
      </c>
      <c r="H3" s="1">
        <v>0.04</v>
      </c>
      <c r="I3" s="1">
        <v>0.25</v>
      </c>
      <c r="K3" s="3"/>
    </row>
    <row r="4" spans="1:11">
      <c r="A4" s="1">
        <v>1141</v>
      </c>
      <c r="B4" s="1">
        <v>1</v>
      </c>
      <c r="C4" s="1">
        <v>400</v>
      </c>
      <c r="D4" s="1">
        <v>82</v>
      </c>
      <c r="E4" s="1" t="s">
        <v>3</v>
      </c>
      <c r="F4" s="1">
        <v>0.85</v>
      </c>
      <c r="G4" s="1">
        <v>0.8</v>
      </c>
      <c r="H4" s="1">
        <v>0.04</v>
      </c>
      <c r="I4" s="1">
        <v>0.25</v>
      </c>
      <c r="K4" s="3"/>
    </row>
    <row r="5" spans="1:11">
      <c r="A5" s="1">
        <v>1141</v>
      </c>
      <c r="B5" s="1">
        <v>1</v>
      </c>
      <c r="C5" s="1">
        <v>400</v>
      </c>
      <c r="D5" s="1">
        <v>82</v>
      </c>
      <c r="E5" s="1" t="s">
        <v>3</v>
      </c>
      <c r="F5" s="1">
        <v>0.85</v>
      </c>
      <c r="G5" s="1">
        <v>0.8</v>
      </c>
      <c r="H5" s="1">
        <v>0.04</v>
      </c>
      <c r="I5" s="1">
        <v>0.25</v>
      </c>
    </row>
    <row r="6" spans="1:11">
      <c r="A6" s="1">
        <v>1141</v>
      </c>
      <c r="B6" s="1">
        <v>1</v>
      </c>
      <c r="C6" s="1">
        <v>400</v>
      </c>
      <c r="D6" s="1">
        <v>82</v>
      </c>
      <c r="E6" s="1" t="s">
        <v>3</v>
      </c>
      <c r="F6" s="1">
        <v>0.85</v>
      </c>
      <c r="G6" s="1">
        <v>0.8</v>
      </c>
      <c r="H6" s="1">
        <v>0.04</v>
      </c>
      <c r="I6" s="1">
        <v>0.25</v>
      </c>
    </row>
    <row r="7" spans="1:11">
      <c r="A7" s="1">
        <v>1141</v>
      </c>
      <c r="B7" s="1">
        <v>1</v>
      </c>
      <c r="C7" s="1">
        <v>400</v>
      </c>
      <c r="D7" s="1">
        <v>82</v>
      </c>
      <c r="E7" s="1" t="s">
        <v>3</v>
      </c>
      <c r="F7" s="1">
        <v>0.85</v>
      </c>
      <c r="G7" s="1">
        <v>0.8</v>
      </c>
      <c r="H7" s="1">
        <v>0.04</v>
      </c>
      <c r="I7" s="1">
        <v>0.25</v>
      </c>
    </row>
    <row r="8" spans="1:11">
      <c r="A8" s="1">
        <v>1141</v>
      </c>
      <c r="B8" s="1">
        <v>1</v>
      </c>
      <c r="C8" s="1">
        <v>400</v>
      </c>
      <c r="D8" s="1">
        <v>82</v>
      </c>
      <c r="E8" s="1" t="s">
        <v>3</v>
      </c>
      <c r="F8" s="1">
        <v>0.85</v>
      </c>
      <c r="G8" s="1">
        <v>0.8</v>
      </c>
      <c r="H8" s="1">
        <v>0.04</v>
      </c>
      <c r="I8" s="1">
        <v>0.25</v>
      </c>
    </row>
    <row r="9" spans="1:11">
      <c r="A9" s="1">
        <v>1141</v>
      </c>
      <c r="B9" s="1">
        <v>1</v>
      </c>
      <c r="C9" s="1">
        <v>400</v>
      </c>
      <c r="D9" s="1">
        <v>82</v>
      </c>
      <c r="E9" s="1" t="s">
        <v>3</v>
      </c>
      <c r="F9" s="1">
        <v>0.85</v>
      </c>
      <c r="G9" s="1">
        <v>0.8</v>
      </c>
      <c r="H9" s="1">
        <v>0.04</v>
      </c>
      <c r="I9" s="1">
        <v>0.25</v>
      </c>
    </row>
    <row r="10" spans="1:11">
      <c r="A10" s="1">
        <v>1141</v>
      </c>
      <c r="B10" s="1">
        <v>1</v>
      </c>
      <c r="C10" s="1">
        <v>400</v>
      </c>
      <c r="D10" s="1">
        <v>82</v>
      </c>
      <c r="E10" s="1" t="s">
        <v>3</v>
      </c>
      <c r="F10" s="1">
        <v>0.85</v>
      </c>
      <c r="G10" s="1">
        <v>0.8</v>
      </c>
      <c r="H10" s="1">
        <v>0.04</v>
      </c>
      <c r="I10" s="1">
        <v>0.25</v>
      </c>
    </row>
    <row r="11" spans="1:11">
      <c r="A11" s="1">
        <v>1141</v>
      </c>
      <c r="B11" s="1">
        <v>1</v>
      </c>
      <c r="C11" s="1">
        <v>400</v>
      </c>
      <c r="D11" s="1">
        <v>82</v>
      </c>
      <c r="E11" s="1" t="s">
        <v>3</v>
      </c>
      <c r="F11" s="1">
        <v>0.85</v>
      </c>
      <c r="G11" s="1">
        <v>0.8</v>
      </c>
      <c r="H11" s="1">
        <v>0.04</v>
      </c>
      <c r="I11" s="1">
        <v>0.25</v>
      </c>
    </row>
    <row r="12" spans="1:11">
      <c r="A12" s="1">
        <v>1141</v>
      </c>
      <c r="B12" s="1">
        <v>1</v>
      </c>
      <c r="C12" s="1">
        <v>400</v>
      </c>
      <c r="D12" s="1">
        <v>82</v>
      </c>
      <c r="E12" s="1" t="s">
        <v>3</v>
      </c>
      <c r="F12" s="1">
        <v>0.85</v>
      </c>
      <c r="G12" s="1">
        <v>0.8</v>
      </c>
      <c r="H12" s="1">
        <v>0.04</v>
      </c>
      <c r="I12" s="1">
        <v>0.25</v>
      </c>
    </row>
    <row r="13" spans="1:11">
      <c r="A13" s="1">
        <v>1141</v>
      </c>
      <c r="B13" s="1">
        <v>1</v>
      </c>
      <c r="C13" s="1">
        <v>400</v>
      </c>
      <c r="D13" s="1">
        <v>82</v>
      </c>
      <c r="E13" s="1" t="s">
        <v>3</v>
      </c>
      <c r="F13" s="1">
        <v>0.85</v>
      </c>
      <c r="G13" s="1">
        <v>0.8</v>
      </c>
      <c r="H13" s="1">
        <v>0.04</v>
      </c>
      <c r="I13" s="1">
        <v>0.25</v>
      </c>
    </row>
    <row r="14" spans="1:11">
      <c r="A14" s="1">
        <v>1141</v>
      </c>
      <c r="B14" s="1">
        <v>1</v>
      </c>
      <c r="C14" s="1">
        <v>400</v>
      </c>
      <c r="D14" s="1">
        <v>82</v>
      </c>
      <c r="E14" s="1" t="s">
        <v>3</v>
      </c>
      <c r="F14" s="1">
        <v>0.85</v>
      </c>
      <c r="G14" s="1">
        <v>0.8</v>
      </c>
      <c r="H14" s="1">
        <v>0.04</v>
      </c>
      <c r="I14" s="1">
        <v>0.25</v>
      </c>
    </row>
    <row r="15" spans="1:11">
      <c r="A15" s="1">
        <v>1141</v>
      </c>
      <c r="B15" s="1">
        <v>1</v>
      </c>
      <c r="C15" s="1">
        <v>400</v>
      </c>
      <c r="D15" s="1">
        <v>82</v>
      </c>
      <c r="E15" s="1" t="s">
        <v>3</v>
      </c>
      <c r="F15" s="1">
        <v>0.85</v>
      </c>
      <c r="G15" s="1">
        <v>0.8</v>
      </c>
      <c r="H15" s="1">
        <v>0.04</v>
      </c>
      <c r="I15" s="1">
        <v>0.25</v>
      </c>
    </row>
    <row r="16" spans="1:11">
      <c r="A16" s="1">
        <v>1141</v>
      </c>
      <c r="B16" s="1">
        <v>1</v>
      </c>
      <c r="C16" s="1">
        <v>400</v>
      </c>
      <c r="D16" s="1">
        <v>82</v>
      </c>
      <c r="E16" s="1" t="s">
        <v>3</v>
      </c>
      <c r="F16" s="1">
        <v>0.85</v>
      </c>
      <c r="G16" s="1">
        <v>0.8</v>
      </c>
      <c r="H16" s="1">
        <v>0.04</v>
      </c>
      <c r="I16" s="1">
        <v>0.25</v>
      </c>
    </row>
    <row r="17" spans="1:9">
      <c r="A17" s="1">
        <v>1141</v>
      </c>
      <c r="B17" s="1">
        <v>1</v>
      </c>
      <c r="C17" s="1">
        <v>400</v>
      </c>
      <c r="D17" s="1">
        <v>82</v>
      </c>
      <c r="E17" s="1" t="s">
        <v>3</v>
      </c>
      <c r="F17" s="1">
        <v>0.85</v>
      </c>
      <c r="G17" s="1">
        <v>0.8</v>
      </c>
      <c r="H17" s="1">
        <v>0.04</v>
      </c>
      <c r="I17" s="1">
        <v>0.25</v>
      </c>
    </row>
    <row r="18" spans="1:9">
      <c r="A18" s="1">
        <v>1141</v>
      </c>
      <c r="B18" s="1">
        <v>1</v>
      </c>
      <c r="C18" s="1">
        <v>400</v>
      </c>
      <c r="D18" s="1">
        <v>82</v>
      </c>
      <c r="E18" s="1" t="s">
        <v>3</v>
      </c>
      <c r="F18" s="1">
        <v>0.85</v>
      </c>
      <c r="G18" s="1">
        <v>0.8</v>
      </c>
      <c r="H18" s="1">
        <v>0.04</v>
      </c>
      <c r="I18" s="1">
        <v>0.25</v>
      </c>
    </row>
    <row r="19" spans="1:9">
      <c r="A19" s="1">
        <v>1141</v>
      </c>
      <c r="B19" s="1">
        <v>1</v>
      </c>
      <c r="C19" s="1">
        <v>400</v>
      </c>
      <c r="D19" s="1">
        <v>82</v>
      </c>
      <c r="E19" s="1" t="s">
        <v>3</v>
      </c>
      <c r="F19" s="1">
        <v>0.85</v>
      </c>
      <c r="G19" s="1">
        <v>0.8</v>
      </c>
      <c r="H19" s="1">
        <v>0.04</v>
      </c>
      <c r="I19" s="1">
        <v>0.25</v>
      </c>
    </row>
    <row r="20" spans="1:9">
      <c r="A20" s="1">
        <v>1141</v>
      </c>
      <c r="B20" s="1">
        <v>1</v>
      </c>
      <c r="C20" s="1">
        <v>400</v>
      </c>
      <c r="D20" s="1">
        <v>82</v>
      </c>
      <c r="E20" s="1" t="s">
        <v>3</v>
      </c>
      <c r="F20" s="1">
        <v>0.85</v>
      </c>
      <c r="G20" s="1">
        <v>0.8</v>
      </c>
      <c r="H20" s="1">
        <v>0.04</v>
      </c>
      <c r="I20" s="1">
        <v>0.25</v>
      </c>
    </row>
    <row r="21" spans="1:9">
      <c r="A21" s="1">
        <v>1141</v>
      </c>
      <c r="B21" s="1">
        <v>1</v>
      </c>
      <c r="C21" s="1">
        <v>400</v>
      </c>
      <c r="D21" s="1">
        <v>82</v>
      </c>
      <c r="E21" s="1" t="s">
        <v>3</v>
      </c>
      <c r="F21" s="1">
        <v>0.85</v>
      </c>
      <c r="G21" s="1">
        <v>0.8</v>
      </c>
      <c r="H21" s="1">
        <v>0.04</v>
      </c>
      <c r="I21" s="1">
        <v>0.25</v>
      </c>
    </row>
    <row r="22" spans="1:9">
      <c r="A22" s="1">
        <v>1141</v>
      </c>
      <c r="B22" s="1">
        <v>1</v>
      </c>
      <c r="C22" s="1">
        <v>400</v>
      </c>
      <c r="D22" s="1">
        <v>82</v>
      </c>
      <c r="E22" s="1" t="s">
        <v>3</v>
      </c>
      <c r="F22" s="1">
        <v>0.85</v>
      </c>
      <c r="G22" s="1">
        <v>0.8</v>
      </c>
      <c r="H22" s="1">
        <v>0.04</v>
      </c>
      <c r="I22" s="1">
        <v>0.25</v>
      </c>
    </row>
    <row r="23" spans="1:9">
      <c r="A23" s="1">
        <v>1141</v>
      </c>
      <c r="B23" s="1">
        <v>1</v>
      </c>
      <c r="C23" s="1">
        <v>400</v>
      </c>
      <c r="D23" s="1">
        <v>82</v>
      </c>
      <c r="E23" s="1" t="s">
        <v>3</v>
      </c>
      <c r="F23" s="1">
        <v>0.85</v>
      </c>
      <c r="G23" s="1">
        <v>0.8</v>
      </c>
      <c r="H23" s="1">
        <v>0.04</v>
      </c>
      <c r="I23" s="1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0"/>
  <sheetViews>
    <sheetView workbookViewId="0">
      <selection activeCell="F9" sqref="F9"/>
    </sheetView>
  </sheetViews>
  <sheetFormatPr defaultRowHeight="15"/>
  <cols>
    <col min="1" max="1" width="8.42578125" style="1" customWidth="1"/>
    <col min="2" max="2" width="9.28515625" style="1" customWidth="1"/>
    <col min="3" max="5" width="12" style="1" bestFit="1" customWidth="1"/>
    <col min="6" max="6" width="14.5703125" style="1" customWidth="1"/>
    <col min="7" max="7" width="7.85546875" style="1" bestFit="1" customWidth="1"/>
    <col min="8" max="8" width="9.5703125" style="1" bestFit="1" customWidth="1"/>
    <col min="9" max="9" width="8" style="1" customWidth="1"/>
    <col min="10" max="10" width="12.5703125" style="1" customWidth="1"/>
    <col min="11" max="12" width="12" style="1" bestFit="1" customWidth="1"/>
    <col min="13" max="13" width="5.85546875" style="1" customWidth="1"/>
    <col min="14" max="14" width="14.42578125" style="1" bestFit="1" customWidth="1"/>
    <col min="15" max="15" width="14.140625" style="1" bestFit="1" customWidth="1"/>
    <col min="16" max="16" width="6.5703125" style="1" bestFit="1" customWidth="1"/>
    <col min="17" max="17" width="15.28515625" style="1" bestFit="1" customWidth="1"/>
    <col min="18" max="16384" width="9.140625" style="1"/>
  </cols>
  <sheetData>
    <row r="1" spans="1:18">
      <c r="A1" s="1" t="s">
        <v>8</v>
      </c>
      <c r="B1" s="1" t="s">
        <v>9</v>
      </c>
      <c r="C1" s="1" t="s">
        <v>22</v>
      </c>
      <c r="D1" s="1" t="s">
        <v>21</v>
      </c>
      <c r="E1" s="1" t="s">
        <v>23</v>
      </c>
      <c r="F1" s="1" t="s">
        <v>24</v>
      </c>
      <c r="G1" s="1" t="s">
        <v>11</v>
      </c>
      <c r="H1" s="1" t="s">
        <v>17</v>
      </c>
      <c r="I1" s="1" t="s">
        <v>18</v>
      </c>
      <c r="J1" s="1" t="s">
        <v>25</v>
      </c>
      <c r="K1" s="1" t="s">
        <v>26</v>
      </c>
      <c r="L1" s="1" t="s">
        <v>20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10</v>
      </c>
    </row>
    <row r="2" spans="1:18">
      <c r="A2" s="1">
        <v>0</v>
      </c>
      <c r="B2" s="1">
        <v>5</v>
      </c>
      <c r="C2" s="1">
        <v>0</v>
      </c>
      <c r="D2" s="1">
        <v>0</v>
      </c>
      <c r="E2" s="1">
        <f>(F2-(G2+I2))/(1.07*'Osnovni podaci'!C2)</f>
        <v>0.30700934579439254</v>
      </c>
      <c r="F2" s="1">
        <f>IF(R2&lt;=H2,R2,H2)</f>
        <v>150</v>
      </c>
      <c r="G2" s="1">
        <f>(P2/100+(8000/O2)*0.001)*'Osnovni podaci'!C2</f>
        <v>10.6</v>
      </c>
      <c r="H2" s="1">
        <f>10*'Osnovni podaci'!D2*0.33/(1+0.01*D2)</f>
        <v>270.60000000000002</v>
      </c>
      <c r="I2" s="1">
        <f>'Osnovni podaci'!D2*(20+(D2*D2/240))*0.001+('Osnovni podaci'!C2-'Osnovni podaci'!D2)*(20+(D2*D2*'Osnovni podaci'!H2/10))*0.001</f>
        <v>8</v>
      </c>
      <c r="J2" s="1">
        <f>F2*D2</f>
        <v>0</v>
      </c>
      <c r="K2" s="1">
        <f>J2/'Osnovni podaci'!F2+'Osnovni podaci'!I2</f>
        <v>0.25</v>
      </c>
      <c r="L2" s="1">
        <f>K2*TAN(ACOS(0.9))</f>
        <v>0.12108052620946314</v>
      </c>
      <c r="N2" s="1">
        <v>1000</v>
      </c>
      <c r="O2" s="1">
        <v>2000</v>
      </c>
      <c r="P2" s="2">
        <v>2.25</v>
      </c>
      <c r="Q2" s="1">
        <v>80</v>
      </c>
      <c r="R2" s="2">
        <v>150</v>
      </c>
    </row>
    <row r="3" spans="1:18">
      <c r="A3" s="1">
        <f>A2+B2</f>
        <v>5</v>
      </c>
      <c r="B3" s="1">
        <v>5</v>
      </c>
      <c r="C3" s="1">
        <f>C2+(D2/3.6)*B3+(E2*B3*B3/2)</f>
        <v>3.837616822429907</v>
      </c>
      <c r="D3" s="1">
        <f>D2+(E2*B3)*3.6</f>
        <v>5.5261682242990657</v>
      </c>
      <c r="E3" s="1">
        <f>(F3-(G3+I3))/(1.07*'Osnovni podaci'!C3)</f>
        <v>0.30689420790567556</v>
      </c>
      <c r="F3" s="1">
        <f t="shared" ref="F3:F16" si="0">IF(R3&lt;=H3,R3,H3)</f>
        <v>150</v>
      </c>
      <c r="G3" s="1">
        <f>(P3/100+(8000/O3)*0.001)*'Osnovni podaci'!C3</f>
        <v>10.6</v>
      </c>
      <c r="H3" s="1">
        <f>10*'Osnovni podaci'!D3*0.33/(1+0.01*D3)</f>
        <v>256.42928626464624</v>
      </c>
      <c r="I3" s="1">
        <f>'Osnovni podaci'!D3*(20+(D3*D3/240))*0.001+('Osnovni podaci'!C3-'Osnovni podaci'!D3)*(20+(D3*D3*'Osnovni podaci'!H3/10))*0.001</f>
        <v>8.0492790163708605</v>
      </c>
      <c r="J3" s="1">
        <f>F3*(D3/3.6)/1000</f>
        <v>0.23025700934579441</v>
      </c>
      <c r="K3" s="1">
        <f>J3/'Osnovni podaci'!F3+'Osnovni podaci'!I3</f>
        <v>0.52089059923034631</v>
      </c>
      <c r="L3" s="1">
        <f>K3*TAN(ACOS(0.25))</f>
        <v>2.0174006160151334</v>
      </c>
      <c r="N3" s="4">
        <v>1000</v>
      </c>
      <c r="O3" s="4">
        <v>2000</v>
      </c>
      <c r="P3" s="5">
        <v>2.25</v>
      </c>
      <c r="Q3" s="4">
        <v>80</v>
      </c>
      <c r="R3" s="7">
        <v>150</v>
      </c>
    </row>
    <row r="4" spans="1:18">
      <c r="A4" s="1">
        <f t="shared" ref="A4:A16" si="1">A3+B3</f>
        <v>10</v>
      </c>
      <c r="B4" s="1">
        <v>5</v>
      </c>
      <c r="C4" s="1">
        <f t="shared" ref="C4:C17" si="2">C3+(D3/3.6)*B4+(E3*B4*B4/2)</f>
        <v>15.349028066110664</v>
      </c>
      <c r="D4" s="1">
        <f t="shared" ref="D4:D17" si="3">D3+(E3*B4)*3.6</f>
        <v>11.050263966601225</v>
      </c>
      <c r="E4" s="1">
        <f>(F4-(G4+I4))/(1.07*'Osnovni podaci'!C4)</f>
        <v>0.30654896694424105</v>
      </c>
      <c r="F4" s="1">
        <f t="shared" si="0"/>
        <v>150</v>
      </c>
      <c r="G4" s="1">
        <f>(P4/100+(8000/O4)*0.001)*'Osnovni podaci'!C4</f>
        <v>10.6</v>
      </c>
      <c r="H4" s="1">
        <f>10*'Osnovni podaci'!D4*0.33/(1+0.01*D4)</f>
        <v>243.67344149797245</v>
      </c>
      <c r="I4" s="1">
        <f>'Osnovni podaci'!D4*(20+(D4*D4/240))*0.001+('Osnovni podaci'!C4-'Osnovni podaci'!D4)*(20+(D4*D4*'Osnovni podaci'!H4/10))*0.001</f>
        <v>8.1970421478648365</v>
      </c>
      <c r="J4" s="1">
        <f t="shared" ref="J4:J14" si="4">F4*(D4/3.6)/1000</f>
        <v>0.46042766527505102</v>
      </c>
      <c r="K4" s="1">
        <f>J4/'Osnovni podaci'!F4+'Osnovni podaci'!I4</f>
        <v>0.79167960620594235</v>
      </c>
      <c r="L4" s="1">
        <f>K4*TAN(ACOS(0.7))</f>
        <v>0.80767474943667494</v>
      </c>
      <c r="N4" s="4">
        <v>1000</v>
      </c>
      <c r="O4" s="4">
        <v>2000</v>
      </c>
      <c r="P4" s="5">
        <v>2.25</v>
      </c>
      <c r="Q4" s="4">
        <v>80</v>
      </c>
      <c r="R4" s="7">
        <v>150</v>
      </c>
    </row>
    <row r="5" spans="1:18">
      <c r="A5" s="1">
        <f t="shared" si="1"/>
        <v>15</v>
      </c>
      <c r="B5" s="1">
        <v>5</v>
      </c>
      <c r="C5" s="1">
        <f t="shared" si="2"/>
        <v>34.528478995415377</v>
      </c>
      <c r="D5" s="1">
        <f t="shared" si="3"/>
        <v>16.568145371597563</v>
      </c>
      <c r="E5" s="1">
        <f>(F5-(G5+I5))/(1.07*'Osnovni podaci'!C5)</f>
        <v>0.30597439940954491</v>
      </c>
      <c r="F5" s="1">
        <f t="shared" si="0"/>
        <v>150</v>
      </c>
      <c r="G5" s="1">
        <f>(P5/100+(8000/O5)*0.001)*'Osnovni podaci'!C5</f>
        <v>10.6</v>
      </c>
      <c r="H5" s="1">
        <f>10*'Osnovni podaci'!D5*0.33/(1+0.01*D5)</f>
        <v>232.13889106443065</v>
      </c>
      <c r="I5" s="1">
        <f>'Osnovni podaci'!D5*(20+(D5*D5/240))*0.001+('Osnovni podaci'!C5-'Osnovni podaci'!D5)*(20+(D5*D5*'Osnovni podaci'!H5/10))*0.001</f>
        <v>8.4429570527147675</v>
      </c>
      <c r="J5" s="1">
        <f t="shared" si="4"/>
        <v>0.69033939048323179</v>
      </c>
      <c r="K5" s="1">
        <f>J5/'Osnovni podaci'!F5+'Osnovni podaci'!I5</f>
        <v>1.0621639888038021</v>
      </c>
      <c r="L5" s="1">
        <f>K5*TAN(ACOS(0.7))</f>
        <v>1.0836240150597058</v>
      </c>
      <c r="N5" s="4">
        <v>1000</v>
      </c>
      <c r="O5" s="4">
        <v>2000</v>
      </c>
      <c r="P5" s="5">
        <v>2.25</v>
      </c>
      <c r="Q5" s="4">
        <v>80</v>
      </c>
      <c r="R5" s="7">
        <v>150</v>
      </c>
    </row>
    <row r="6" spans="1:18">
      <c r="A6" s="1">
        <f t="shared" si="1"/>
        <v>20</v>
      </c>
      <c r="B6" s="1">
        <v>5</v>
      </c>
      <c r="C6" s="1">
        <f t="shared" si="2"/>
        <v>61.364472004142414</v>
      </c>
      <c r="D6" s="1">
        <f t="shared" si="3"/>
        <v>22.075684560969371</v>
      </c>
      <c r="E6" s="1">
        <f>(F6-(G6+I6))/(1.07*'Osnovni podaci'!C6)</f>
        <v>0.30517196818986581</v>
      </c>
      <c r="F6" s="1">
        <f t="shared" si="0"/>
        <v>150</v>
      </c>
      <c r="G6" s="1">
        <f>(P6/100+(8000/O6)*0.001)*'Osnovni podaci'!C6</f>
        <v>10.6</v>
      </c>
      <c r="H6" s="1">
        <f>10*'Osnovni podaci'!D6*0.33/(1+0.01*D6)</f>
        <v>221.66576494998213</v>
      </c>
      <c r="I6" s="1">
        <f>'Osnovni podaci'!D6*(20+(D6*D6/240))*0.001+('Osnovni podaci'!C6-'Osnovni podaci'!D6)*(20+(D6*D6*'Osnovni podaci'!H6/10))*0.001</f>
        <v>8.7863976147374245</v>
      </c>
      <c r="J6" s="1">
        <f t="shared" si="4"/>
        <v>0.91982019004039051</v>
      </c>
      <c r="K6" s="1">
        <f>J6/'Osnovni podaci'!F6+'Osnovni podaci'!I6</f>
        <v>1.3321414000475182</v>
      </c>
      <c r="L6" s="1">
        <f>K6*TAN(ACOS(0.75))</f>
        <v>1.1748382852330468</v>
      </c>
      <c r="N6" s="4">
        <v>1000</v>
      </c>
      <c r="O6" s="4">
        <v>2000</v>
      </c>
      <c r="P6" s="5">
        <v>2.25</v>
      </c>
      <c r="Q6" s="4">
        <v>80</v>
      </c>
      <c r="R6" s="7">
        <v>150</v>
      </c>
    </row>
    <row r="7" spans="1:18">
      <c r="A7" s="1">
        <f t="shared" si="1"/>
        <v>25</v>
      </c>
      <c r="B7" s="1">
        <v>5</v>
      </c>
      <c r="C7" s="1">
        <f t="shared" si="2"/>
        <v>95.839794607862075</v>
      </c>
      <c r="D7" s="1">
        <f t="shared" si="3"/>
        <v>27.568779988386957</v>
      </c>
      <c r="E7" s="1">
        <f>(F7-(G7+I7))/(1.07*'Osnovni podaci'!C7)</f>
        <v>0.30414381451163336</v>
      </c>
      <c r="F7" s="1">
        <f t="shared" si="0"/>
        <v>150</v>
      </c>
      <c r="G7" s="1">
        <f>(P7/100+(8000/O7)*0.001)*'Osnovni podaci'!C7</f>
        <v>10.6</v>
      </c>
      <c r="H7" s="1">
        <f>10*'Osnovni podaci'!D7*0.33/(1+0.01*D7)</f>
        <v>212.12086532820467</v>
      </c>
      <c r="I7" s="1">
        <f>'Osnovni podaci'!D7*(20+(D7*D7/240))*0.001+('Osnovni podaci'!C7-'Osnovni podaci'!D7)*(20+(D7*D7*'Osnovni podaci'!H7/10))*0.001</f>
        <v>9.2264473890209278</v>
      </c>
      <c r="J7" s="1">
        <f t="shared" si="4"/>
        <v>1.1486991661827899</v>
      </c>
      <c r="K7" s="1">
        <f>J7/'Osnovni podaci'!F7+'Osnovni podaci'!I7</f>
        <v>1.6014107837444587</v>
      </c>
      <c r="L7" s="1">
        <f>K7*TAN(ACOS(0.8))</f>
        <v>1.2010580878083437</v>
      </c>
      <c r="N7" s="4">
        <v>1000</v>
      </c>
      <c r="O7" s="4">
        <v>2000</v>
      </c>
      <c r="P7" s="5">
        <v>2.25</v>
      </c>
      <c r="Q7" s="4">
        <v>80</v>
      </c>
      <c r="R7" s="7">
        <v>150</v>
      </c>
    </row>
    <row r="8" spans="1:18">
      <c r="A8" s="1">
        <f t="shared" si="1"/>
        <v>30</v>
      </c>
      <c r="B8" s="1">
        <v>5</v>
      </c>
      <c r="C8" s="1">
        <f t="shared" si="2"/>
        <v>137.9315644953505</v>
      </c>
      <c r="D8" s="1">
        <f t="shared" si="3"/>
        <v>33.04336864959636</v>
      </c>
      <c r="E8" s="1">
        <f>(F8-(G8+I8))/(1.07*'Osnovni podaci'!C8)</f>
        <v>0.30289274560054269</v>
      </c>
      <c r="F8" s="1">
        <f t="shared" si="0"/>
        <v>150</v>
      </c>
      <c r="G8" s="1">
        <f>(P8/100+(8000/O8)*0.001)*'Osnovni podaci'!C8</f>
        <v>10.6</v>
      </c>
      <c r="H8" s="1">
        <f>10*'Osnovni podaci'!D8*0.33/(1+0.01*D8)</f>
        <v>203.39232443271496</v>
      </c>
      <c r="I8" s="1">
        <f>'Osnovni podaci'!D8*(20+(D8*D8/240))*0.001+('Osnovni podaci'!C8-'Osnovni podaci'!D8)*(20+(D8*D8*'Osnovni podaci'!H8/10))*0.001</f>
        <v>9.7619048829677517</v>
      </c>
      <c r="J8" s="1">
        <f t="shared" si="4"/>
        <v>1.3768070270665151</v>
      </c>
      <c r="K8" s="1">
        <f>J8/'Osnovni podaci'!F8+'Osnovni podaci'!I8</f>
        <v>1.8697729730194297</v>
      </c>
      <c r="L8" s="1">
        <f>K8*TAN(ACOS(0.8))</f>
        <v>1.4023297297645718</v>
      </c>
      <c r="N8" s="4">
        <v>1000</v>
      </c>
      <c r="O8" s="4">
        <v>2000</v>
      </c>
      <c r="P8" s="5">
        <v>2.25</v>
      </c>
      <c r="Q8" s="4">
        <v>80</v>
      </c>
      <c r="R8" s="7">
        <v>150</v>
      </c>
    </row>
    <row r="9" spans="1:18">
      <c r="A9" s="1">
        <f t="shared" si="1"/>
        <v>35</v>
      </c>
      <c r="B9" s="1">
        <v>5</v>
      </c>
      <c r="C9" s="1">
        <f t="shared" si="2"/>
        <v>187.61129138424113</v>
      </c>
      <c r="D9" s="1">
        <f t="shared" si="3"/>
        <v>38.495438070406131</v>
      </c>
      <c r="E9" s="1">
        <f>(F9-(G9+I9))/(1.07*'Osnovni podaci'!C9)</f>
        <v>0.30142221817791481</v>
      </c>
      <c r="F9" s="1">
        <f t="shared" si="0"/>
        <v>150</v>
      </c>
      <c r="G9" s="1">
        <f>(P9/100+(8000/O9)*0.001)*'Osnovni podaci'!C9</f>
        <v>10.6</v>
      </c>
      <c r="H9" s="1">
        <f>10*'Osnovni podaci'!D9*0.33/(1+0.01*D9)</f>
        <v>195.38549700275087</v>
      </c>
      <c r="I9" s="1">
        <f>'Osnovni podaci'!D9*(20+(D9*D9/240))*0.001+('Osnovni podaci'!C9-'Osnovni podaci'!D9)*(20+(D9*D9*'Osnovni podaci'!H9/10))*0.001</f>
        <v>10.391290619852469</v>
      </c>
      <c r="J9" s="1">
        <f t="shared" si="4"/>
        <v>1.6039765862669222</v>
      </c>
      <c r="K9" s="1">
        <f>J9/'Osnovni podaci'!F9+'Osnovni podaci'!I9</f>
        <v>2.1370312779610847</v>
      </c>
      <c r="L9" s="1">
        <f>K9*TAN(ACOS(0.85))</f>
        <v>1.3244130355067285</v>
      </c>
      <c r="N9" s="4">
        <v>1000</v>
      </c>
      <c r="O9" s="4">
        <v>2000</v>
      </c>
      <c r="P9" s="5">
        <v>2.25</v>
      </c>
      <c r="Q9" s="4">
        <v>80</v>
      </c>
      <c r="R9" s="7">
        <v>150</v>
      </c>
    </row>
    <row r="10" spans="1:18">
      <c r="A10" s="1">
        <f t="shared" si="1"/>
        <v>40</v>
      </c>
      <c r="B10" s="1">
        <v>5</v>
      </c>
      <c r="C10" s="1">
        <f t="shared" si="2"/>
        <v>244.84495532036246</v>
      </c>
      <c r="D10" s="1">
        <f t="shared" si="3"/>
        <v>43.9210379976086</v>
      </c>
      <c r="E10" s="1">
        <f>(F10-(G10+I10))/(1.07*'Osnovni podaci'!C10)</f>
        <v>0.29973631796035072</v>
      </c>
      <c r="F10" s="1">
        <f t="shared" si="0"/>
        <v>150</v>
      </c>
      <c r="G10" s="1">
        <f>(P10/100+(8000/O10)*0.001)*'Osnovni podaci'!C10</f>
        <v>10.6</v>
      </c>
      <c r="H10" s="1">
        <f>10*'Osnovni podaci'!D10*0.33/(1+0.01*D10)</f>
        <v>188.01976678662942</v>
      </c>
      <c r="I10" s="1">
        <f>'Osnovni podaci'!D10*(20+(D10*D10/240))*0.001+('Osnovni podaci'!C10-'Osnovni podaci'!D10)*(20+(D10*D10*'Osnovni podaci'!H10/10))*0.001</f>
        <v>11.112855912969898</v>
      </c>
      <c r="J10" s="1">
        <f t="shared" si="4"/>
        <v>1.8300432499003583</v>
      </c>
      <c r="K10" s="1">
        <f>J10/'Osnovni podaci'!F10+'Osnovni podaci'!I10</f>
        <v>2.4029920587063041</v>
      </c>
      <c r="L10" s="1">
        <f t="shared" ref="L10:L20" si="5">K10*TAN(ACOS(0.85))</f>
        <v>1.4892407236108471</v>
      </c>
      <c r="N10" s="4">
        <v>1000</v>
      </c>
      <c r="O10" s="4">
        <v>2000</v>
      </c>
      <c r="P10" s="5">
        <v>2.25</v>
      </c>
      <c r="Q10" s="4">
        <v>80</v>
      </c>
      <c r="R10" s="7">
        <v>150</v>
      </c>
    </row>
    <row r="11" spans="1:18">
      <c r="A11" s="1">
        <f t="shared" si="1"/>
        <v>45</v>
      </c>
      <c r="B11" s="1">
        <v>5</v>
      </c>
      <c r="C11" s="1">
        <f t="shared" si="2"/>
        <v>309.59310095821212</v>
      </c>
      <c r="D11" s="1">
        <f t="shared" si="3"/>
        <v>49.31629172089491</v>
      </c>
      <c r="E11" s="1">
        <f>(F11-(G11+I11))/(1.07*'Osnovni podaci'!C11)</f>
        <v>0.29783973537268299</v>
      </c>
      <c r="F11" s="1">
        <f t="shared" si="0"/>
        <v>150</v>
      </c>
      <c r="G11" s="1">
        <f>(P11/100+(8000/O11)*0.001)*'Osnovni podaci'!C11</f>
        <v>10.6</v>
      </c>
      <c r="H11" s="1">
        <f>10*'Osnovni podaci'!D11*0.33/(1+0.01*D11)</f>
        <v>181.22603828509961</v>
      </c>
      <c r="I11" s="1">
        <f>'Osnovni podaci'!D11*(20+(D11*D11/240))*0.001+('Osnovni podaci'!C11-'Osnovni podaci'!D11)*(20+(D11*D11*'Osnovni podaci'!H11/10))*0.001</f>
        <v>11.924593260491694</v>
      </c>
      <c r="J11" s="1">
        <f t="shared" si="4"/>
        <v>2.0548454883706211</v>
      </c>
      <c r="K11" s="1">
        <f>J11/'Osnovni podaci'!F11+'Osnovni podaci'!I11</f>
        <v>2.667465280436025</v>
      </c>
      <c r="L11" s="1">
        <f t="shared" si="5"/>
        <v>1.65314650543707</v>
      </c>
      <c r="N11" s="4">
        <v>1000</v>
      </c>
      <c r="O11" s="4">
        <v>2000</v>
      </c>
      <c r="P11" s="5">
        <v>2.25</v>
      </c>
      <c r="Q11" s="4">
        <v>80</v>
      </c>
      <c r="R11" s="7">
        <v>150</v>
      </c>
    </row>
    <row r="12" spans="1:18">
      <c r="A12" s="1">
        <f t="shared" si="1"/>
        <v>50</v>
      </c>
      <c r="B12" s="1">
        <v>5</v>
      </c>
      <c r="C12" s="1">
        <f t="shared" si="2"/>
        <v>381.81094726272465</v>
      </c>
      <c r="D12" s="1">
        <f t="shared" si="3"/>
        <v>54.677406957603203</v>
      </c>
      <c r="E12" s="1">
        <f>(F12-(G12+I12))/(1.07*'Osnovni podaci'!C12)</f>
        <v>0.29573773772288847</v>
      </c>
      <c r="F12" s="1">
        <f t="shared" si="0"/>
        <v>150</v>
      </c>
      <c r="G12" s="1">
        <f>(P12/100+(8000/O12)*0.001)*'Osnovni podaci'!C12</f>
        <v>10.6</v>
      </c>
      <c r="H12" s="1">
        <f>10*'Osnovni podaci'!D12*0.33/(1+0.01*D12)</f>
        <v>174.94474811965975</v>
      </c>
      <c r="I12" s="1">
        <f>'Osnovni podaci'!D12*(20+(D12*D12/240))*0.001+('Osnovni podaci'!C12-'Osnovni podaci'!D12)*(20+(D12*D12*'Osnovni podaci'!H12/10))*0.001</f>
        <v>12.824248254603736</v>
      </c>
      <c r="J12" s="1">
        <f t="shared" si="4"/>
        <v>2.2782252899001332</v>
      </c>
      <c r="K12" s="1">
        <f>J12/'Osnovni podaci'!F12+'Osnovni podaci'!I12</f>
        <v>2.9302650469413334</v>
      </c>
      <c r="L12" s="1">
        <f t="shared" si="5"/>
        <v>1.8160151728623921</v>
      </c>
      <c r="N12" s="4">
        <v>1000</v>
      </c>
      <c r="O12" s="4">
        <v>2000</v>
      </c>
      <c r="P12" s="5">
        <v>2.25</v>
      </c>
      <c r="Q12" s="4">
        <v>80</v>
      </c>
      <c r="R12" s="7">
        <v>150</v>
      </c>
    </row>
    <row r="13" spans="1:18">
      <c r="A13" s="1">
        <f t="shared" si="1"/>
        <v>55</v>
      </c>
      <c r="B13" s="1">
        <v>5</v>
      </c>
      <c r="C13" s="1">
        <f t="shared" si="2"/>
        <v>461.44851198093187</v>
      </c>
      <c r="D13" s="1">
        <f t="shared" si="3"/>
        <v>60.000686236615195</v>
      </c>
      <c r="E13" s="1">
        <f>(F13-(G13+I13))/(1.07*'Osnovni podaci'!C13)</f>
        <v>0.29343613812238767</v>
      </c>
      <c r="F13" s="1">
        <f t="shared" si="0"/>
        <v>150</v>
      </c>
      <c r="G13" s="1">
        <f>(P13/100+(8000/O13)*0.001)*'Osnovni podaci'!C13</f>
        <v>10.6</v>
      </c>
      <c r="H13" s="1">
        <f>10*'Osnovni podaci'!D13*0.33/(1+0.01*D13)</f>
        <v>169.12427462956396</v>
      </c>
      <c r="I13" s="1">
        <f>'Osnovni podaci'!D13*(20+(D13*D13/240))*0.001+('Osnovni podaci'!C13-'Osnovni podaci'!D13)*(20+(D13*D13*'Osnovni podaci'!H13/10))*0.001</f>
        <v>13.809332883618076</v>
      </c>
      <c r="J13" s="1">
        <f t="shared" si="4"/>
        <v>2.5000285931923001</v>
      </c>
      <c r="K13" s="1">
        <f>J13/'Osnovni podaci'!F13+'Osnovni podaci'!I13</f>
        <v>3.1912101096380003</v>
      </c>
      <c r="L13" s="1">
        <f t="shared" si="5"/>
        <v>1.9777343981028941</v>
      </c>
      <c r="N13" s="4">
        <v>1000</v>
      </c>
      <c r="O13" s="4">
        <v>2000</v>
      </c>
      <c r="P13" s="5">
        <v>2.25</v>
      </c>
      <c r="Q13" s="4">
        <v>80</v>
      </c>
      <c r="R13" s="7">
        <v>150</v>
      </c>
    </row>
    <row r="14" spans="1:18">
      <c r="A14" s="1">
        <f t="shared" si="1"/>
        <v>60</v>
      </c>
      <c r="B14" s="1">
        <v>5</v>
      </c>
      <c r="C14" s="1">
        <f t="shared" si="2"/>
        <v>548.45075014720499</v>
      </c>
      <c r="D14" s="1">
        <f t="shared" si="3"/>
        <v>65.282536722818179</v>
      </c>
      <c r="E14" s="1">
        <f>(F14-(G14+I14))/(1.07*'Osnovni podaci'!C14)</f>
        <v>0.29094126146551641</v>
      </c>
      <c r="F14" s="1">
        <f t="shared" si="0"/>
        <v>150</v>
      </c>
      <c r="G14" s="1">
        <f>(P14/100+(8000/O14)*0.001)*'Osnovni podaci'!C14</f>
        <v>10.6</v>
      </c>
      <c r="H14" s="1">
        <f>10*'Osnovni podaci'!D14*0.33/(1+0.01*D14)</f>
        <v>163.71965566683014</v>
      </c>
      <c r="I14" s="1">
        <f>'Osnovni podaci'!D14*(20+(D14*D14/240))*0.001+('Osnovni podaci'!C14-'Osnovni podaci'!D14)*(20+(D14*D14*'Osnovni podaci'!H14/10))*0.001</f>
        <v>14.877140092758969</v>
      </c>
      <c r="J14" s="1">
        <f t="shared" si="4"/>
        <v>2.7201056967840911</v>
      </c>
      <c r="K14" s="1">
        <f>J14/'Osnovni podaci'!F14+'Osnovni podaci'!I14</f>
        <v>3.4501243491577545</v>
      </c>
      <c r="L14" s="1">
        <f t="shared" si="5"/>
        <v>2.1381950321772063</v>
      </c>
      <c r="N14" s="4">
        <v>1000</v>
      </c>
      <c r="O14" s="4">
        <v>2000</v>
      </c>
      <c r="P14" s="5">
        <v>2.25</v>
      </c>
      <c r="Q14" s="4">
        <v>80</v>
      </c>
      <c r="R14" s="7">
        <v>150</v>
      </c>
    </row>
    <row r="15" spans="1:18">
      <c r="A15" s="8">
        <f t="shared" si="1"/>
        <v>65</v>
      </c>
      <c r="B15" s="8">
        <v>5</v>
      </c>
      <c r="C15" s="8">
        <f t="shared" si="2"/>
        <v>642.75770580832693</v>
      </c>
      <c r="D15" s="8">
        <f t="shared" si="3"/>
        <v>70.519479429197474</v>
      </c>
      <c r="E15" s="8">
        <f>(F15-(G15+I15))/(1.07*'Osnovni podaci'!C15)</f>
        <v>0.28825990780750033</v>
      </c>
      <c r="F15" s="8">
        <f t="shared" si="0"/>
        <v>150</v>
      </c>
      <c r="G15" s="1">
        <f>(P15/100+(8000/O15)*0.001)*'Osnovni podaci'!C15</f>
        <v>10.6</v>
      </c>
      <c r="H15" s="1">
        <f>10*'Osnovni podaci'!D15*0.33/(1+0.01*D15)</f>
        <v>158.69154709234124</v>
      </c>
      <c r="I15" s="1">
        <f>'Osnovni podaci'!D15*(20+(D15*D15/240))*0.001+('Osnovni podaci'!C15-'Osnovni podaci'!D15)*(20+(D15*D15*'Osnovni podaci'!H15/10))*0.001</f>
        <v>16.024759458389866</v>
      </c>
      <c r="J15" s="1">
        <f t="shared" ref="J15" si="6">F15*(D15/3.6)/1000</f>
        <v>2.9383116428832277</v>
      </c>
      <c r="K15" s="1">
        <f>J15/'Osnovni podaci'!F15+'Osnovni podaci'!I15</f>
        <v>3.7068372269214445</v>
      </c>
      <c r="L15" s="1">
        <f t="shared" si="5"/>
        <v>2.2972913847664209</v>
      </c>
      <c r="N15" s="4">
        <v>1000</v>
      </c>
      <c r="O15" s="4">
        <v>2000</v>
      </c>
      <c r="P15" s="5">
        <v>2.25</v>
      </c>
      <c r="Q15" s="4">
        <v>80</v>
      </c>
      <c r="R15" s="7">
        <v>150</v>
      </c>
    </row>
    <row r="16" spans="1:18">
      <c r="A16" s="8">
        <f t="shared" si="1"/>
        <v>70</v>
      </c>
      <c r="B16" s="8">
        <v>5</v>
      </c>
      <c r="C16" s="8">
        <f t="shared" si="2"/>
        <v>744.30467608536151</v>
      </c>
      <c r="D16" s="8">
        <f t="shared" si="3"/>
        <v>75.70815776973248</v>
      </c>
      <c r="E16" s="8">
        <f>(F16-(G16+I16))/(1.07*'Osnovni podaci'!C16)</f>
        <v>0.28539931350068182</v>
      </c>
      <c r="F16" s="8">
        <f t="shared" si="0"/>
        <v>150</v>
      </c>
      <c r="G16" s="1">
        <f>(P16/100+(8000/O16)*0.001)*'Osnovni podaci'!C16</f>
        <v>10.6</v>
      </c>
      <c r="H16" s="1">
        <f>10*'Osnovni podaci'!D16*0.33/(1+0.01*D16)</f>
        <v>154.00537085741024</v>
      </c>
      <c r="I16" s="1">
        <f>'Osnovni podaci'!D16*(20+(D16*D16/240))*0.001+('Osnovni podaci'!C16-'Osnovni podaci'!D16)*(20+(D16*D16*'Osnovni podaci'!H16/10))*0.001</f>
        <v>17.249093821708179</v>
      </c>
      <c r="J16" s="1">
        <f t="shared" ref="J16" si="7">F16*(D16/3.6)/1000</f>
        <v>3.1545065737388533</v>
      </c>
      <c r="K16" s="1">
        <f>J16/'Osnovni podaci'!F16+'Osnovni podaci'!I16</f>
        <v>3.9611842043986512</v>
      </c>
      <c r="L16" s="1">
        <f t="shared" si="5"/>
        <v>2.454921484047861</v>
      </c>
      <c r="N16" s="4">
        <v>1000</v>
      </c>
      <c r="O16" s="4">
        <v>2000</v>
      </c>
      <c r="P16" s="5">
        <v>2.25</v>
      </c>
      <c r="Q16" s="4">
        <v>80</v>
      </c>
      <c r="R16" s="7">
        <v>150</v>
      </c>
    </row>
    <row r="17" spans="1:18">
      <c r="A17" s="8">
        <f>A16+B17</f>
        <v>74.177229379683439</v>
      </c>
      <c r="B17" s="1">
        <f>A26</f>
        <v>4.1772293796834434</v>
      </c>
      <c r="C17" s="8">
        <f t="shared" si="2"/>
        <v>834.64199432037685</v>
      </c>
      <c r="D17" s="8">
        <f t="shared" si="3"/>
        <v>80</v>
      </c>
      <c r="E17" s="1">
        <v>0</v>
      </c>
      <c r="F17" s="1">
        <f t="shared" ref="F17:F20" si="8">G17+I17</f>
        <v>28.927466666666668</v>
      </c>
      <c r="G17" s="1">
        <f>(P17/100+(8000/O17)*0.001)*'Osnovni podaci'!C17</f>
        <v>10.6</v>
      </c>
      <c r="H17" s="1">
        <f>10*'Osnovni podaci'!D17*0.33/(1+0.01*D17)</f>
        <v>150.33333333333334</v>
      </c>
      <c r="I17" s="1">
        <f>'Osnovni podaci'!D17*(20+(D17*D17/240))*0.001+('Osnovni podaci'!C17-'Osnovni podaci'!D17)*(20+(D17*D17*'Osnovni podaci'!H17/10))*0.001</f>
        <v>18.32746666666667</v>
      </c>
      <c r="J17" s="1">
        <f t="shared" ref="J17" si="9">F17*(D17/3.6)/1000</f>
        <v>0.64283259259259262</v>
      </c>
      <c r="K17" s="1">
        <f>J17/'Osnovni podaci'!F17+'Osnovni podaci'!I17</f>
        <v>1.0062736383442266</v>
      </c>
      <c r="L17" s="1">
        <f t="shared" si="5"/>
        <v>0.62363239024812533</v>
      </c>
      <c r="N17" s="4">
        <v>1000</v>
      </c>
      <c r="O17" s="4">
        <v>2000</v>
      </c>
      <c r="P17" s="5">
        <v>2.25</v>
      </c>
      <c r="Q17" s="4">
        <v>80</v>
      </c>
      <c r="R17" s="7">
        <v>150</v>
      </c>
    </row>
    <row r="18" spans="1:18">
      <c r="A18" s="8">
        <v>75</v>
      </c>
      <c r="B18" s="1">
        <f>A18-A17</f>
        <v>0.82277062031656101</v>
      </c>
      <c r="C18" s="1">
        <f>C17+(D17/3.6)*B18+(E17*B18*B18/2)</f>
        <v>852.92578588296715</v>
      </c>
      <c r="D18" s="1">
        <v>80</v>
      </c>
      <c r="E18" s="1">
        <v>0</v>
      </c>
      <c r="F18" s="1">
        <f t="shared" si="8"/>
        <v>28.927466666666668</v>
      </c>
      <c r="G18" s="1">
        <f>(P18/100+(8000/O18)*0.001)*'Osnovni podaci'!C18</f>
        <v>10.6</v>
      </c>
      <c r="H18" s="1">
        <f>10*'Osnovni podaci'!D18*0.33/(1+0.01*D18)</f>
        <v>150.33333333333334</v>
      </c>
      <c r="I18" s="1">
        <f>'Osnovni podaci'!D18*(20+(D18*D18/240))*0.001+('Osnovni podaci'!C18-'Osnovni podaci'!D18)*(20+(D18*D18*'Osnovni podaci'!H18/10))*0.001</f>
        <v>18.32746666666667</v>
      </c>
      <c r="J18" s="1">
        <f t="shared" ref="J18" si="10">F18*(D18/3.6)/1000</f>
        <v>0.64283259259259262</v>
      </c>
      <c r="K18" s="1">
        <f>J18/'Osnovni podaci'!F18+'Osnovni podaci'!I18</f>
        <v>1.0062736383442266</v>
      </c>
      <c r="L18" s="1">
        <f>K18*TAN(ACOS(0.85))</f>
        <v>0.62363239024812533</v>
      </c>
      <c r="N18" s="4">
        <v>1000</v>
      </c>
      <c r="O18" s="4">
        <v>2000</v>
      </c>
      <c r="P18" s="5">
        <v>2.25</v>
      </c>
      <c r="Q18" s="4">
        <v>80</v>
      </c>
      <c r="R18" s="7">
        <v>150</v>
      </c>
    </row>
    <row r="19" spans="1:18" s="8" customFormat="1">
      <c r="A19" s="8">
        <v>80</v>
      </c>
      <c r="B19" s="8">
        <v>5</v>
      </c>
      <c r="C19" s="8">
        <f>C18+(D18/3.6)*B19+(E18*B19*B19/2)</f>
        <v>964.03689699407823</v>
      </c>
      <c r="D19" s="8">
        <v>80</v>
      </c>
      <c r="E19" s="8">
        <v>0</v>
      </c>
      <c r="F19" s="8">
        <f>G19+I19</f>
        <v>28.927466666666668</v>
      </c>
      <c r="G19" s="8">
        <f>(P19/100+(8000/O19)*0.001)*'Osnovni podaci'!C19</f>
        <v>10.6</v>
      </c>
      <c r="H19" s="8">
        <f>10*'Osnovni podaci'!D19*0.33/(1+0.01*D19)</f>
        <v>150.33333333333334</v>
      </c>
      <c r="I19" s="8">
        <f>'Osnovni podaci'!D19*(20+(D19*D19/240))*0.001+('Osnovni podaci'!C19-'Osnovni podaci'!D19)*(20+(D19*D19*'Osnovni podaci'!H19/10))*0.001</f>
        <v>18.32746666666667</v>
      </c>
      <c r="J19" s="8">
        <f>F19*(D19/3.6)/1000</f>
        <v>0.64283259259259262</v>
      </c>
      <c r="K19" s="8">
        <f>J19/'Osnovni podaci'!F19+'Osnovni podaci'!I19</f>
        <v>1.0062736383442266</v>
      </c>
      <c r="L19" s="8">
        <f>K19*TAN(ACOS(0.85))</f>
        <v>0.62363239024812533</v>
      </c>
      <c r="N19" s="4">
        <v>1000</v>
      </c>
      <c r="O19" s="4">
        <v>2000</v>
      </c>
      <c r="P19" s="5">
        <v>2.25</v>
      </c>
      <c r="Q19" s="4">
        <v>80</v>
      </c>
      <c r="R19" s="7">
        <v>150</v>
      </c>
    </row>
    <row r="20" spans="1:18">
      <c r="A20" s="1">
        <f>A19+C30</f>
        <v>81.61833963526648</v>
      </c>
      <c r="B20" s="1">
        <f>C30</f>
        <v>1.6183396352664796</v>
      </c>
      <c r="C20" s="8">
        <f>C19+(D19/3.6)*B20+(E19*B20*B20/2)</f>
        <v>1000</v>
      </c>
      <c r="D20" s="1">
        <v>80</v>
      </c>
      <c r="E20" s="1">
        <v>0</v>
      </c>
      <c r="F20" s="1">
        <f t="shared" si="8"/>
        <v>28.927466666666668</v>
      </c>
      <c r="G20" s="1">
        <f>(P20/100+(8000/O20)*0.001)*'Osnovni podaci'!C19</f>
        <v>10.6</v>
      </c>
      <c r="H20" s="1">
        <f>10*'Osnovni podaci'!D19*0.33/(1+0.01*D20)</f>
        <v>150.33333333333334</v>
      </c>
      <c r="I20" s="1">
        <f>'Osnovni podaci'!D19*(20+(D20*D20/240))*0.001+('Osnovni podaci'!C19-'Osnovni podaci'!D19)*(20+(D20*D20*'Osnovni podaci'!H19/10))*0.001</f>
        <v>18.32746666666667</v>
      </c>
      <c r="J20" s="1">
        <f t="shared" ref="J20" si="11">F20*(D20/3.6)/1000</f>
        <v>0.64283259259259262</v>
      </c>
      <c r="K20" s="1">
        <f>J20/'Osnovni podaci'!F19+'Osnovni podaci'!I19</f>
        <v>1.0062736383442266</v>
      </c>
      <c r="L20" s="1">
        <f t="shared" si="5"/>
        <v>0.62363239024812533</v>
      </c>
      <c r="N20" s="4">
        <v>1000</v>
      </c>
      <c r="O20" s="4">
        <v>2000</v>
      </c>
      <c r="P20" s="5">
        <v>2.25</v>
      </c>
      <c r="Q20" s="4">
        <v>80</v>
      </c>
      <c r="R20" s="7">
        <v>150</v>
      </c>
    </row>
    <row r="21" spans="1:18" s="8" customFormat="1">
      <c r="N21" s="4">
        <v>1000</v>
      </c>
      <c r="O21" s="4">
        <v>2000</v>
      </c>
      <c r="P21" s="5">
        <v>2.25</v>
      </c>
      <c r="Q21" s="4">
        <v>80</v>
      </c>
      <c r="R21" s="7">
        <v>150</v>
      </c>
    </row>
    <row r="22" spans="1:18" s="8" customFormat="1">
      <c r="N22" s="4">
        <v>1000</v>
      </c>
      <c r="O22" s="4">
        <v>2000</v>
      </c>
      <c r="P22" s="5">
        <v>2.25</v>
      </c>
      <c r="Q22" s="4">
        <v>80</v>
      </c>
      <c r="R22" s="7">
        <v>150</v>
      </c>
    </row>
    <row r="23" spans="1:18">
      <c r="N23" s="4">
        <v>1000</v>
      </c>
      <c r="O23" s="4">
        <v>2000</v>
      </c>
      <c r="P23" s="5">
        <v>2.25</v>
      </c>
      <c r="Q23" s="4">
        <v>80</v>
      </c>
      <c r="R23" s="7">
        <v>150</v>
      </c>
    </row>
    <row r="24" spans="1:18">
      <c r="A24" s="14" t="s">
        <v>32</v>
      </c>
      <c r="B24" s="14"/>
      <c r="N24" s="4">
        <v>1000</v>
      </c>
      <c r="O24" s="4">
        <v>2000</v>
      </c>
      <c r="P24" s="5">
        <v>2.25</v>
      </c>
      <c r="Q24" s="4">
        <v>80</v>
      </c>
      <c r="R24" s="7">
        <v>150</v>
      </c>
    </row>
    <row r="25" spans="1:18">
      <c r="A25" s="14" t="s">
        <v>31</v>
      </c>
      <c r="B25" s="14"/>
      <c r="N25" s="4">
        <v>1000</v>
      </c>
      <c r="O25" s="4">
        <v>2000</v>
      </c>
      <c r="P25" s="5">
        <v>2.25</v>
      </c>
      <c r="Q25" s="4">
        <v>80</v>
      </c>
      <c r="R25" s="7">
        <v>150</v>
      </c>
    </row>
    <row r="26" spans="1:18">
      <c r="A26" s="14">
        <f>(Q2/3.6-D16/3.6)/E16</f>
        <v>4.1772293796834434</v>
      </c>
      <c r="B26" s="14"/>
      <c r="N26" s="4">
        <v>1000</v>
      </c>
      <c r="O26" s="4">
        <v>2000</v>
      </c>
      <c r="P26" s="5">
        <v>2.25</v>
      </c>
      <c r="Q26" s="4">
        <v>80</v>
      </c>
      <c r="R26" s="7">
        <v>150</v>
      </c>
    </row>
    <row r="27" spans="1:18">
      <c r="N27" s="4">
        <v>1000</v>
      </c>
      <c r="O27" s="4">
        <v>2000</v>
      </c>
      <c r="P27" s="5">
        <v>2.25</v>
      </c>
      <c r="Q27" s="4">
        <v>80</v>
      </c>
      <c r="R27" s="2"/>
    </row>
    <row r="28" spans="1:18">
      <c r="A28" s="14" t="s">
        <v>27</v>
      </c>
      <c r="B28" s="14"/>
      <c r="C28" s="14"/>
      <c r="D28" s="6"/>
      <c r="E28" s="6"/>
      <c r="F28" s="6"/>
      <c r="N28" s="4">
        <v>1000</v>
      </c>
      <c r="O28" s="4">
        <v>2000</v>
      </c>
      <c r="P28" s="5">
        <v>2.25</v>
      </c>
      <c r="Q28" s="4">
        <v>80</v>
      </c>
      <c r="R28" s="7"/>
    </row>
    <row r="29" spans="1:18">
      <c r="A29" s="14" t="s">
        <v>28</v>
      </c>
      <c r="B29" s="14"/>
      <c r="C29" s="1" t="s">
        <v>29</v>
      </c>
      <c r="N29" s="4">
        <v>1000</v>
      </c>
      <c r="O29" s="4">
        <v>2000</v>
      </c>
      <c r="P29" s="5">
        <v>2.25</v>
      </c>
      <c r="Q29" s="4">
        <v>80</v>
      </c>
    </row>
    <row r="30" spans="1:18">
      <c r="A30" s="14">
        <f>N2-C19</f>
        <v>35.963103005921766</v>
      </c>
      <c r="B30" s="14"/>
      <c r="C30" s="1">
        <f>A30/(D19/3.6)</f>
        <v>1.6183396352664796</v>
      </c>
      <c r="N30" s="4">
        <v>1000</v>
      </c>
      <c r="O30" s="4">
        <v>2000</v>
      </c>
      <c r="P30" s="5">
        <v>2.25</v>
      </c>
      <c r="Q30" s="4">
        <v>80</v>
      </c>
    </row>
    <row r="31" spans="1:18">
      <c r="N31" s="4">
        <v>1000</v>
      </c>
      <c r="O31" s="4">
        <v>2000</v>
      </c>
      <c r="P31" s="5">
        <v>2.25</v>
      </c>
      <c r="Q31" s="4">
        <v>80</v>
      </c>
    </row>
    <row r="32" spans="1:18">
      <c r="N32" s="4">
        <v>1000</v>
      </c>
      <c r="O32" s="4">
        <v>2000</v>
      </c>
      <c r="P32" s="5">
        <v>2.25</v>
      </c>
      <c r="Q32" s="4">
        <v>80</v>
      </c>
    </row>
    <row r="33" spans="14:17">
      <c r="N33" s="4">
        <v>1000</v>
      </c>
      <c r="O33" s="4">
        <v>2000</v>
      </c>
      <c r="P33" s="5">
        <v>2.25</v>
      </c>
      <c r="Q33" s="4">
        <v>80</v>
      </c>
    </row>
    <row r="34" spans="14:17">
      <c r="N34" s="4">
        <v>1000</v>
      </c>
      <c r="O34" s="4">
        <v>2000</v>
      </c>
      <c r="P34" s="5">
        <v>2.25</v>
      </c>
      <c r="Q34" s="4">
        <v>80</v>
      </c>
    </row>
    <row r="35" spans="14:17">
      <c r="N35" s="4">
        <v>1000</v>
      </c>
      <c r="O35" s="4">
        <v>2000</v>
      </c>
      <c r="P35" s="5">
        <v>2.25</v>
      </c>
      <c r="Q35" s="4">
        <v>80</v>
      </c>
    </row>
    <row r="36" spans="14:17">
      <c r="N36" s="4">
        <v>1000</v>
      </c>
      <c r="O36" s="4">
        <v>2000</v>
      </c>
      <c r="P36" s="5">
        <v>2.25</v>
      </c>
      <c r="Q36" s="4">
        <v>80</v>
      </c>
    </row>
    <row r="37" spans="14:17">
      <c r="N37" s="4">
        <v>1000</v>
      </c>
      <c r="O37" s="4">
        <v>2000</v>
      </c>
      <c r="P37" s="5">
        <v>2.25</v>
      </c>
      <c r="Q37" s="4">
        <v>80</v>
      </c>
    </row>
    <row r="38" spans="14:17">
      <c r="N38" s="4">
        <v>1000</v>
      </c>
      <c r="O38" s="4">
        <v>2000</v>
      </c>
      <c r="P38" s="5">
        <v>2.25</v>
      </c>
      <c r="Q38" s="4">
        <v>80</v>
      </c>
    </row>
    <row r="39" spans="14:17">
      <c r="N39" s="4">
        <v>1000</v>
      </c>
      <c r="O39" s="4">
        <v>2000</v>
      </c>
      <c r="P39" s="5">
        <v>2.25</v>
      </c>
      <c r="Q39" s="4">
        <v>80</v>
      </c>
    </row>
    <row r="40" spans="14:17">
      <c r="N40" s="4">
        <v>1000</v>
      </c>
      <c r="O40" s="4">
        <v>2000</v>
      </c>
      <c r="P40" s="5">
        <v>2.25</v>
      </c>
      <c r="Q40" s="4">
        <v>80</v>
      </c>
    </row>
    <row r="41" spans="14:17">
      <c r="N41" s="4">
        <v>1000</v>
      </c>
      <c r="O41" s="4">
        <v>2000</v>
      </c>
      <c r="P41" s="5">
        <v>2.25</v>
      </c>
      <c r="Q41" s="4">
        <v>80</v>
      </c>
    </row>
    <row r="42" spans="14:17">
      <c r="N42" s="4">
        <v>1000</v>
      </c>
      <c r="O42" s="4">
        <v>2000</v>
      </c>
      <c r="P42" s="5">
        <v>2.25</v>
      </c>
      <c r="Q42" s="4">
        <v>80</v>
      </c>
    </row>
    <row r="43" spans="14:17">
      <c r="N43" s="4">
        <v>1000</v>
      </c>
      <c r="O43" s="4">
        <v>2000</v>
      </c>
      <c r="P43" s="5">
        <v>2.25</v>
      </c>
      <c r="Q43" s="4">
        <v>80</v>
      </c>
    </row>
    <row r="44" spans="14:17">
      <c r="N44" s="4">
        <v>1000</v>
      </c>
      <c r="O44" s="4">
        <v>2000</v>
      </c>
      <c r="P44" s="5">
        <v>2.25</v>
      </c>
      <c r="Q44" s="4">
        <v>80</v>
      </c>
    </row>
    <row r="45" spans="14:17">
      <c r="N45" s="4">
        <v>1000</v>
      </c>
      <c r="O45" s="4">
        <v>2000</v>
      </c>
      <c r="P45" s="5">
        <v>2.25</v>
      </c>
      <c r="Q45" s="4">
        <v>80</v>
      </c>
    </row>
    <row r="46" spans="14:17">
      <c r="N46" s="4">
        <v>1000</v>
      </c>
      <c r="O46" s="4">
        <v>2000</v>
      </c>
      <c r="P46" s="5">
        <v>2.25</v>
      </c>
      <c r="Q46" s="4">
        <v>80</v>
      </c>
    </row>
    <row r="47" spans="14:17">
      <c r="N47" s="4">
        <v>1000</v>
      </c>
      <c r="O47" s="4">
        <v>2000</v>
      </c>
      <c r="P47" s="5">
        <v>2.25</v>
      </c>
      <c r="Q47" s="4">
        <v>80</v>
      </c>
    </row>
    <row r="48" spans="14:17">
      <c r="N48" s="4">
        <v>1000</v>
      </c>
      <c r="O48" s="4">
        <v>2000</v>
      </c>
      <c r="P48" s="5">
        <v>2.25</v>
      </c>
      <c r="Q48" s="4">
        <v>80</v>
      </c>
    </row>
    <row r="49" spans="14:17">
      <c r="N49" s="4">
        <v>1000</v>
      </c>
      <c r="O49" s="4">
        <v>2000</v>
      </c>
      <c r="P49" s="5">
        <v>2.25</v>
      </c>
      <c r="Q49" s="4">
        <v>80</v>
      </c>
    </row>
    <row r="50" spans="14:17">
      <c r="N50" s="4">
        <v>1000</v>
      </c>
      <c r="O50" s="4">
        <v>2000</v>
      </c>
      <c r="P50" s="5">
        <v>2.25</v>
      </c>
      <c r="Q50" s="4">
        <v>80</v>
      </c>
    </row>
  </sheetData>
  <mergeCells count="6">
    <mergeCell ref="A28:C28"/>
    <mergeCell ref="A29:B29"/>
    <mergeCell ref="A30:B30"/>
    <mergeCell ref="A24:B24"/>
    <mergeCell ref="A25:B25"/>
    <mergeCell ref="A26:B2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F9" sqref="F9"/>
    </sheetView>
  </sheetViews>
  <sheetFormatPr defaultRowHeight="15"/>
  <cols>
    <col min="1" max="1" width="10" customWidth="1"/>
    <col min="2" max="6" width="12" bestFit="1" customWidth="1"/>
    <col min="7" max="7" width="7.85546875" bestFit="1" customWidth="1"/>
    <col min="8" max="12" width="12" bestFit="1" customWidth="1"/>
    <col min="14" max="14" width="14.42578125" bestFit="1" customWidth="1"/>
    <col min="15" max="15" width="14.140625" bestFit="1" customWidth="1"/>
    <col min="16" max="16" width="6.5703125" bestFit="1" customWidth="1"/>
    <col min="17" max="17" width="15.28515625" bestFit="1" customWidth="1"/>
    <col min="18" max="18" width="6.5703125" bestFit="1" customWidth="1"/>
  </cols>
  <sheetData>
    <row r="1" spans="1:18">
      <c r="A1" s="1" t="s">
        <v>8</v>
      </c>
      <c r="B1" s="1" t="s">
        <v>9</v>
      </c>
      <c r="C1" s="1" t="s">
        <v>22</v>
      </c>
      <c r="D1" s="1" t="s">
        <v>21</v>
      </c>
      <c r="E1" s="1" t="s">
        <v>23</v>
      </c>
      <c r="F1" s="1" t="s">
        <v>24</v>
      </c>
      <c r="G1" s="1" t="s">
        <v>11</v>
      </c>
      <c r="H1" s="1" t="s">
        <v>17</v>
      </c>
      <c r="I1" s="1" t="s">
        <v>18</v>
      </c>
      <c r="J1" s="1" t="s">
        <v>25</v>
      </c>
      <c r="K1" s="1" t="s">
        <v>26</v>
      </c>
      <c r="L1" s="1" t="s">
        <v>20</v>
      </c>
      <c r="M1" s="1"/>
      <c r="N1" s="1" t="s">
        <v>4</v>
      </c>
      <c r="O1" s="1" t="s">
        <v>5</v>
      </c>
      <c r="P1" s="1" t="s">
        <v>6</v>
      </c>
      <c r="Q1" s="1" t="s">
        <v>7</v>
      </c>
      <c r="R1" s="1" t="s">
        <v>10</v>
      </c>
    </row>
    <row r="2" spans="1:18">
      <c r="A2" s="1">
        <f>'Dionica 1'!A20</f>
        <v>81.61833963526648</v>
      </c>
      <c r="B2" s="1">
        <f>'Dionica 1'!B20</f>
        <v>1.6183396352664796</v>
      </c>
      <c r="C2" s="1">
        <f>'Dionica 1'!C20</f>
        <v>1000</v>
      </c>
      <c r="D2" s="1">
        <f>'Dionica 1'!D20</f>
        <v>80</v>
      </c>
      <c r="E2" s="1">
        <f>(F2-(G2+I2))/(1.07*'Osnovni podaci'!C2)</f>
        <v>0.29460649755229196</v>
      </c>
      <c r="F2" s="1">
        <f t="shared" ref="F2:F4" si="0">IF(R2&lt;=H2,R2,H2)</f>
        <v>150.33333333333334</v>
      </c>
      <c r="G2" s="10">
        <f>(P2/100+(8000/O2)*0.001)*'Osnovni podaci'!C2</f>
        <v>5.9142857142857146</v>
      </c>
      <c r="H2" s="1">
        <f>'Dionica 1'!H20</f>
        <v>150.33333333333334</v>
      </c>
      <c r="I2" s="1">
        <f>'Dionica 1'!I20</f>
        <v>18.32746666666667</v>
      </c>
      <c r="J2" s="12">
        <f>F2*(D2/3.6)/1000</f>
        <v>3.340740740740741</v>
      </c>
      <c r="K2" s="12">
        <f>J2/'Osnovni podaci'!F2+'Osnovni podaci'!I2</f>
        <v>4.1802832244008723</v>
      </c>
      <c r="L2" s="12">
        <f t="shared" ref="L2:L10" si="1">K2*TAN(ACOS(0.85))</f>
        <v>2.5907068612439059</v>
      </c>
      <c r="M2" s="1"/>
      <c r="N2" s="1">
        <v>800</v>
      </c>
      <c r="O2" s="1">
        <v>3500</v>
      </c>
      <c r="P2" s="2">
        <v>1.25</v>
      </c>
      <c r="Q2" s="1">
        <v>90</v>
      </c>
      <c r="R2" s="2">
        <f>H2</f>
        <v>150.33333333333334</v>
      </c>
    </row>
    <row r="3" spans="1:18">
      <c r="A3" s="1">
        <v>85</v>
      </c>
      <c r="B3" s="1">
        <f>A3-A2</f>
        <v>3.3816603647335199</v>
      </c>
      <c r="C3" s="1">
        <f>C2+(D2/3.6)*B3+(E2*B3*B3/2)</f>
        <v>1076.8325130879218</v>
      </c>
      <c r="D3" s="1">
        <f>D2+(E2*B3)*3.6</f>
        <v>83.58653281747597</v>
      </c>
      <c r="E3" s="1">
        <f>(F3-(G3+I3))/(1.07*'Osnovni podaci'!C3)</f>
        <v>0.28553254266866163</v>
      </c>
      <c r="F3" s="1">
        <f t="shared" si="0"/>
        <v>147.3964325417235</v>
      </c>
      <c r="G3" s="1">
        <f>(P3/100+(8000/O3)*0.001)*'Osnovni podaci'!C3</f>
        <v>5.9142857142857146</v>
      </c>
      <c r="H3" s="1">
        <f>10*'Osnovni podaci'!D3*0.33/(1+0.01*D3)</f>
        <v>147.3964325417235</v>
      </c>
      <c r="I3" s="1">
        <f>'Osnovni podaci'!D3*(20+(D3*D3/240))*0.001+('Osnovni podaci'!C3-'Osnovni podaci'!D3)*(20+(D3*D3*'Osnovni podaci'!H3/10))*0.001</f>
        <v>19.274218565250621</v>
      </c>
      <c r="J3" s="1">
        <f>F3*(D3/3.6)/1000</f>
        <v>3.422321318285459</v>
      </c>
      <c r="K3" s="1">
        <f>J3/'Osnovni podaci'!F3+'Osnovni podaci'!I3</f>
        <v>4.2762603744534813</v>
      </c>
      <c r="L3" s="1">
        <f t="shared" si="1"/>
        <v>2.6501881566050751</v>
      </c>
      <c r="M3" s="1"/>
      <c r="N3" s="7">
        <f t="shared" ref="N3:Q3" si="2">N2</f>
        <v>800</v>
      </c>
      <c r="O3" s="7">
        <f t="shared" si="2"/>
        <v>3500</v>
      </c>
      <c r="P3" s="7">
        <f t="shared" si="2"/>
        <v>1.25</v>
      </c>
      <c r="Q3" s="7">
        <f t="shared" si="2"/>
        <v>90</v>
      </c>
      <c r="R3" s="7">
        <f>R2</f>
        <v>150.33333333333334</v>
      </c>
    </row>
    <row r="4" spans="1:18">
      <c r="A4" s="8">
        <v>90</v>
      </c>
      <c r="B4" s="1">
        <v>5</v>
      </c>
      <c r="C4" s="1">
        <f t="shared" ref="C4:C9" si="3">C3+(D3/3.6)*B4+(E3*B4*B4/2)</f>
        <v>1196.4940765622189</v>
      </c>
      <c r="D4" s="1">
        <f t="shared" ref="D4:D10" si="4">D3+(E3*B4)*3.6</f>
        <v>88.726118585511884</v>
      </c>
      <c r="E4" s="1">
        <f>(F4-(G4+I4))/(1.07*'Osnovni podaci'!C4)</f>
        <v>0.27281492288621634</v>
      </c>
      <c r="F4" s="1">
        <f t="shared" si="0"/>
        <v>143.38237973001657</v>
      </c>
      <c r="G4" s="1">
        <f>(P4/100+(8000/O4)*0.001)*'Osnovni podaci'!C4</f>
        <v>5.9142857142857146</v>
      </c>
      <c r="H4" s="1">
        <f>10*'Osnovni podaci'!D4*0.33/(1+0.01*D4)</f>
        <v>143.38237973001657</v>
      </c>
      <c r="I4" s="1">
        <f>'Osnovni podaci'!D4*(20+(D4*D4/240))*0.001+('Osnovni podaci'!C4-'Osnovni podaci'!D4)*(20+(D4*D4*'Osnovni podaci'!H4/10))*0.001</f>
        <v>20.703307020430266</v>
      </c>
      <c r="J4" s="1">
        <f t="shared" ref="J4:J9" si="5">F4*(D4/3.6)/1000</f>
        <v>3.5338227852773181</v>
      </c>
      <c r="K4" s="1">
        <f>J4/'Osnovni podaci'!F4+'Osnovni podaci'!I4</f>
        <v>4.4074385709144916</v>
      </c>
      <c r="L4" s="1">
        <f t="shared" si="1"/>
        <v>2.7314851011837162</v>
      </c>
      <c r="M4" s="1"/>
      <c r="N4" s="7">
        <f t="shared" ref="N4:N27" si="6">N3</f>
        <v>800</v>
      </c>
      <c r="O4" s="7">
        <f t="shared" ref="O4:O27" si="7">O3</f>
        <v>3500</v>
      </c>
      <c r="P4" s="7">
        <f t="shared" ref="P4:P27" si="8">P3</f>
        <v>1.25</v>
      </c>
      <c r="Q4" s="7">
        <f t="shared" ref="Q4:Q27" si="9">Q3</f>
        <v>90</v>
      </c>
      <c r="R4" s="7">
        <f t="shared" ref="R4:R27" si="10">R3</f>
        <v>150.33333333333334</v>
      </c>
    </row>
    <row r="5" spans="1:18">
      <c r="A5" s="1">
        <f>A4+B5</f>
        <v>91.297054958450744</v>
      </c>
      <c r="B5" s="1">
        <f>A14</f>
        <v>1.2970549584507369</v>
      </c>
      <c r="C5" s="1">
        <f t="shared" si="3"/>
        <v>1228.6909652172178</v>
      </c>
      <c r="D5" s="1">
        <f t="shared" si="4"/>
        <v>90</v>
      </c>
      <c r="E5" s="1">
        <f>(F5-(G5+I5))/(1.07*'Osnovni podaci'!C5)</f>
        <v>0</v>
      </c>
      <c r="F5" s="1">
        <f>G5+I5</f>
        <v>26.984985714285713</v>
      </c>
      <c r="G5" s="1">
        <f>(P5/100+(8000/O5)*0.001)*'Osnovni podaci'!C5</f>
        <v>5.9142857142857146</v>
      </c>
      <c r="H5" s="1">
        <f>10*'Osnovni podaci'!D5*0.33/(1+0.01*D5)</f>
        <v>142.42105263157896</v>
      </c>
      <c r="I5" s="1">
        <f>'Osnovni podaci'!D5*(20+(D5*D5/240))*0.001+('Osnovni podaci'!C5-'Osnovni podaci'!D5)*(20+(D5*D5*'Osnovni podaci'!H5/10))*0.001</f>
        <v>21.070699999999999</v>
      </c>
      <c r="J5" s="1">
        <f t="shared" si="5"/>
        <v>0.67462464285714285</v>
      </c>
      <c r="K5" s="1">
        <f>J5/'Osnovni podaci'!F5+'Osnovni podaci'!I5</f>
        <v>1.0436760504201681</v>
      </c>
      <c r="L5" s="1">
        <f t="shared" si="1"/>
        <v>0.64681232337480987</v>
      </c>
      <c r="M5" s="1"/>
      <c r="N5" s="7">
        <f t="shared" si="6"/>
        <v>800</v>
      </c>
      <c r="O5" s="7">
        <f t="shared" si="7"/>
        <v>3500</v>
      </c>
      <c r="P5" s="7">
        <f t="shared" si="8"/>
        <v>1.25</v>
      </c>
      <c r="Q5" s="7">
        <f t="shared" si="9"/>
        <v>90</v>
      </c>
      <c r="R5" s="7">
        <f t="shared" si="10"/>
        <v>150.33333333333334</v>
      </c>
    </row>
    <row r="6" spans="1:18">
      <c r="A6" s="1">
        <v>95</v>
      </c>
      <c r="B6" s="1">
        <f>A6-A5</f>
        <v>3.7029450415492562</v>
      </c>
      <c r="C6" s="1">
        <f t="shared" si="3"/>
        <v>1321.2645912559492</v>
      </c>
      <c r="D6" s="1">
        <f t="shared" si="4"/>
        <v>90</v>
      </c>
      <c r="E6" s="1">
        <f>(F6-(G6+I6))/(1.07*'Osnovni podaci'!C6)</f>
        <v>0</v>
      </c>
      <c r="F6" s="1">
        <f t="shared" ref="F6:F10" si="11">G6+I6</f>
        <v>26.984985714285713</v>
      </c>
      <c r="G6" s="1">
        <f>(P6/100+(8000/O6)*0.001)*'Osnovni podaci'!C6</f>
        <v>5.9142857142857146</v>
      </c>
      <c r="H6" s="1">
        <f>10*'Osnovni podaci'!D6*0.33/(1+0.01*D6)</f>
        <v>142.42105263157896</v>
      </c>
      <c r="I6" s="1">
        <f>'Osnovni podaci'!D6*(20+(D6*D6/240))*0.001+('Osnovni podaci'!C6-'Osnovni podaci'!D6)*(20+(D6*D6*'Osnovni podaci'!H6/10))*0.001</f>
        <v>21.070699999999999</v>
      </c>
      <c r="J6" s="1">
        <f t="shared" si="5"/>
        <v>0.67462464285714285</v>
      </c>
      <c r="K6" s="1">
        <f>J6/'Osnovni podaci'!F6+'Osnovni podaci'!I6</f>
        <v>1.0436760504201681</v>
      </c>
      <c r="L6" s="1">
        <f t="shared" si="1"/>
        <v>0.64681232337480987</v>
      </c>
      <c r="M6" s="1"/>
      <c r="N6" s="7">
        <f t="shared" si="6"/>
        <v>800</v>
      </c>
      <c r="O6" s="7">
        <f t="shared" si="7"/>
        <v>3500</v>
      </c>
      <c r="P6" s="7">
        <f t="shared" si="8"/>
        <v>1.25</v>
      </c>
      <c r="Q6" s="7">
        <f t="shared" si="9"/>
        <v>90</v>
      </c>
      <c r="R6" s="7">
        <f t="shared" si="10"/>
        <v>150.33333333333334</v>
      </c>
    </row>
    <row r="7" spans="1:18">
      <c r="A7" s="1">
        <f>A6+B7</f>
        <v>100</v>
      </c>
      <c r="B7" s="1">
        <v>5</v>
      </c>
      <c r="C7" s="1">
        <f t="shared" si="3"/>
        <v>1446.2645912559492</v>
      </c>
      <c r="D7" s="1">
        <f t="shared" si="4"/>
        <v>90</v>
      </c>
      <c r="E7" s="1">
        <f>(F7-(G7+I7))/(1.07*'Osnovni podaci'!C7)</f>
        <v>0</v>
      </c>
      <c r="F7" s="1">
        <f t="shared" si="11"/>
        <v>26.984985714285713</v>
      </c>
      <c r="G7" s="1">
        <f>(P7/100+(8000/O7)*0.001)*'Osnovni podaci'!C7</f>
        <v>5.9142857142857146</v>
      </c>
      <c r="H7" s="1">
        <f>10*'Osnovni podaci'!D7*0.33/(1+0.01*D7)</f>
        <v>142.42105263157896</v>
      </c>
      <c r="I7" s="1">
        <f>'Osnovni podaci'!D7*(20+(D7*D7/240))*0.001+('Osnovni podaci'!C7-'Osnovni podaci'!D7)*(20+(D7*D7*'Osnovni podaci'!H7/10))*0.001</f>
        <v>21.070699999999999</v>
      </c>
      <c r="J7" s="1">
        <f t="shared" si="5"/>
        <v>0.67462464285714285</v>
      </c>
      <c r="K7" s="1">
        <f>J7/'Osnovni podaci'!F7+'Osnovni podaci'!I7</f>
        <v>1.0436760504201681</v>
      </c>
      <c r="L7" s="1">
        <f t="shared" si="1"/>
        <v>0.64681232337480987</v>
      </c>
      <c r="M7" s="1"/>
      <c r="N7" s="7">
        <f t="shared" si="6"/>
        <v>800</v>
      </c>
      <c r="O7" s="7">
        <f t="shared" si="7"/>
        <v>3500</v>
      </c>
      <c r="P7" s="7">
        <f t="shared" si="8"/>
        <v>1.25</v>
      </c>
      <c r="Q7" s="7">
        <f t="shared" si="9"/>
        <v>90</v>
      </c>
      <c r="R7" s="7">
        <f t="shared" si="10"/>
        <v>150.33333333333334</v>
      </c>
    </row>
    <row r="8" spans="1:18">
      <c r="A8" s="1">
        <f t="shared" ref="A8:A9" si="12">A7+B7</f>
        <v>105</v>
      </c>
      <c r="B8" s="1">
        <v>5</v>
      </c>
      <c r="C8" s="1">
        <f t="shared" si="3"/>
        <v>1571.2645912559492</v>
      </c>
      <c r="D8" s="1">
        <f t="shared" si="4"/>
        <v>90</v>
      </c>
      <c r="E8" s="1">
        <f>(F8-(G8+I8))/(1.07*'Osnovni podaci'!C8)</f>
        <v>0</v>
      </c>
      <c r="F8" s="1">
        <f t="shared" si="11"/>
        <v>26.984985714285713</v>
      </c>
      <c r="G8" s="1">
        <f>(P8/100+(8000/O8)*0.001)*'Osnovni podaci'!C8</f>
        <v>5.9142857142857146</v>
      </c>
      <c r="H8" s="1">
        <f>10*'Osnovni podaci'!D8*0.33/(1+0.01*D8)</f>
        <v>142.42105263157896</v>
      </c>
      <c r="I8" s="1">
        <f>'Osnovni podaci'!D8*(20+(D8*D8/240))*0.001+('Osnovni podaci'!C8-'Osnovni podaci'!D8)*(20+(D8*D8*'Osnovni podaci'!H8/10))*0.001</f>
        <v>21.070699999999999</v>
      </c>
      <c r="J8" s="1">
        <f t="shared" si="5"/>
        <v>0.67462464285714285</v>
      </c>
      <c r="K8" s="1">
        <f>J8/'Osnovni podaci'!F8+'Osnovni podaci'!I8</f>
        <v>1.0436760504201681</v>
      </c>
      <c r="L8" s="1">
        <f t="shared" si="1"/>
        <v>0.64681232337480987</v>
      </c>
      <c r="M8" s="1"/>
      <c r="N8" s="7">
        <f t="shared" si="6"/>
        <v>800</v>
      </c>
      <c r="O8" s="7">
        <f t="shared" si="7"/>
        <v>3500</v>
      </c>
      <c r="P8" s="7">
        <f t="shared" si="8"/>
        <v>1.25</v>
      </c>
      <c r="Q8" s="7">
        <f t="shared" si="9"/>
        <v>90</v>
      </c>
      <c r="R8" s="7">
        <f t="shared" si="10"/>
        <v>150.33333333333334</v>
      </c>
    </row>
    <row r="9" spans="1:18">
      <c r="A9" s="1">
        <f t="shared" si="12"/>
        <v>110</v>
      </c>
      <c r="B9" s="1">
        <v>5</v>
      </c>
      <c r="C9" s="1">
        <f t="shared" si="3"/>
        <v>1696.2645912559492</v>
      </c>
      <c r="D9" s="1">
        <f t="shared" si="4"/>
        <v>90</v>
      </c>
      <c r="E9" s="1">
        <f>(F9-(G9+I9))/(1.07*'Osnovni podaci'!C9)</f>
        <v>0</v>
      </c>
      <c r="F9" s="1">
        <f t="shared" si="11"/>
        <v>26.984985714285713</v>
      </c>
      <c r="G9" s="1">
        <f>(P9/100+(8000/O9)*0.001)*'Osnovni podaci'!C9</f>
        <v>5.9142857142857146</v>
      </c>
      <c r="H9" s="1">
        <f>10*'Osnovni podaci'!D9*0.33/(1+0.01*D9)</f>
        <v>142.42105263157896</v>
      </c>
      <c r="I9" s="1">
        <f>'Osnovni podaci'!D9*(20+(D9*D9/240))*0.001+('Osnovni podaci'!C9-'Osnovni podaci'!D9)*(20+(D9*D9*'Osnovni podaci'!H9/10))*0.001</f>
        <v>21.070699999999999</v>
      </c>
      <c r="J9" s="1">
        <f t="shared" si="5"/>
        <v>0.67462464285714285</v>
      </c>
      <c r="K9" s="1">
        <f>J9/'Osnovni podaci'!F9+'Osnovni podaci'!I9</f>
        <v>1.0436760504201681</v>
      </c>
      <c r="L9" s="1">
        <f t="shared" si="1"/>
        <v>0.64681232337480987</v>
      </c>
      <c r="M9" s="1"/>
      <c r="N9" s="7">
        <f t="shared" si="6"/>
        <v>800</v>
      </c>
      <c r="O9" s="7">
        <f t="shared" si="7"/>
        <v>3500</v>
      </c>
      <c r="P9" s="7">
        <f t="shared" si="8"/>
        <v>1.25</v>
      </c>
      <c r="Q9" s="7">
        <f t="shared" si="9"/>
        <v>90</v>
      </c>
      <c r="R9" s="7">
        <f t="shared" si="10"/>
        <v>150.33333333333334</v>
      </c>
    </row>
    <row r="10" spans="1:18">
      <c r="A10" s="1">
        <f>A9+B10</f>
        <v>114.14941634976203</v>
      </c>
      <c r="B10" s="1">
        <f>C18</f>
        <v>4.1494163497620322</v>
      </c>
      <c r="C10" s="1">
        <f t="shared" ref="C10" si="13">C9+(D9/3.6)*B10+(E9*B10*B10/2)</f>
        <v>1800</v>
      </c>
      <c r="D10" s="1">
        <f t="shared" si="4"/>
        <v>90</v>
      </c>
      <c r="E10" s="1">
        <f>(F10-(G10+I10))/(1.07*'Osnovni podaci'!C10)</f>
        <v>0</v>
      </c>
      <c r="F10" s="1">
        <f t="shared" si="11"/>
        <v>26.984985714285713</v>
      </c>
      <c r="G10" s="1">
        <f>(P10/100+(8000/O10)*0.001)*'Osnovni podaci'!C10</f>
        <v>5.9142857142857146</v>
      </c>
      <c r="H10" s="1">
        <f>10*'Osnovni podaci'!D10*0.33/(1+0.01*D10)</f>
        <v>142.42105263157896</v>
      </c>
      <c r="I10" s="1">
        <f>'Osnovni podaci'!D10*(20+(D10*D10/240))*0.001+('Osnovni podaci'!C10-'Osnovni podaci'!D10)*(20+(D10*D10*'Osnovni podaci'!H10/10))*0.001</f>
        <v>21.070699999999999</v>
      </c>
      <c r="J10" s="1">
        <f t="shared" ref="J10" si="14">F10*(D10/3.6)/1000</f>
        <v>0.67462464285714285</v>
      </c>
      <c r="K10" s="1">
        <f>J10/'Osnovni podaci'!F10+'Osnovni podaci'!I10</f>
        <v>1.0436760504201681</v>
      </c>
      <c r="L10" s="1">
        <f t="shared" si="1"/>
        <v>0.64681232337480987</v>
      </c>
      <c r="M10" s="1"/>
      <c r="N10" s="7">
        <f t="shared" si="6"/>
        <v>800</v>
      </c>
      <c r="O10" s="7">
        <f t="shared" si="7"/>
        <v>3500</v>
      </c>
      <c r="P10" s="7">
        <f t="shared" si="8"/>
        <v>1.25</v>
      </c>
      <c r="Q10" s="7">
        <f t="shared" si="9"/>
        <v>90</v>
      </c>
      <c r="R10" s="7">
        <f t="shared" si="10"/>
        <v>150.33333333333334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">
        <f t="shared" si="6"/>
        <v>800</v>
      </c>
      <c r="O11" s="7">
        <f t="shared" si="7"/>
        <v>3500</v>
      </c>
      <c r="P11" s="7">
        <f t="shared" si="8"/>
        <v>1.25</v>
      </c>
      <c r="Q11" s="7">
        <f t="shared" si="9"/>
        <v>90</v>
      </c>
      <c r="R11" s="7">
        <f t="shared" si="10"/>
        <v>150.33333333333334</v>
      </c>
    </row>
    <row r="12" spans="1:18">
      <c r="A12" s="14" t="s">
        <v>30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">
        <f t="shared" si="6"/>
        <v>800</v>
      </c>
      <c r="O12" s="7">
        <f t="shared" si="7"/>
        <v>3500</v>
      </c>
      <c r="P12" s="7">
        <f t="shared" si="8"/>
        <v>1.25</v>
      </c>
      <c r="Q12" s="7">
        <f t="shared" si="9"/>
        <v>90</v>
      </c>
      <c r="R12" s="7">
        <f t="shared" si="10"/>
        <v>150.33333333333334</v>
      </c>
    </row>
    <row r="13" spans="1:18">
      <c r="A13" s="14" t="s">
        <v>31</v>
      </c>
      <c r="B13" s="1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7">
        <f t="shared" si="6"/>
        <v>800</v>
      </c>
      <c r="O13" s="7">
        <f t="shared" si="7"/>
        <v>3500</v>
      </c>
      <c r="P13" s="7">
        <f t="shared" si="8"/>
        <v>1.25</v>
      </c>
      <c r="Q13" s="7">
        <f t="shared" si="9"/>
        <v>90</v>
      </c>
      <c r="R13" s="7">
        <f t="shared" si="10"/>
        <v>150.33333333333334</v>
      </c>
    </row>
    <row r="14" spans="1:18">
      <c r="A14" s="14">
        <f>(Q2/3.6-D4/3.6)/E4</f>
        <v>1.2970549584507369</v>
      </c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">
        <f t="shared" si="6"/>
        <v>800</v>
      </c>
      <c r="O14" s="7">
        <f t="shared" si="7"/>
        <v>3500</v>
      </c>
      <c r="P14" s="7">
        <f t="shared" si="8"/>
        <v>1.25</v>
      </c>
      <c r="Q14" s="7">
        <f t="shared" si="9"/>
        <v>90</v>
      </c>
      <c r="R14" s="7">
        <f t="shared" si="10"/>
        <v>150.33333333333334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>
        <f t="shared" si="6"/>
        <v>800</v>
      </c>
      <c r="O15" s="7">
        <f t="shared" si="7"/>
        <v>3500</v>
      </c>
      <c r="P15" s="7">
        <f t="shared" si="8"/>
        <v>1.25</v>
      </c>
      <c r="Q15" s="7">
        <f t="shared" si="9"/>
        <v>90</v>
      </c>
      <c r="R15" s="7">
        <f t="shared" si="10"/>
        <v>150.33333333333334</v>
      </c>
    </row>
    <row r="16" spans="1:18">
      <c r="A16" s="14" t="s">
        <v>33</v>
      </c>
      <c r="B16" s="14"/>
      <c r="C16" s="14"/>
      <c r="D16" s="6"/>
      <c r="E16" s="6"/>
      <c r="F16" s="6"/>
      <c r="G16" s="1"/>
      <c r="H16" s="1"/>
      <c r="I16" s="1"/>
      <c r="J16" s="1"/>
      <c r="K16" s="1"/>
      <c r="L16" s="1"/>
      <c r="M16" s="1"/>
      <c r="N16" s="7">
        <f t="shared" si="6"/>
        <v>800</v>
      </c>
      <c r="O16" s="7">
        <f t="shared" si="7"/>
        <v>3500</v>
      </c>
      <c r="P16" s="7">
        <f t="shared" si="8"/>
        <v>1.25</v>
      </c>
      <c r="Q16" s="7">
        <f t="shared" si="9"/>
        <v>90</v>
      </c>
      <c r="R16" s="7">
        <f t="shared" si="10"/>
        <v>150.33333333333334</v>
      </c>
    </row>
    <row r="17" spans="1:18">
      <c r="A17" s="14" t="s">
        <v>28</v>
      </c>
      <c r="B17" s="14"/>
      <c r="C17" s="1" t="s">
        <v>29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7">
        <f t="shared" si="6"/>
        <v>800</v>
      </c>
      <c r="O17" s="7">
        <f t="shared" si="7"/>
        <v>3500</v>
      </c>
      <c r="P17" s="7">
        <f t="shared" si="8"/>
        <v>1.25</v>
      </c>
      <c r="Q17" s="7">
        <f t="shared" si="9"/>
        <v>90</v>
      </c>
      <c r="R17" s="7">
        <f t="shared" si="10"/>
        <v>150.33333333333334</v>
      </c>
    </row>
    <row r="18" spans="1:18">
      <c r="A18" s="14">
        <f>1000+N2-C9</f>
        <v>103.7354087440508</v>
      </c>
      <c r="B18" s="14"/>
      <c r="C18" s="1">
        <f>A18/(D9/3.6)</f>
        <v>4.1494163497620322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7">
        <f t="shared" si="6"/>
        <v>800</v>
      </c>
      <c r="O18" s="7">
        <f t="shared" si="7"/>
        <v>3500</v>
      </c>
      <c r="P18" s="7">
        <f t="shared" si="8"/>
        <v>1.25</v>
      </c>
      <c r="Q18" s="7">
        <f t="shared" si="9"/>
        <v>90</v>
      </c>
      <c r="R18" s="7">
        <f t="shared" si="10"/>
        <v>150.33333333333334</v>
      </c>
    </row>
    <row r="19" spans="1:18">
      <c r="N19" s="7">
        <f t="shared" si="6"/>
        <v>800</v>
      </c>
      <c r="O19" s="7">
        <f t="shared" si="7"/>
        <v>3500</v>
      </c>
      <c r="P19" s="7">
        <f t="shared" si="8"/>
        <v>1.25</v>
      </c>
      <c r="Q19" s="7">
        <f t="shared" si="9"/>
        <v>90</v>
      </c>
      <c r="R19" s="7">
        <f t="shared" si="10"/>
        <v>150.33333333333334</v>
      </c>
    </row>
    <row r="20" spans="1:18">
      <c r="N20" s="7">
        <f t="shared" si="6"/>
        <v>800</v>
      </c>
      <c r="O20" s="7">
        <f t="shared" si="7"/>
        <v>3500</v>
      </c>
      <c r="P20" s="7">
        <f t="shared" si="8"/>
        <v>1.25</v>
      </c>
      <c r="Q20" s="7">
        <f t="shared" si="9"/>
        <v>90</v>
      </c>
      <c r="R20" s="7">
        <f t="shared" si="10"/>
        <v>150.33333333333334</v>
      </c>
    </row>
    <row r="21" spans="1:18">
      <c r="N21" s="7">
        <f t="shared" si="6"/>
        <v>800</v>
      </c>
      <c r="O21" s="7">
        <f t="shared" si="7"/>
        <v>3500</v>
      </c>
      <c r="P21" s="7">
        <f t="shared" si="8"/>
        <v>1.25</v>
      </c>
      <c r="Q21" s="7">
        <f t="shared" si="9"/>
        <v>90</v>
      </c>
      <c r="R21" s="7">
        <f t="shared" si="10"/>
        <v>150.33333333333334</v>
      </c>
    </row>
    <row r="22" spans="1:18">
      <c r="N22" s="7">
        <f t="shared" si="6"/>
        <v>800</v>
      </c>
      <c r="O22" s="7">
        <f t="shared" si="7"/>
        <v>3500</v>
      </c>
      <c r="P22" s="7">
        <f t="shared" si="8"/>
        <v>1.25</v>
      </c>
      <c r="Q22" s="7">
        <f t="shared" si="9"/>
        <v>90</v>
      </c>
      <c r="R22" s="7">
        <f t="shared" si="10"/>
        <v>150.33333333333334</v>
      </c>
    </row>
    <row r="23" spans="1:18">
      <c r="N23" s="7">
        <f t="shared" si="6"/>
        <v>800</v>
      </c>
      <c r="O23" s="7">
        <f t="shared" si="7"/>
        <v>3500</v>
      </c>
      <c r="P23" s="7">
        <f t="shared" si="8"/>
        <v>1.25</v>
      </c>
      <c r="Q23" s="7">
        <f t="shared" si="9"/>
        <v>90</v>
      </c>
      <c r="R23" s="7">
        <f t="shared" si="10"/>
        <v>150.33333333333334</v>
      </c>
    </row>
    <row r="24" spans="1:18">
      <c r="N24" s="7">
        <f t="shared" si="6"/>
        <v>800</v>
      </c>
      <c r="O24" s="7">
        <f t="shared" si="7"/>
        <v>3500</v>
      </c>
      <c r="P24" s="7">
        <f t="shared" si="8"/>
        <v>1.25</v>
      </c>
      <c r="Q24" s="7">
        <f t="shared" si="9"/>
        <v>90</v>
      </c>
      <c r="R24" s="7">
        <f t="shared" si="10"/>
        <v>150.33333333333334</v>
      </c>
    </row>
    <row r="25" spans="1:18">
      <c r="N25" s="7">
        <f t="shared" si="6"/>
        <v>800</v>
      </c>
      <c r="O25" s="7">
        <f t="shared" si="7"/>
        <v>3500</v>
      </c>
      <c r="P25" s="7">
        <f t="shared" si="8"/>
        <v>1.25</v>
      </c>
      <c r="Q25" s="7">
        <f t="shared" si="9"/>
        <v>90</v>
      </c>
      <c r="R25" s="7">
        <f t="shared" si="10"/>
        <v>150.33333333333334</v>
      </c>
    </row>
    <row r="26" spans="1:18">
      <c r="N26" s="7">
        <f t="shared" si="6"/>
        <v>800</v>
      </c>
      <c r="O26" s="7">
        <f t="shared" si="7"/>
        <v>3500</v>
      </c>
      <c r="P26" s="7">
        <f t="shared" si="8"/>
        <v>1.25</v>
      </c>
      <c r="Q26" s="7">
        <f t="shared" si="9"/>
        <v>90</v>
      </c>
      <c r="R26" s="7">
        <f t="shared" si="10"/>
        <v>150.33333333333334</v>
      </c>
    </row>
    <row r="27" spans="1:18">
      <c r="N27" s="7">
        <f t="shared" si="6"/>
        <v>800</v>
      </c>
      <c r="O27" s="7">
        <f t="shared" si="7"/>
        <v>3500</v>
      </c>
      <c r="P27" s="7">
        <f t="shared" si="8"/>
        <v>1.25</v>
      </c>
      <c r="Q27" s="7">
        <f t="shared" si="9"/>
        <v>90</v>
      </c>
      <c r="R27" s="7">
        <f t="shared" si="10"/>
        <v>150.33333333333334</v>
      </c>
    </row>
  </sheetData>
  <mergeCells count="6">
    <mergeCell ref="A18:B18"/>
    <mergeCell ref="A12:B12"/>
    <mergeCell ref="A13:B13"/>
    <mergeCell ref="A14:B14"/>
    <mergeCell ref="A16:C16"/>
    <mergeCell ref="A17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I10" sqref="I10"/>
    </sheetView>
  </sheetViews>
  <sheetFormatPr defaultRowHeight="15"/>
  <sheetData>
    <row r="1" spans="1:18">
      <c r="A1" s="1" t="s">
        <v>8</v>
      </c>
      <c r="B1" s="1" t="s">
        <v>9</v>
      </c>
      <c r="C1" s="1" t="s">
        <v>22</v>
      </c>
      <c r="D1" s="1" t="s">
        <v>21</v>
      </c>
      <c r="E1" s="1" t="s">
        <v>23</v>
      </c>
      <c r="F1" s="1" t="s">
        <v>24</v>
      </c>
      <c r="G1" s="1" t="s">
        <v>11</v>
      </c>
      <c r="H1" s="1" t="s">
        <v>17</v>
      </c>
      <c r="I1" s="1" t="s">
        <v>18</v>
      </c>
      <c r="J1" s="1" t="s">
        <v>25</v>
      </c>
      <c r="K1" s="1" t="s">
        <v>26</v>
      </c>
      <c r="L1" s="1" t="s">
        <v>20</v>
      </c>
      <c r="M1" s="1"/>
      <c r="N1" s="1" t="s">
        <v>4</v>
      </c>
      <c r="O1" s="1" t="s">
        <v>5</v>
      </c>
      <c r="P1" s="1" t="s">
        <v>6</v>
      </c>
      <c r="Q1" s="1" t="s">
        <v>7</v>
      </c>
      <c r="R1" s="1" t="s">
        <v>10</v>
      </c>
    </row>
    <row r="2" spans="1:18">
      <c r="A2" s="1">
        <f>'Dionica 2'!A10</f>
        <v>114.14941634976203</v>
      </c>
      <c r="B2" s="1">
        <f>'Dionica 2'!B10</f>
        <v>4.1494163497620322</v>
      </c>
      <c r="C2" s="1">
        <f>'Dionica 2'!C10</f>
        <v>1800</v>
      </c>
      <c r="D2" s="1">
        <f>'Dionica 2'!D10</f>
        <v>90</v>
      </c>
      <c r="E2" s="1">
        <f>'Dionica 2'!E10</f>
        <v>0</v>
      </c>
      <c r="F2" s="1">
        <f t="shared" ref="F2:F7" si="0">IF(R2&lt;=H2,R2,H2)</f>
        <v>5.7373666666666665</v>
      </c>
      <c r="G2" s="1">
        <f>(P2/100+(8000/O2)*0.001)*'Osnovni podaci'!C2</f>
        <v>-15.333333333333332</v>
      </c>
      <c r="H2" s="1">
        <f>'Dionica 2'!H10</f>
        <v>142.42105263157896</v>
      </c>
      <c r="I2" s="1">
        <f>'Dionica 2'!I10</f>
        <v>21.070699999999999</v>
      </c>
      <c r="J2" s="1">
        <f>F2*(D2/3.6)/1000</f>
        <v>0.14343416666666667</v>
      </c>
      <c r="K2" s="1">
        <f>'Dionica 2'!K10</f>
        <v>1.0436760504201681</v>
      </c>
      <c r="L2" s="1">
        <f>'Dionica 2'!L10</f>
        <v>0.64681232337480987</v>
      </c>
      <c r="M2" s="1"/>
      <c r="N2" s="1">
        <v>700</v>
      </c>
      <c r="O2" s="1">
        <v>1200</v>
      </c>
      <c r="P2" s="2">
        <v>-4.5</v>
      </c>
      <c r="Q2" s="1">
        <v>90</v>
      </c>
      <c r="R2" s="2">
        <f>G2+I2</f>
        <v>5.7373666666666665</v>
      </c>
    </row>
    <row r="3" spans="1:18">
      <c r="A3" s="1">
        <v>115</v>
      </c>
      <c r="B3" s="1">
        <f>A3-A2</f>
        <v>0.85058365023796512</v>
      </c>
      <c r="C3" s="1">
        <f>C2+(D2/3.6)*B3+(E2*B3*B3/2)</f>
        <v>1821.2645912559492</v>
      </c>
      <c r="D3" s="1">
        <f>D2+(E2*B3)*3.6</f>
        <v>90</v>
      </c>
      <c r="E3" s="1">
        <f>(F3-(G3+I3))/(1.07*'Osnovni podaci'!C3)</f>
        <v>0</v>
      </c>
      <c r="F3" s="1">
        <f t="shared" si="0"/>
        <v>5.7373666666666665</v>
      </c>
      <c r="G3" s="1">
        <f>(P3/100+(8000/O3)*0.001)*'Osnovni podaci'!C3</f>
        <v>-15.333333333333332</v>
      </c>
      <c r="H3" s="1">
        <f>10*'Osnovni podaci'!D3*0.33/(1+0.01*D3)</f>
        <v>142.42105263157896</v>
      </c>
      <c r="I3" s="1">
        <f>'Osnovni podaci'!D3*(20+(D3*D3/240))*0.001+('Osnovni podaci'!C3-'Osnovni podaci'!D3)*(20+(D3*D3*'Osnovni podaci'!H3/10))*0.001</f>
        <v>21.070699999999999</v>
      </c>
      <c r="J3" s="1">
        <f>F3*(D3/3.6)/1000</f>
        <v>0.14343416666666667</v>
      </c>
      <c r="K3" s="1">
        <f>J3/'Osnovni podaci'!F3+'Osnovni podaci'!I3</f>
        <v>0.41874607843137257</v>
      </c>
      <c r="L3" s="1">
        <f t="shared" ref="L3:L10" si="1">K3*TAN(ACOS(0.85))</f>
        <v>0.2595155113363446</v>
      </c>
      <c r="M3" s="1"/>
      <c r="N3" s="7">
        <f t="shared" ref="N3:N8" si="2">N2</f>
        <v>700</v>
      </c>
      <c r="O3" s="7">
        <f t="shared" ref="O3:O8" si="3">O2</f>
        <v>1200</v>
      </c>
      <c r="P3" s="7">
        <f t="shared" ref="P3:P8" si="4">P2</f>
        <v>-4.5</v>
      </c>
      <c r="Q3" s="7">
        <f t="shared" ref="Q3:Q8" si="5">Q2</f>
        <v>90</v>
      </c>
      <c r="R3" s="7">
        <f t="shared" ref="R3:R7" si="6">R2</f>
        <v>5.7373666666666665</v>
      </c>
    </row>
    <row r="4" spans="1:18">
      <c r="A4" s="1">
        <f>A3+B4</f>
        <v>120</v>
      </c>
      <c r="B4" s="1">
        <v>5</v>
      </c>
      <c r="C4" s="1">
        <f t="shared" ref="C4:C9" si="7">C3+(D3/3.6)*B4+(E3*B4*B4/2)</f>
        <v>1946.2645912559492</v>
      </c>
      <c r="D4" s="1">
        <f t="shared" ref="D4:D9" si="8">D3+(E3*B4)*3.6</f>
        <v>90</v>
      </c>
      <c r="E4" s="1">
        <f>(F4-(G4+I4))/(1.07*'Osnovni podaci'!C4)</f>
        <v>0</v>
      </c>
      <c r="F4" s="1">
        <f t="shared" si="0"/>
        <v>5.7373666666666665</v>
      </c>
      <c r="G4" s="1">
        <f>(P4/100+(8000/O4)*0.001)*'Osnovni podaci'!C4</f>
        <v>-15.333333333333332</v>
      </c>
      <c r="H4" s="1">
        <f>10*'Osnovni podaci'!D4*0.33/(1+0.01*D4)</f>
        <v>142.42105263157896</v>
      </c>
      <c r="I4" s="1">
        <f>'Osnovni podaci'!D4*(20+(D4*D4/240))*0.001+('Osnovni podaci'!C4-'Osnovni podaci'!D4)*(20+(D4*D4*'Osnovni podaci'!H4/10))*0.001</f>
        <v>21.070699999999999</v>
      </c>
      <c r="J4" s="1">
        <f t="shared" ref="J4:J10" si="9">F4*(D4/3.6)/1000</f>
        <v>0.14343416666666667</v>
      </c>
      <c r="K4" s="1">
        <f>J4/'Osnovni podaci'!F4+'Osnovni podaci'!I4</f>
        <v>0.41874607843137257</v>
      </c>
      <c r="L4" s="1">
        <f t="shared" si="1"/>
        <v>0.2595155113363446</v>
      </c>
      <c r="M4" s="1"/>
      <c r="N4" s="7">
        <f t="shared" si="2"/>
        <v>700</v>
      </c>
      <c r="O4" s="7">
        <f t="shared" si="3"/>
        <v>1200</v>
      </c>
      <c r="P4" s="7">
        <f t="shared" si="4"/>
        <v>-4.5</v>
      </c>
      <c r="Q4" s="7">
        <f t="shared" si="5"/>
        <v>90</v>
      </c>
      <c r="R4" s="7">
        <f t="shared" si="6"/>
        <v>5.7373666666666665</v>
      </c>
    </row>
    <row r="5" spans="1:18">
      <c r="A5" s="1">
        <f>A4+B4</f>
        <v>125</v>
      </c>
      <c r="B5" s="1">
        <v>5</v>
      </c>
      <c r="C5" s="1">
        <f t="shared" si="7"/>
        <v>2071.2645912559492</v>
      </c>
      <c r="D5" s="1">
        <f t="shared" si="8"/>
        <v>90</v>
      </c>
      <c r="E5" s="1">
        <f>(F5-(G5+I5))/(1.07*'Osnovni podaci'!C5)</f>
        <v>0</v>
      </c>
      <c r="F5" s="1">
        <f t="shared" si="0"/>
        <v>5.7373666666666665</v>
      </c>
      <c r="G5" s="1">
        <f>(P5/100+(8000/O5)*0.001)*'Osnovni podaci'!C5</f>
        <v>-15.333333333333332</v>
      </c>
      <c r="H5" s="1">
        <f>10*'Osnovni podaci'!D5*0.33/(1+0.01*D5)</f>
        <v>142.42105263157896</v>
      </c>
      <c r="I5" s="1">
        <f>'Osnovni podaci'!D5*(20+(D5*D5/240))*0.001+('Osnovni podaci'!C5-'Osnovni podaci'!D5)*(20+(D5*D5*'Osnovni podaci'!H5/10))*0.001</f>
        <v>21.070699999999999</v>
      </c>
      <c r="J5" s="1">
        <f t="shared" si="9"/>
        <v>0.14343416666666667</v>
      </c>
      <c r="K5" s="1">
        <f>J5/'Osnovni podaci'!F5+'Osnovni podaci'!I5</f>
        <v>0.41874607843137257</v>
      </c>
      <c r="L5" s="1">
        <f t="shared" si="1"/>
        <v>0.2595155113363446</v>
      </c>
      <c r="M5" s="1"/>
      <c r="N5" s="7">
        <f t="shared" si="2"/>
        <v>700</v>
      </c>
      <c r="O5" s="7">
        <f t="shared" si="3"/>
        <v>1200</v>
      </c>
      <c r="P5" s="7">
        <f t="shared" si="4"/>
        <v>-4.5</v>
      </c>
      <c r="Q5" s="7">
        <f t="shared" si="5"/>
        <v>90</v>
      </c>
      <c r="R5" s="7">
        <f t="shared" si="6"/>
        <v>5.7373666666666665</v>
      </c>
    </row>
    <row r="6" spans="1:18">
      <c r="A6" s="1">
        <f t="shared" ref="A6:A7" si="10">A5+B5</f>
        <v>130</v>
      </c>
      <c r="B6" s="1">
        <f>A6-A5</f>
        <v>5</v>
      </c>
      <c r="C6" s="1">
        <f t="shared" si="7"/>
        <v>2196.2645912559492</v>
      </c>
      <c r="D6" s="1">
        <f t="shared" si="8"/>
        <v>90</v>
      </c>
      <c r="E6" s="1">
        <f>(F6-(G6+I6))/(1.07*'Osnovni podaci'!C6)</f>
        <v>0</v>
      </c>
      <c r="F6" s="1">
        <f t="shared" si="0"/>
        <v>5.7373666666666665</v>
      </c>
      <c r="G6" s="1">
        <f>(P6/100+(8000/O6)*0.001)*'Osnovni podaci'!C6</f>
        <v>-15.333333333333332</v>
      </c>
      <c r="H6" s="1">
        <f>10*'Osnovni podaci'!D6*0.33/(1+0.01*D6)</f>
        <v>142.42105263157896</v>
      </c>
      <c r="I6" s="1">
        <f>'Osnovni podaci'!D6*(20+(D6*D6/240))*0.001+('Osnovni podaci'!C6-'Osnovni podaci'!D6)*(20+(D6*D6*'Osnovni podaci'!H6/10))*0.001</f>
        <v>21.070699999999999</v>
      </c>
      <c r="J6" s="1">
        <f t="shared" si="9"/>
        <v>0.14343416666666667</v>
      </c>
      <c r="K6" s="1">
        <f>J6/'Osnovni podaci'!F6+'Osnovni podaci'!I6</f>
        <v>0.41874607843137257</v>
      </c>
      <c r="L6" s="1">
        <f t="shared" si="1"/>
        <v>0.2595155113363446</v>
      </c>
      <c r="M6" s="1"/>
      <c r="N6" s="7">
        <f t="shared" si="2"/>
        <v>700</v>
      </c>
      <c r="O6" s="7">
        <f t="shared" si="3"/>
        <v>1200</v>
      </c>
      <c r="P6" s="7">
        <f t="shared" si="4"/>
        <v>-4.5</v>
      </c>
      <c r="Q6" s="7">
        <f t="shared" si="5"/>
        <v>90</v>
      </c>
      <c r="R6" s="7">
        <f t="shared" si="6"/>
        <v>5.7373666666666665</v>
      </c>
    </row>
    <row r="7" spans="1:18">
      <c r="A7" s="1">
        <f t="shared" si="10"/>
        <v>135</v>
      </c>
      <c r="B7" s="1">
        <v>5</v>
      </c>
      <c r="C7" s="1">
        <f t="shared" si="7"/>
        <v>2321.2645912559492</v>
      </c>
      <c r="D7" s="1">
        <f t="shared" si="8"/>
        <v>90</v>
      </c>
      <c r="E7" s="1">
        <v>0</v>
      </c>
      <c r="F7" s="1">
        <f t="shared" si="0"/>
        <v>5.7373666666666665</v>
      </c>
      <c r="G7" s="1">
        <f>(P7/100+(8000/O7)*0.001)*'Osnovni podaci'!C7</f>
        <v>-15.333333333333332</v>
      </c>
      <c r="H7" s="1">
        <f>10*'Osnovni podaci'!D7*0.33/(1+0.01*D7)</f>
        <v>142.42105263157896</v>
      </c>
      <c r="I7" s="1">
        <f>'Osnovni podaci'!D7*(20+(D7*D7/240))*0.001+('Osnovni podaci'!C7-'Osnovni podaci'!D7)*(20+(D7*D7*'Osnovni podaci'!H7/10))*0.001</f>
        <v>21.070699999999999</v>
      </c>
      <c r="J7" s="1">
        <f t="shared" si="9"/>
        <v>0.14343416666666667</v>
      </c>
      <c r="K7" s="1">
        <f>J7/'Osnovni podaci'!F7+'Osnovni podaci'!I7</f>
        <v>0.41874607843137257</v>
      </c>
      <c r="L7" s="1">
        <f t="shared" si="1"/>
        <v>0.2595155113363446</v>
      </c>
      <c r="M7" s="1"/>
      <c r="N7" s="7">
        <f t="shared" si="2"/>
        <v>700</v>
      </c>
      <c r="O7" s="7">
        <f t="shared" si="3"/>
        <v>1200</v>
      </c>
      <c r="P7" s="7">
        <f t="shared" si="4"/>
        <v>-4.5</v>
      </c>
      <c r="Q7" s="7">
        <f t="shared" si="5"/>
        <v>90</v>
      </c>
      <c r="R7" s="7">
        <f t="shared" si="6"/>
        <v>5.7373666666666665</v>
      </c>
    </row>
    <row r="8" spans="1:18">
      <c r="A8" s="1">
        <f>A7+B8</f>
        <v>136.90700000000001</v>
      </c>
      <c r="B8" s="1">
        <v>1.907</v>
      </c>
      <c r="C8" s="1">
        <f t="shared" si="7"/>
        <v>2368.9395912559494</v>
      </c>
      <c r="D8" s="1">
        <f t="shared" si="8"/>
        <v>90</v>
      </c>
      <c r="E8" s="1">
        <v>-0.5</v>
      </c>
      <c r="F8" s="2">
        <f>R8</f>
        <v>-208.26263333333335</v>
      </c>
      <c r="G8" s="1">
        <f>(P8/100+(8000/O8)*0.001)*'Osnovni podaci'!C8</f>
        <v>-15.333333333333332</v>
      </c>
      <c r="H8" s="1">
        <f>10*'Osnovni podaci'!D8*0.33/(1+0.01*D8)</f>
        <v>142.42105263157896</v>
      </c>
      <c r="I8" s="1">
        <f>'Osnovni podaci'!D8*(20+(D8*D8/240))*0.001+('Osnovni podaci'!C8-'Osnovni podaci'!D8)*(20+(D8*D8*'Osnovni podaci'!H8/10))*0.001</f>
        <v>21.070699999999999</v>
      </c>
      <c r="J8" s="1">
        <f t="shared" si="9"/>
        <v>-5.2065658333333342</v>
      </c>
      <c r="K8" s="1">
        <f>J8/'Osnovni podaci'!F8+'Osnovni podaci'!I8</f>
        <v>-5.8753715686274521</v>
      </c>
      <c r="L8" s="1">
        <f t="shared" si="1"/>
        <v>-3.6412282656714177</v>
      </c>
      <c r="M8" s="1"/>
      <c r="N8" s="7">
        <f t="shared" si="2"/>
        <v>700</v>
      </c>
      <c r="O8" s="7">
        <f t="shared" si="3"/>
        <v>1200</v>
      </c>
      <c r="P8" s="7">
        <f t="shared" si="4"/>
        <v>-4.5</v>
      </c>
      <c r="Q8" s="7">
        <f t="shared" si="5"/>
        <v>90</v>
      </c>
      <c r="R8" s="7">
        <f>E8*400*1.07+G8+I8</f>
        <v>-208.26263333333335</v>
      </c>
    </row>
    <row r="9" spans="1:18">
      <c r="A9" s="1">
        <v>140</v>
      </c>
      <c r="B9" s="1">
        <f>A9-A8</f>
        <v>3.0929999999999893</v>
      </c>
      <c r="C9" s="1">
        <f t="shared" si="7"/>
        <v>2443.8729290059491</v>
      </c>
      <c r="D9" s="1">
        <f t="shared" si="8"/>
        <v>84.432600000000022</v>
      </c>
      <c r="E9" s="1">
        <v>-0.5</v>
      </c>
      <c r="F9" s="2">
        <f t="shared" ref="F9:F10" si="11">R9</f>
        <v>-209.82972321769961</v>
      </c>
      <c r="G9" s="1">
        <f>(P9/100+(8000/O9)*0.001)*'Osnovni podaci'!C9</f>
        <v>-15.333333333333332</v>
      </c>
      <c r="H9" s="1">
        <f>10*'Osnovni podaci'!D9*0.33/(1+0.01*D9)</f>
        <v>146.7202652893252</v>
      </c>
      <c r="I9" s="1">
        <f>'Osnovni podaci'!D9*(20+(D9*D9/240))*0.001+('Osnovni podaci'!C9-'Osnovni podaci'!D9)*(20+(D9*D9*'Osnovni podaci'!H9/10))*0.001</f>
        <v>19.503610115633727</v>
      </c>
      <c r="J9" s="1">
        <f t="shared" ref="J9" si="12">F9*(D9/3.6)/1000</f>
        <v>-4.9212414134863192</v>
      </c>
      <c r="K9" s="1">
        <f>J9/'Osnovni podaci'!F9+'Osnovni podaci'!I9</f>
        <v>-5.5396957805721403</v>
      </c>
      <c r="L9" s="1">
        <f t="shared" si="1"/>
        <v>-3.4331950964851385</v>
      </c>
      <c r="M9" s="1"/>
      <c r="N9" s="7">
        <f t="shared" ref="N9" si="13">N8</f>
        <v>700</v>
      </c>
      <c r="O9" s="7">
        <f t="shared" ref="O9" si="14">O8</f>
        <v>1200</v>
      </c>
      <c r="P9" s="7">
        <f t="shared" ref="P9" si="15">P8</f>
        <v>-4.5</v>
      </c>
      <c r="Q9" s="7">
        <f t="shared" ref="Q9" si="16">Q8</f>
        <v>90</v>
      </c>
      <c r="R9" s="7">
        <f t="shared" ref="R9" si="17">E9*400*1.07+G9+I9</f>
        <v>-209.82972321769961</v>
      </c>
    </row>
    <row r="10" spans="1:18">
      <c r="A10" s="1">
        <f>A9+B10</f>
        <v>142.46</v>
      </c>
      <c r="B10" s="1">
        <v>2.46</v>
      </c>
      <c r="C10" s="1">
        <f>C9+(D9/3.6)*B10+(E9*B10*B10/2)</f>
        <v>2500.0556390059492</v>
      </c>
      <c r="D10" s="1">
        <f>D9+(E9*B10)*3.6</f>
        <v>80.004600000000025</v>
      </c>
      <c r="E10" s="1">
        <v>0</v>
      </c>
      <c r="F10" s="2">
        <f t="shared" si="11"/>
        <v>2.995321026145195</v>
      </c>
      <c r="G10" s="1">
        <f>(P10/100+(8000/O10)*0.001)*'Osnovni podaci'!C9</f>
        <v>-15.333333333333332</v>
      </c>
      <c r="H10" s="1">
        <f>10*'Osnovni podaci'!D9*0.33/(1+0.01*D10)</f>
        <v>150.32949157965962</v>
      </c>
      <c r="I10" s="1">
        <f>'Osnovni podaci'!D9*(20+(D10*D10/240))*0.001+('Osnovni podaci'!C9-'Osnovni podaci'!D9)*(20+(D10*D10*'Osnovni podaci'!H9/10))*0.001</f>
        <v>18.328654359478527</v>
      </c>
      <c r="J10" s="1">
        <f t="shared" si="9"/>
        <v>6.6566516824537764E-2</v>
      </c>
      <c r="K10" s="1">
        <f>J10/'Osnovni podaci'!F9+'Osnovni podaci'!I9</f>
        <v>0.32831354920533856</v>
      </c>
      <c r="L10" s="1">
        <f t="shared" si="1"/>
        <v>0.20347046334103691</v>
      </c>
      <c r="M10" s="1"/>
      <c r="N10" s="7">
        <f t="shared" ref="N10:N25" si="18">N9</f>
        <v>700</v>
      </c>
      <c r="O10" s="7">
        <f t="shared" ref="O10:O25" si="19">O9</f>
        <v>1200</v>
      </c>
      <c r="P10" s="7">
        <f t="shared" ref="P10:P25" si="20">P9</f>
        <v>-4.5</v>
      </c>
      <c r="Q10" s="7">
        <f t="shared" ref="Q10:Q25" si="21">Q9</f>
        <v>90</v>
      </c>
      <c r="R10" s="7">
        <f>E10*400*1.07+G10+I10</f>
        <v>2.995321026145195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">
        <f t="shared" si="18"/>
        <v>700</v>
      </c>
      <c r="O11" s="7">
        <f t="shared" si="19"/>
        <v>1200</v>
      </c>
      <c r="P11" s="7">
        <f t="shared" si="20"/>
        <v>-4.5</v>
      </c>
      <c r="Q11" s="7">
        <f t="shared" si="21"/>
        <v>90</v>
      </c>
      <c r="R11" s="7">
        <f t="shared" ref="R11:R25" si="22">R10</f>
        <v>2.995321026145195</v>
      </c>
    </row>
    <row r="12" spans="1:18">
      <c r="A12" s="14" t="s">
        <v>34</v>
      </c>
      <c r="B12" s="14"/>
      <c r="C12" s="1"/>
      <c r="D12" s="1"/>
      <c r="E12" s="1"/>
      <c r="F12" s="1"/>
      <c r="G12" s="9"/>
      <c r="H12" s="9" t="s">
        <v>37</v>
      </c>
      <c r="I12" s="9"/>
      <c r="J12" s="1"/>
      <c r="K12" s="1"/>
      <c r="L12" s="1"/>
      <c r="M12" s="1"/>
      <c r="N12" s="7">
        <f t="shared" si="18"/>
        <v>700</v>
      </c>
      <c r="O12" s="7">
        <f t="shared" si="19"/>
        <v>1200</v>
      </c>
      <c r="P12" s="7">
        <f t="shared" si="20"/>
        <v>-4.5</v>
      </c>
      <c r="Q12" s="7">
        <f t="shared" si="21"/>
        <v>90</v>
      </c>
      <c r="R12" s="7">
        <f t="shared" si="22"/>
        <v>2.995321026145195</v>
      </c>
    </row>
    <row r="13" spans="1:18">
      <c r="A13" s="14" t="s">
        <v>31</v>
      </c>
      <c r="B13" s="14"/>
      <c r="C13" s="1"/>
      <c r="D13" s="1"/>
      <c r="E13" s="1"/>
      <c r="F13" s="1"/>
      <c r="G13" s="1">
        <f>2500-C14</f>
        <v>2368.9506249999999</v>
      </c>
      <c r="H13" s="11" t="s">
        <v>40</v>
      </c>
      <c r="I13" s="1"/>
      <c r="J13" s="1"/>
      <c r="K13" s="1"/>
      <c r="L13" s="1"/>
      <c r="M13" s="1"/>
      <c r="N13" s="7">
        <f t="shared" si="18"/>
        <v>700</v>
      </c>
      <c r="O13" s="7">
        <f t="shared" si="19"/>
        <v>1200</v>
      </c>
      <c r="P13" s="7">
        <f t="shared" si="20"/>
        <v>-4.5</v>
      </c>
      <c r="Q13" s="7">
        <f t="shared" si="21"/>
        <v>90</v>
      </c>
      <c r="R13" s="7">
        <f t="shared" si="22"/>
        <v>2.995321026145195</v>
      </c>
    </row>
    <row r="14" spans="1:18">
      <c r="A14" s="14">
        <f>(90/3.6-80/3.6)/0.5</f>
        <v>5.5555555555555571</v>
      </c>
      <c r="B14" s="14"/>
      <c r="C14">
        <f>(90/3.6)*5.55-0.5*5.55*5.55/2</f>
        <v>131.049375</v>
      </c>
      <c r="D14" t="s">
        <v>40</v>
      </c>
      <c r="N14" s="7">
        <f t="shared" si="18"/>
        <v>700</v>
      </c>
      <c r="O14" s="7">
        <f t="shared" si="19"/>
        <v>1200</v>
      </c>
      <c r="P14" s="7">
        <f t="shared" si="20"/>
        <v>-4.5</v>
      </c>
      <c r="Q14" s="7">
        <f t="shared" si="21"/>
        <v>90</v>
      </c>
      <c r="R14" s="7">
        <f t="shared" si="22"/>
        <v>2.995321026145195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>
        <f t="shared" si="18"/>
        <v>700</v>
      </c>
      <c r="O15" s="7">
        <f t="shared" si="19"/>
        <v>1200</v>
      </c>
      <c r="P15" s="7">
        <f t="shared" si="20"/>
        <v>-4.5</v>
      </c>
      <c r="Q15" s="7">
        <f t="shared" si="21"/>
        <v>90</v>
      </c>
      <c r="R15" s="7">
        <f t="shared" si="22"/>
        <v>2.995321026145195</v>
      </c>
    </row>
    <row r="16" spans="1:18">
      <c r="A16" s="14" t="s">
        <v>35</v>
      </c>
      <c r="B16" s="14"/>
      <c r="C16" s="14"/>
      <c r="D16" s="6"/>
      <c r="E16" s="6"/>
      <c r="F16" s="6"/>
      <c r="G16" s="1"/>
      <c r="H16" s="1"/>
      <c r="I16" s="1"/>
      <c r="J16" s="1"/>
      <c r="K16" s="1"/>
      <c r="L16" s="1"/>
      <c r="M16" s="1"/>
      <c r="N16" s="7">
        <f t="shared" si="18"/>
        <v>700</v>
      </c>
      <c r="O16" s="7">
        <f t="shared" si="19"/>
        <v>1200</v>
      </c>
      <c r="P16" s="7">
        <f t="shared" si="20"/>
        <v>-4.5</v>
      </c>
      <c r="Q16" s="7">
        <f t="shared" si="21"/>
        <v>90</v>
      </c>
      <c r="R16" s="7">
        <f t="shared" si="22"/>
        <v>2.995321026145195</v>
      </c>
    </row>
    <row r="17" spans="1:18">
      <c r="A17" s="14" t="s">
        <v>28</v>
      </c>
      <c r="B17" s="14"/>
      <c r="C17" s="1" t="s">
        <v>29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7">
        <f t="shared" si="18"/>
        <v>700</v>
      </c>
      <c r="O17" s="7">
        <f t="shared" si="19"/>
        <v>1200</v>
      </c>
      <c r="P17" s="7">
        <f t="shared" si="20"/>
        <v>-4.5</v>
      </c>
      <c r="Q17" s="7">
        <f t="shared" si="21"/>
        <v>90</v>
      </c>
      <c r="R17" s="7">
        <f t="shared" si="22"/>
        <v>2.995321026145195</v>
      </c>
    </row>
    <row r="18" spans="1:18">
      <c r="A18" s="14">
        <f>1800+N2-C9</f>
        <v>56.127070994050882</v>
      </c>
      <c r="B18" s="14"/>
      <c r="C18" s="1">
        <f>A18/(D9/3.6)</f>
        <v>2.3931213249216907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7">
        <f t="shared" si="18"/>
        <v>700</v>
      </c>
      <c r="O18" s="7">
        <f t="shared" si="19"/>
        <v>1200</v>
      </c>
      <c r="P18" s="7">
        <f t="shared" si="20"/>
        <v>-4.5</v>
      </c>
      <c r="Q18" s="7">
        <f t="shared" si="21"/>
        <v>90</v>
      </c>
      <c r="R18" s="7">
        <f t="shared" si="22"/>
        <v>2.995321026145195</v>
      </c>
    </row>
    <row r="19" spans="1:18">
      <c r="N19" s="7">
        <f t="shared" si="18"/>
        <v>700</v>
      </c>
      <c r="O19" s="7">
        <f t="shared" si="19"/>
        <v>1200</v>
      </c>
      <c r="P19" s="7">
        <f t="shared" si="20"/>
        <v>-4.5</v>
      </c>
      <c r="Q19" s="7">
        <f t="shared" si="21"/>
        <v>90</v>
      </c>
      <c r="R19" s="7">
        <f t="shared" si="22"/>
        <v>2.995321026145195</v>
      </c>
    </row>
    <row r="20" spans="1:18">
      <c r="N20" s="7">
        <f t="shared" si="18"/>
        <v>700</v>
      </c>
      <c r="O20" s="7">
        <f t="shared" si="19"/>
        <v>1200</v>
      </c>
      <c r="P20" s="7">
        <f t="shared" si="20"/>
        <v>-4.5</v>
      </c>
      <c r="Q20" s="7">
        <f t="shared" si="21"/>
        <v>90</v>
      </c>
      <c r="R20" s="7">
        <f t="shared" si="22"/>
        <v>2.995321026145195</v>
      </c>
    </row>
    <row r="21" spans="1:18">
      <c r="N21" s="7">
        <f t="shared" si="18"/>
        <v>700</v>
      </c>
      <c r="O21" s="7">
        <f t="shared" si="19"/>
        <v>1200</v>
      </c>
      <c r="P21" s="7">
        <f t="shared" si="20"/>
        <v>-4.5</v>
      </c>
      <c r="Q21" s="7">
        <f t="shared" si="21"/>
        <v>90</v>
      </c>
      <c r="R21" s="7">
        <f t="shared" si="22"/>
        <v>2.995321026145195</v>
      </c>
    </row>
    <row r="22" spans="1:18">
      <c r="N22" s="7">
        <f t="shared" si="18"/>
        <v>700</v>
      </c>
      <c r="O22" s="7">
        <f t="shared" si="19"/>
        <v>1200</v>
      </c>
      <c r="P22" s="7">
        <f t="shared" si="20"/>
        <v>-4.5</v>
      </c>
      <c r="Q22" s="7">
        <f t="shared" si="21"/>
        <v>90</v>
      </c>
      <c r="R22" s="7">
        <f t="shared" si="22"/>
        <v>2.995321026145195</v>
      </c>
    </row>
    <row r="23" spans="1:18">
      <c r="N23" s="7">
        <f t="shared" si="18"/>
        <v>700</v>
      </c>
      <c r="O23" s="7">
        <f t="shared" si="19"/>
        <v>1200</v>
      </c>
      <c r="P23" s="7">
        <f t="shared" si="20"/>
        <v>-4.5</v>
      </c>
      <c r="Q23" s="7">
        <f t="shared" si="21"/>
        <v>90</v>
      </c>
      <c r="R23" s="7">
        <f t="shared" si="22"/>
        <v>2.995321026145195</v>
      </c>
    </row>
    <row r="24" spans="1:18">
      <c r="N24" s="7">
        <f t="shared" si="18"/>
        <v>700</v>
      </c>
      <c r="O24" s="7">
        <f t="shared" si="19"/>
        <v>1200</v>
      </c>
      <c r="P24" s="7">
        <f t="shared" si="20"/>
        <v>-4.5</v>
      </c>
      <c r="Q24" s="7">
        <f t="shared" si="21"/>
        <v>90</v>
      </c>
      <c r="R24" s="7">
        <f t="shared" si="22"/>
        <v>2.995321026145195</v>
      </c>
    </row>
    <row r="25" spans="1:18">
      <c r="N25" s="7">
        <f t="shared" si="18"/>
        <v>700</v>
      </c>
      <c r="O25" s="7">
        <f t="shared" si="19"/>
        <v>1200</v>
      </c>
      <c r="P25" s="7">
        <f t="shared" si="20"/>
        <v>-4.5</v>
      </c>
      <c r="Q25" s="7">
        <f t="shared" si="21"/>
        <v>90</v>
      </c>
      <c r="R25" s="7">
        <f t="shared" si="22"/>
        <v>2.995321026145195</v>
      </c>
    </row>
  </sheetData>
  <mergeCells count="6">
    <mergeCell ref="A14:B14"/>
    <mergeCell ref="A16:C16"/>
    <mergeCell ref="A17:B17"/>
    <mergeCell ref="A18:B18"/>
    <mergeCell ref="A12:B12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J8" sqref="J8"/>
    </sheetView>
  </sheetViews>
  <sheetFormatPr defaultRowHeight="15"/>
  <cols>
    <col min="4" max="4" width="9.42578125" customWidth="1"/>
    <col min="9" max="9" width="8.42578125" customWidth="1"/>
    <col min="11" max="12" width="9.140625" customWidth="1"/>
    <col min="14" max="14" width="14.42578125" bestFit="1" customWidth="1"/>
    <col min="15" max="15" width="14.140625" bestFit="1" customWidth="1"/>
    <col min="16" max="16" width="6.5703125" bestFit="1" customWidth="1"/>
    <col min="17" max="17" width="15.28515625" bestFit="1" customWidth="1"/>
    <col min="18" max="18" width="7.28515625" bestFit="1" customWidth="1"/>
  </cols>
  <sheetData>
    <row r="1" spans="1:18">
      <c r="A1" s="1" t="s">
        <v>8</v>
      </c>
      <c r="B1" s="1" t="s">
        <v>9</v>
      </c>
      <c r="C1" s="1" t="s">
        <v>22</v>
      </c>
      <c r="D1" s="1" t="s">
        <v>21</v>
      </c>
      <c r="E1" s="1" t="s">
        <v>23</v>
      </c>
      <c r="F1" s="1" t="s">
        <v>24</v>
      </c>
      <c r="G1" s="1" t="s">
        <v>11</v>
      </c>
      <c r="H1" s="1" t="s">
        <v>17</v>
      </c>
      <c r="I1" s="1" t="s">
        <v>18</v>
      </c>
      <c r="J1" s="1" t="s">
        <v>25</v>
      </c>
      <c r="K1" s="1" t="s">
        <v>26</v>
      </c>
      <c r="L1" s="1" t="s">
        <v>20</v>
      </c>
      <c r="M1" s="1"/>
      <c r="N1" s="1" t="s">
        <v>4</v>
      </c>
      <c r="O1" s="1" t="s">
        <v>5</v>
      </c>
      <c r="P1" s="1" t="s">
        <v>6</v>
      </c>
      <c r="Q1" s="1" t="s">
        <v>7</v>
      </c>
      <c r="R1" s="1" t="s">
        <v>10</v>
      </c>
    </row>
    <row r="2" spans="1:18">
      <c r="A2" s="1">
        <f>'Dionica 3'!A10</f>
        <v>142.46</v>
      </c>
      <c r="B2" s="1">
        <f>'Dionica 3'!B10</f>
        <v>2.46</v>
      </c>
      <c r="C2" s="1">
        <f>'Dionica 3'!C10</f>
        <v>2500.0556390059492</v>
      </c>
      <c r="D2" s="2">
        <f>'Dionica 3'!D10</f>
        <v>80.004600000000025</v>
      </c>
      <c r="E2" s="1">
        <v>0</v>
      </c>
      <c r="F2" s="2">
        <f>R2</f>
        <v>18.328654359478527</v>
      </c>
      <c r="G2" s="1">
        <v>0</v>
      </c>
      <c r="H2" s="1">
        <f>'Dionica 3'!H10</f>
        <v>150.32949157965962</v>
      </c>
      <c r="I2" s="1">
        <f>'Dionica 3'!I10</f>
        <v>18.328654359478527</v>
      </c>
      <c r="J2" s="12">
        <f>F2*(D2/3.6)/1000</f>
        <v>0.40732685015787112</v>
      </c>
      <c r="K2" s="12">
        <f>J2/'Osnovni podaci'!F2+'Osnovni podaci'!I2</f>
        <v>0.72920805900926022</v>
      </c>
      <c r="L2" s="12">
        <f t="shared" ref="L2:L12" si="0">K2*TAN(ACOS(0.85))</f>
        <v>0.45192256608890435</v>
      </c>
      <c r="M2" s="1"/>
      <c r="N2" s="1">
        <v>1000</v>
      </c>
      <c r="O2" s="1">
        <v>0</v>
      </c>
      <c r="P2" s="2">
        <v>0</v>
      </c>
      <c r="Q2" s="1">
        <v>80</v>
      </c>
      <c r="R2" s="7">
        <f t="shared" ref="R2:R7" si="1">E2*400*1.07+G2+I2</f>
        <v>18.328654359478527</v>
      </c>
    </row>
    <row r="3" spans="1:18">
      <c r="A3" s="1">
        <v>145</v>
      </c>
      <c r="B3" s="1">
        <f>A3-A2</f>
        <v>2.539999999999992</v>
      </c>
      <c r="C3" s="1">
        <f>C2+(D2/3.6)*B3+(E2*B3*B3/2)</f>
        <v>2556.5033290059491</v>
      </c>
      <c r="D3" s="2">
        <f>D2+(E2*B3)*3.6</f>
        <v>80.004600000000025</v>
      </c>
      <c r="E3" s="1">
        <v>0</v>
      </c>
      <c r="F3" s="2">
        <f t="shared" ref="F3:F7" si="2">R3</f>
        <v>18.328654359478527</v>
      </c>
      <c r="G3" s="1">
        <v>0</v>
      </c>
      <c r="H3" s="1">
        <f>10*'Osnovni podaci'!D3*0.33/(1+0.01*D3)</f>
        <v>150.32949157965962</v>
      </c>
      <c r="I3" s="1">
        <f>'Osnovni podaci'!D3*(20+(D3*D3/240))*0.001+('Osnovni podaci'!C3-'Osnovni podaci'!D3)*(20+(D3*D3*'Osnovni podaci'!H3/10))*0.001</f>
        <v>18.328654359478527</v>
      </c>
      <c r="J3" s="1">
        <f>F3*(D3/3.6)/1000</f>
        <v>0.40732685015787112</v>
      </c>
      <c r="K3" s="1">
        <f>J3/'Osnovni podaci'!F3+'Osnovni podaci'!I3</f>
        <v>0.72920805900926022</v>
      </c>
      <c r="L3" s="1">
        <f t="shared" si="0"/>
        <v>0.45192256608890435</v>
      </c>
      <c r="M3" s="1"/>
      <c r="N3" s="7">
        <f t="shared" ref="N3:Q7" si="3">N2</f>
        <v>1000</v>
      </c>
      <c r="O3" s="7">
        <f t="shared" si="3"/>
        <v>0</v>
      </c>
      <c r="P3" s="7">
        <f t="shared" si="3"/>
        <v>0</v>
      </c>
      <c r="Q3" s="7">
        <f t="shared" si="3"/>
        <v>80</v>
      </c>
      <c r="R3" s="7">
        <f t="shared" si="1"/>
        <v>18.328654359478527</v>
      </c>
    </row>
    <row r="4" spans="1:18">
      <c r="A4" s="1">
        <f>A3+B4</f>
        <v>150</v>
      </c>
      <c r="B4" s="1">
        <v>5</v>
      </c>
      <c r="C4" s="1">
        <f t="shared" ref="C4:C7" si="4">C3+(D3/3.6)*B4+(E3*B4*B4/2)</f>
        <v>2667.620829005949</v>
      </c>
      <c r="D4" s="2">
        <f t="shared" ref="D4:D7" si="5">D3+(E3*B4)*3.6</f>
        <v>80.004600000000025</v>
      </c>
      <c r="E4" s="1">
        <v>0</v>
      </c>
      <c r="F4" s="2">
        <f t="shared" si="2"/>
        <v>18.328654359478527</v>
      </c>
      <c r="G4" s="1">
        <v>0</v>
      </c>
      <c r="H4" s="1">
        <f>10*'Osnovni podaci'!D4*0.33/(1+0.01*D4)</f>
        <v>150.32949157965962</v>
      </c>
      <c r="I4" s="1">
        <f>'Osnovni podaci'!D4*(20+(D4*D4/240))*0.001+('Osnovni podaci'!C4-'Osnovni podaci'!D4)*(20+(D4*D4*'Osnovni podaci'!H4/10))*0.001</f>
        <v>18.328654359478527</v>
      </c>
      <c r="J4" s="1">
        <f t="shared" ref="J4:J7" si="6">F4*(D4/3.6)/1000</f>
        <v>0.40732685015787112</v>
      </c>
      <c r="K4" s="1">
        <f>J4/'Osnovni podaci'!F4+'Osnovni podaci'!I4</f>
        <v>0.72920805900926022</v>
      </c>
      <c r="L4" s="1">
        <f t="shared" si="0"/>
        <v>0.45192256608890435</v>
      </c>
      <c r="M4" s="1"/>
      <c r="N4" s="7">
        <f t="shared" si="3"/>
        <v>1000</v>
      </c>
      <c r="O4" s="7">
        <f t="shared" si="3"/>
        <v>0</v>
      </c>
      <c r="P4" s="7">
        <f t="shared" si="3"/>
        <v>0</v>
      </c>
      <c r="Q4" s="7">
        <f t="shared" si="3"/>
        <v>80</v>
      </c>
      <c r="R4" s="7">
        <f t="shared" si="1"/>
        <v>18.328654359478527</v>
      </c>
    </row>
    <row r="5" spans="1:18">
      <c r="A5" s="1">
        <f>A4+B4</f>
        <v>155</v>
      </c>
      <c r="B5" s="1">
        <v>5</v>
      </c>
      <c r="C5" s="1">
        <f t="shared" si="4"/>
        <v>2778.7383290059488</v>
      </c>
      <c r="D5" s="2">
        <f t="shared" si="5"/>
        <v>80.004600000000025</v>
      </c>
      <c r="E5" s="1">
        <v>0</v>
      </c>
      <c r="F5" s="2">
        <f t="shared" si="2"/>
        <v>18.328654359478527</v>
      </c>
      <c r="G5" s="1">
        <v>0</v>
      </c>
      <c r="H5" s="1">
        <f>10*'Osnovni podaci'!D5*0.33/(1+0.01*D5)</f>
        <v>150.32949157965962</v>
      </c>
      <c r="I5" s="1">
        <f>'Osnovni podaci'!D5*(20+(D5*D5/240))*0.001+('Osnovni podaci'!C5-'Osnovni podaci'!D5)*(20+(D5*D5*'Osnovni podaci'!H5/10))*0.001</f>
        <v>18.328654359478527</v>
      </c>
      <c r="J5" s="1">
        <f t="shared" si="6"/>
        <v>0.40732685015787112</v>
      </c>
      <c r="K5" s="1">
        <f>J5/'Osnovni podaci'!F5+'Osnovni podaci'!I5</f>
        <v>0.72920805900926022</v>
      </c>
      <c r="L5" s="1">
        <f t="shared" si="0"/>
        <v>0.45192256608890435</v>
      </c>
      <c r="M5" s="1"/>
      <c r="N5" s="7">
        <f t="shared" si="3"/>
        <v>1000</v>
      </c>
      <c r="O5" s="7">
        <f t="shared" si="3"/>
        <v>0</v>
      </c>
      <c r="P5" s="7">
        <f t="shared" si="3"/>
        <v>0</v>
      </c>
      <c r="Q5" s="7">
        <f t="shared" si="3"/>
        <v>80</v>
      </c>
      <c r="R5" s="7">
        <f t="shared" si="1"/>
        <v>18.328654359478527</v>
      </c>
    </row>
    <row r="6" spans="1:18">
      <c r="A6" s="1">
        <f t="shared" ref="A6" si="7">A5+B5</f>
        <v>160</v>
      </c>
      <c r="B6" s="1">
        <f>A6-A5</f>
        <v>5</v>
      </c>
      <c r="C6" s="1">
        <f t="shared" si="4"/>
        <v>2889.8558290059486</v>
      </c>
      <c r="D6" s="2">
        <f t="shared" si="5"/>
        <v>80.004600000000025</v>
      </c>
      <c r="E6" s="1">
        <v>0</v>
      </c>
      <c r="F6" s="2">
        <f t="shared" si="2"/>
        <v>18.328654359478527</v>
      </c>
      <c r="G6" s="1">
        <v>0</v>
      </c>
      <c r="H6" s="1">
        <f>10*'Osnovni podaci'!D6*0.33/(1+0.01*D6)</f>
        <v>150.32949157965962</v>
      </c>
      <c r="I6" s="1">
        <f>'Osnovni podaci'!D6*(20+(D6*D6/240))*0.001+('Osnovni podaci'!C6-'Osnovni podaci'!D6)*(20+(D6*D6*'Osnovni podaci'!H6/10))*0.001</f>
        <v>18.328654359478527</v>
      </c>
      <c r="J6" s="1">
        <f t="shared" si="6"/>
        <v>0.40732685015787112</v>
      </c>
      <c r="K6" s="1">
        <f>J6/'Osnovni podaci'!F6+'Osnovni podaci'!I6</f>
        <v>0.72920805900926022</v>
      </c>
      <c r="L6" s="1">
        <f t="shared" si="0"/>
        <v>0.45192256608890435</v>
      </c>
      <c r="M6" s="1"/>
      <c r="N6" s="7">
        <f t="shared" si="3"/>
        <v>1000</v>
      </c>
      <c r="O6" s="7">
        <f t="shared" si="3"/>
        <v>0</v>
      </c>
      <c r="P6" s="7">
        <f t="shared" si="3"/>
        <v>0</v>
      </c>
      <c r="Q6" s="7">
        <f t="shared" si="3"/>
        <v>80</v>
      </c>
      <c r="R6" s="7">
        <f t="shared" si="1"/>
        <v>18.328654359478527</v>
      </c>
    </row>
    <row r="7" spans="1:18">
      <c r="A7" s="1">
        <v>165</v>
      </c>
      <c r="B7" s="1">
        <v>5</v>
      </c>
      <c r="C7" s="1">
        <f t="shared" si="4"/>
        <v>3000.9733290059485</v>
      </c>
      <c r="D7" s="2">
        <f t="shared" si="5"/>
        <v>80.004600000000025</v>
      </c>
      <c r="E7" s="1">
        <v>0</v>
      </c>
      <c r="F7" s="2">
        <f t="shared" si="2"/>
        <v>18.328654359478527</v>
      </c>
      <c r="G7" s="1">
        <v>0</v>
      </c>
      <c r="H7" s="1">
        <f>10*'Osnovni podaci'!D7*0.33/(1+0.01*D7)</f>
        <v>150.32949157965962</v>
      </c>
      <c r="I7" s="1">
        <f>'Osnovni podaci'!D7*(20+(D7*D7/240))*0.001+('Osnovni podaci'!C7-'Osnovni podaci'!D7)*(20+(D7*D7*'Osnovni podaci'!H7/10))*0.001</f>
        <v>18.328654359478527</v>
      </c>
      <c r="J7" s="1">
        <f t="shared" si="6"/>
        <v>0.40732685015787112</v>
      </c>
      <c r="K7" s="1">
        <f>J7/'Osnovni podaci'!F7+'Osnovni podaci'!I7</f>
        <v>0.72920805900926022</v>
      </c>
      <c r="L7" s="1">
        <f t="shared" si="0"/>
        <v>0.45192256608890435</v>
      </c>
      <c r="M7" s="1"/>
      <c r="N7" s="7">
        <f t="shared" si="3"/>
        <v>1000</v>
      </c>
      <c r="O7" s="7">
        <f t="shared" si="3"/>
        <v>0</v>
      </c>
      <c r="P7" s="7">
        <f t="shared" si="3"/>
        <v>0</v>
      </c>
      <c r="Q7" s="7">
        <f t="shared" si="3"/>
        <v>80</v>
      </c>
      <c r="R7" s="7">
        <f t="shared" si="1"/>
        <v>18.328654359478527</v>
      </c>
    </row>
    <row r="8" spans="1:18">
      <c r="A8" s="1">
        <f>A7+B8</f>
        <v>165.23400000000001</v>
      </c>
      <c r="B8" s="1">
        <v>0.23400000000000001</v>
      </c>
      <c r="C8" s="1">
        <f t="shared" ref="C8" si="8">C7+(D7/3.6)*B8+(E7*B8*B8/2)</f>
        <v>3006.1736280059486</v>
      </c>
      <c r="D8" s="2">
        <f t="shared" ref="D8" si="9">D7+(E7*B8)*3.6</f>
        <v>80.004600000000025</v>
      </c>
      <c r="E8" s="1">
        <v>-0.5</v>
      </c>
      <c r="F8" s="2">
        <f t="shared" ref="F8" si="10">R8</f>
        <v>-195.67134564052148</v>
      </c>
      <c r="G8" s="1">
        <v>0</v>
      </c>
      <c r="H8" s="1">
        <f>10*'Osnovni podaci'!D8*0.33/(1+0.01*D8)</f>
        <v>150.32949157965962</v>
      </c>
      <c r="I8" s="1">
        <f>'Osnovni podaci'!D8*(20+(D8*D8/240))*0.001+('Osnovni podaci'!C8-'Osnovni podaci'!D8)*(20+(D8*D8*'Osnovni podaci'!H8/10))*0.001</f>
        <v>18.328654359478527</v>
      </c>
      <c r="J8" s="1">
        <f t="shared" ref="J8" si="11">F8*(D8/3.6)/1000</f>
        <v>-4.3485021498421306</v>
      </c>
      <c r="K8" s="1">
        <f>J8/'Osnovni podaci'!F8+'Osnovni podaci'!I8</f>
        <v>-4.8658848821672125</v>
      </c>
      <c r="L8" s="1">
        <f t="shared" si="0"/>
        <v>-3.0156046070443763</v>
      </c>
      <c r="M8" s="1"/>
      <c r="N8" s="7">
        <f t="shared" ref="N8:N15" si="12">N7</f>
        <v>1000</v>
      </c>
      <c r="O8" s="7">
        <f t="shared" ref="O8:O15" si="13">O7</f>
        <v>0</v>
      </c>
      <c r="P8" s="7">
        <f t="shared" ref="P8:P15" si="14">P7</f>
        <v>0</v>
      </c>
      <c r="Q8" s="7">
        <f t="shared" ref="Q8:Q15" si="15">Q7</f>
        <v>80</v>
      </c>
      <c r="R8" s="7">
        <f t="shared" ref="R8:R15" si="16">E8*400*1.07+G8+I8</f>
        <v>-195.67134564052148</v>
      </c>
    </row>
    <row r="9" spans="1:18">
      <c r="A9" s="1">
        <v>170</v>
      </c>
      <c r="B9" s="1">
        <f>A9-A8</f>
        <v>4.7659999999999911</v>
      </c>
      <c r="C9" s="1">
        <f t="shared" ref="C9" si="17">C8+(D8/3.6)*B9+(E8*B9*B9/2)</f>
        <v>3106.4121400059485</v>
      </c>
      <c r="D9" s="2">
        <f t="shared" ref="D9" si="18">D8+(E8*B9)*3.6</f>
        <v>71.425800000000038</v>
      </c>
      <c r="E9" s="1">
        <v>-0.5</v>
      </c>
      <c r="F9" s="2">
        <f t="shared" ref="F9" si="19">R9</f>
        <v>-197.76764567059891</v>
      </c>
      <c r="G9" s="1">
        <v>0</v>
      </c>
      <c r="H9" s="1">
        <f>10*'Osnovni podaci'!D9*0.33/(1+0.01*D9)</f>
        <v>157.85255194958981</v>
      </c>
      <c r="I9" s="1">
        <f>'Osnovni podaci'!D9*(20+(D9*D9/240))*0.001+('Osnovni podaci'!C9-'Osnovni podaci'!D9)*(20+(D9*D9*'Osnovni podaci'!H9/10))*0.001</f>
        <v>16.23235432940109</v>
      </c>
      <c r="J9" s="1">
        <f t="shared" ref="J9" si="20">F9*(D9/3.6)/1000</f>
        <v>-3.9238089739275197</v>
      </c>
      <c r="K9" s="1">
        <f>J9/'Osnovni podaci'!F9+'Osnovni podaci'!I9</f>
        <v>-4.3662458516794347</v>
      </c>
      <c r="L9" s="1">
        <f t="shared" si="0"/>
        <v>-2.7059561466543611</v>
      </c>
      <c r="M9" s="1"/>
      <c r="N9" s="7">
        <f t="shared" si="12"/>
        <v>1000</v>
      </c>
      <c r="O9" s="7">
        <f t="shared" si="13"/>
        <v>0</v>
      </c>
      <c r="P9" s="7">
        <f t="shared" si="14"/>
        <v>0</v>
      </c>
      <c r="Q9" s="7">
        <f t="shared" si="15"/>
        <v>80</v>
      </c>
      <c r="R9" s="7">
        <f t="shared" si="16"/>
        <v>-197.76764567059891</v>
      </c>
    </row>
    <row r="10" spans="1:18">
      <c r="A10" s="1">
        <f>A9+B10</f>
        <v>175</v>
      </c>
      <c r="B10" s="1">
        <v>5</v>
      </c>
      <c r="C10" s="1">
        <f t="shared" ref="C10:C12" si="21">C9+(D9/3.6)*B10+(E9*B10*B10/2)</f>
        <v>3199.3646400059483</v>
      </c>
      <c r="D10" s="2">
        <f t="shared" ref="D10:D12" si="22">D9+(E9*B10)*3.6</f>
        <v>62.425800000000038</v>
      </c>
      <c r="E10" s="1">
        <v>-0.5</v>
      </c>
      <c r="F10" s="2">
        <f t="shared" ref="F10:F12" si="23">R10</f>
        <v>-199.71157245739892</v>
      </c>
      <c r="G10" s="1">
        <v>0</v>
      </c>
      <c r="H10" s="1">
        <f>10*'Osnovni podaci'!D10*0.33/(1+0.01*D10)</f>
        <v>166.59914865741769</v>
      </c>
      <c r="I10" s="1">
        <f>'Osnovni podaci'!D10*(20+(D10*D10/240))*0.001+('Osnovni podaci'!C10-'Osnovni podaci'!D10)*(20+(D10*D10*'Osnovni podaci'!H10/10))*0.001</f>
        <v>14.288427542601088</v>
      </c>
      <c r="J10" s="1">
        <f t="shared" ref="J10:J12" si="24">F10*(D10/3.6)/1000</f>
        <v>-3.4630985221975279</v>
      </c>
      <c r="K10" s="1">
        <f>J10/'Osnovni podaci'!F10+'Osnovni podaci'!I10</f>
        <v>-3.8242335555265035</v>
      </c>
      <c r="L10" s="1">
        <f t="shared" si="0"/>
        <v>-2.3700470947687164</v>
      </c>
      <c r="M10" s="1"/>
      <c r="N10" s="7">
        <f t="shared" si="12"/>
        <v>1000</v>
      </c>
      <c r="O10" s="7">
        <f t="shared" si="13"/>
        <v>0</v>
      </c>
      <c r="P10" s="7">
        <f t="shared" si="14"/>
        <v>0</v>
      </c>
      <c r="Q10" s="7">
        <f t="shared" si="15"/>
        <v>80</v>
      </c>
      <c r="R10" s="7">
        <f t="shared" si="16"/>
        <v>-199.71157245739892</v>
      </c>
    </row>
    <row r="11" spans="1:18">
      <c r="A11" s="1">
        <f t="shared" ref="A11:A12" si="25">A10+B11</f>
        <v>180</v>
      </c>
      <c r="B11" s="1">
        <v>5</v>
      </c>
      <c r="C11" s="1">
        <f t="shared" si="21"/>
        <v>3279.8171400059482</v>
      </c>
      <c r="D11" s="2">
        <f t="shared" si="22"/>
        <v>53.425800000000038</v>
      </c>
      <c r="E11" s="1">
        <v>-0.5</v>
      </c>
      <c r="F11" s="2">
        <f t="shared" si="23"/>
        <v>-201.39408524419892</v>
      </c>
      <c r="G11" s="1">
        <v>0</v>
      </c>
      <c r="H11" s="1">
        <f>10*'Osnovni podaci'!D11*0.33/(1+0.01*D11)</f>
        <v>176.37190094495188</v>
      </c>
      <c r="I11" s="1">
        <f>'Osnovni podaci'!D11*(20+(D11*D11/240))*0.001+('Osnovni podaci'!C11-'Osnovni podaci'!D11)*(20+(D11*D11*'Osnovni podaci'!H11/10))*0.001</f>
        <v>12.605914755801088</v>
      </c>
      <c r="J11" s="1">
        <f t="shared" si="24"/>
        <v>-2.988788922066536</v>
      </c>
      <c r="K11" s="1">
        <f>J11/'Osnovni podaci'!F11+'Osnovni podaci'!I11</f>
        <v>-3.2662222612547485</v>
      </c>
      <c r="L11" s="1">
        <f t="shared" si="0"/>
        <v>-2.0242227543788087</v>
      </c>
      <c r="M11" s="1"/>
      <c r="N11" s="7">
        <f t="shared" si="12"/>
        <v>1000</v>
      </c>
      <c r="O11" s="7">
        <f t="shared" si="13"/>
        <v>0</v>
      </c>
      <c r="P11" s="7">
        <f t="shared" si="14"/>
        <v>0</v>
      </c>
      <c r="Q11" s="7">
        <f t="shared" si="15"/>
        <v>80</v>
      </c>
      <c r="R11" s="7">
        <f t="shared" si="16"/>
        <v>-201.39408524419892</v>
      </c>
    </row>
    <row r="12" spans="1:18">
      <c r="A12" s="1">
        <f t="shared" si="25"/>
        <v>185</v>
      </c>
      <c r="B12" s="1">
        <v>5</v>
      </c>
      <c r="C12" s="1">
        <f t="shared" si="21"/>
        <v>3347.7696400059481</v>
      </c>
      <c r="D12" s="2">
        <f t="shared" si="22"/>
        <v>44.425800000000038</v>
      </c>
      <c r="E12" s="1">
        <v>-0.5</v>
      </c>
      <c r="F12" s="2">
        <f t="shared" si="23"/>
        <v>-202.81518403099892</v>
      </c>
      <c r="G12" s="1">
        <v>0</v>
      </c>
      <c r="H12" s="1">
        <f>10*'Osnovni podaci'!D12*0.33/(1+0.01*D12)</f>
        <v>187.36264573227217</v>
      </c>
      <c r="I12" s="1">
        <f>'Osnovni podaci'!D12*(20+(D12*D12/240))*0.001+('Osnovni podaci'!C12-'Osnovni podaci'!D12)*(20+(D12*D12*'Osnovni podaci'!H12/10))*0.001</f>
        <v>11.184815969001086</v>
      </c>
      <c r="J12" s="1">
        <f t="shared" si="24"/>
        <v>-2.5028407785345439</v>
      </c>
      <c r="K12" s="1">
        <f>J12/'Osnovni podaci'!F12+'Osnovni podaci'!I12</f>
        <v>-2.6945185629818162</v>
      </c>
      <c r="L12" s="1">
        <f t="shared" si="0"/>
        <v>-1.6699126241300435</v>
      </c>
      <c r="M12" s="1"/>
      <c r="N12" s="7">
        <f t="shared" si="12"/>
        <v>1000</v>
      </c>
      <c r="O12" s="7">
        <f t="shared" si="13"/>
        <v>0</v>
      </c>
      <c r="P12" s="7">
        <f t="shared" si="14"/>
        <v>0</v>
      </c>
      <c r="Q12" s="7">
        <f t="shared" si="15"/>
        <v>80</v>
      </c>
      <c r="R12" s="7">
        <f t="shared" si="16"/>
        <v>-202.81518403099892</v>
      </c>
    </row>
    <row r="13" spans="1:18">
      <c r="A13" s="1">
        <f>A12+B13</f>
        <v>190</v>
      </c>
      <c r="B13" s="1">
        <v>5</v>
      </c>
      <c r="C13" s="1">
        <f t="shared" ref="C13" si="26">C12+(D12/3.6)*B13+(E12*B13*B13/2)</f>
        <v>3403.2221400059479</v>
      </c>
      <c r="D13" s="2">
        <f t="shared" ref="D13" si="27">D12+(E12*B13)*3.6</f>
        <v>35.425800000000038</v>
      </c>
      <c r="E13" s="1">
        <v>-0.5</v>
      </c>
      <c r="F13" s="2">
        <f t="shared" ref="F13" si="28">R13</f>
        <v>-203.97486881779892</v>
      </c>
      <c r="G13" s="1">
        <v>0</v>
      </c>
      <c r="H13" s="1">
        <f>10*'Osnovni podaci'!D13*0.33/(1+0.01*D13)</f>
        <v>199.81421560736575</v>
      </c>
      <c r="I13" s="1">
        <f>'Osnovni podaci'!D13*(20+(D13*D13/240))*0.001+('Osnovni podaci'!C13-'Osnovni podaci'!D13)*(20+(D13*D13*'Osnovni podaci'!H13/10))*0.001</f>
        <v>10.025131182201084</v>
      </c>
      <c r="J13" s="1">
        <f t="shared" ref="J13" si="29">F13*(D13/3.6)/1000</f>
        <v>-2.0072146966015527</v>
      </c>
      <c r="K13" s="1">
        <f>J13/'Osnovni podaci'!F13+'Osnovni podaci'!I13</f>
        <v>-2.111429054825356</v>
      </c>
      <c r="L13" s="1">
        <f>K13*TAN(ACOS(0.8))</f>
        <v>-1.5835717911190166</v>
      </c>
      <c r="M13" s="1"/>
      <c r="N13" s="7">
        <f t="shared" si="12"/>
        <v>1000</v>
      </c>
      <c r="O13" s="7">
        <f t="shared" si="13"/>
        <v>0</v>
      </c>
      <c r="P13" s="7">
        <f t="shared" si="14"/>
        <v>0</v>
      </c>
      <c r="Q13" s="7">
        <f t="shared" si="15"/>
        <v>80</v>
      </c>
      <c r="R13" s="7">
        <f t="shared" si="16"/>
        <v>-203.97486881779892</v>
      </c>
    </row>
    <row r="14" spans="1:18">
      <c r="A14" s="1">
        <f>A13+B14</f>
        <v>195</v>
      </c>
      <c r="B14" s="1">
        <v>5</v>
      </c>
      <c r="C14" s="1">
        <f t="shared" ref="C14" si="30">C13+(D13/3.6)*B14+(E13*B14*B14/2)</f>
        <v>3446.1746400059478</v>
      </c>
      <c r="D14" s="2">
        <f t="shared" ref="D14" si="31">D13+(E13*B14)*3.6</f>
        <v>26.425800000000038</v>
      </c>
      <c r="E14" s="1">
        <v>-0.5</v>
      </c>
      <c r="F14" s="2">
        <f t="shared" ref="F14" si="32">R14</f>
        <v>-204.87313960459892</v>
      </c>
      <c r="G14" s="1">
        <v>0</v>
      </c>
      <c r="H14" s="1">
        <f>10*'Osnovni podaci'!D14*0.33/(1+0.01*D14)</f>
        <v>214.03859022446363</v>
      </c>
      <c r="I14" s="1">
        <f>'Osnovni podaci'!D14*(20+(D14*D14/240))*0.001+('Osnovni podaci'!C14-'Osnovni podaci'!D14)*(20+(D14*D14*'Osnovni podaci'!H14/10))*0.001</f>
        <v>9.1268603954010832</v>
      </c>
      <c r="J14" s="1">
        <f t="shared" ref="J14" si="33">F14*(D14/3.6)/1000</f>
        <v>-1.5038712812675605</v>
      </c>
      <c r="K14" s="1">
        <f>J14/'Osnovni podaci'!F14+'Osnovni podaci'!I14</f>
        <v>-1.5192603309030124</v>
      </c>
      <c r="L14" s="1">
        <f>K14*TAN(ACOS(0.8))</f>
        <v>-1.139445248177259</v>
      </c>
      <c r="M14" s="1"/>
      <c r="N14" s="7">
        <f t="shared" si="12"/>
        <v>1000</v>
      </c>
      <c r="O14" s="7">
        <f t="shared" si="13"/>
        <v>0</v>
      </c>
      <c r="P14" s="7">
        <f t="shared" si="14"/>
        <v>0</v>
      </c>
      <c r="Q14" s="7">
        <f t="shared" si="15"/>
        <v>80</v>
      </c>
      <c r="R14" s="7">
        <f t="shared" si="16"/>
        <v>-204.87313960459892</v>
      </c>
    </row>
    <row r="15" spans="1:18">
      <c r="A15" s="1">
        <f>A14+B15</f>
        <v>200</v>
      </c>
      <c r="B15" s="1">
        <v>5</v>
      </c>
      <c r="C15" s="1">
        <f t="shared" ref="C15:C16" si="34">C14+(D14/3.6)*B15+(E14*B15*B15/2)</f>
        <v>3476.6271400059477</v>
      </c>
      <c r="D15" s="2">
        <f t="shared" ref="D15:D16" si="35">D14+(E14*B15)*3.6</f>
        <v>17.425800000000038</v>
      </c>
      <c r="E15" s="1">
        <v>-0.5</v>
      </c>
      <c r="F15" s="2">
        <f t="shared" ref="F15:F16" si="36">R15</f>
        <v>-205.50999639139891</v>
      </c>
      <c r="G15" s="1">
        <v>0</v>
      </c>
      <c r="H15" s="1">
        <f>10*'Osnovni podaci'!D15*0.33/(1+0.01*D15)</f>
        <v>230.44339489277476</v>
      </c>
      <c r="I15" s="1">
        <f>'Osnovni podaci'!D15*(20+(D15*D15/240))*0.001+('Osnovni podaci'!C15-'Osnovni podaci'!D15)*(20+(D15*D15*'Osnovni podaci'!H15/10))*0.001</f>
        <v>8.4900036086010822</v>
      </c>
      <c r="J15" s="1">
        <f t="shared" ref="J15:J16" si="37">F15*(D15/3.6)/1000</f>
        <v>-0.99477113753256852</v>
      </c>
      <c r="K15" s="1">
        <f>J15/'Osnovni podaci'!F15+'Osnovni podaci'!I15</f>
        <v>-0.92031898533243361</v>
      </c>
      <c r="L15" s="1">
        <f>K15*TAN(ACOS(0.7))</f>
        <v>-0.93891316645439304</v>
      </c>
      <c r="M15" s="1"/>
      <c r="N15" s="7">
        <f t="shared" si="12"/>
        <v>1000</v>
      </c>
      <c r="O15" s="7">
        <f t="shared" si="13"/>
        <v>0</v>
      </c>
      <c r="P15" s="7">
        <f t="shared" si="14"/>
        <v>0</v>
      </c>
      <c r="Q15" s="7">
        <f t="shared" si="15"/>
        <v>80</v>
      </c>
      <c r="R15" s="7">
        <f t="shared" si="16"/>
        <v>-205.50999639139891</v>
      </c>
    </row>
    <row r="16" spans="1:18">
      <c r="A16" s="1">
        <f t="shared" ref="A16" si="38">A15+B16</f>
        <v>205</v>
      </c>
      <c r="B16" s="1">
        <v>5</v>
      </c>
      <c r="C16" s="1">
        <f t="shared" si="34"/>
        <v>3494.5796400059476</v>
      </c>
      <c r="D16" s="2">
        <f t="shared" si="35"/>
        <v>8.4258000000000379</v>
      </c>
      <c r="E16" s="1">
        <v>-0.5</v>
      </c>
      <c r="F16" s="2">
        <f t="shared" si="36"/>
        <v>-205.88543917819891</v>
      </c>
      <c r="G16" s="1">
        <v>0</v>
      </c>
      <c r="H16" s="1">
        <f>10*'Osnovni podaci'!D16*0.33/(1+0.01*D16)</f>
        <v>249.57159642815634</v>
      </c>
      <c r="I16" s="1">
        <f>'Osnovni podaci'!D16*(20+(D16*D16/240))*0.001+('Osnovni podaci'!C16-'Osnovni podaci'!D16)*(20+(D16*D16*'Osnovni podaci'!H16/10))*0.001</f>
        <v>8.1145608218010814</v>
      </c>
      <c r="J16" s="1">
        <f t="shared" si="37"/>
        <v>-0.48187487039657673</v>
      </c>
      <c r="K16" s="1">
        <f>J16/'Osnovni podaci'!F16+'Osnovni podaci'!I16</f>
        <v>-0.31691161223126674</v>
      </c>
      <c r="L16" s="1">
        <f>K16*TAN(ACOS(0.35))</f>
        <v>-0.8481910217372014</v>
      </c>
      <c r="M16" s="1"/>
      <c r="N16" s="7">
        <f t="shared" ref="N16:N18" si="39">N15</f>
        <v>1000</v>
      </c>
      <c r="O16" s="7">
        <f t="shared" ref="O16:O18" si="40">O15</f>
        <v>0</v>
      </c>
      <c r="P16" s="7">
        <f t="shared" ref="P16:P18" si="41">P15</f>
        <v>0</v>
      </c>
      <c r="Q16" s="7">
        <f t="shared" ref="Q16:Q18" si="42">Q15</f>
        <v>80</v>
      </c>
      <c r="R16" s="7">
        <f t="shared" ref="R16:R18" si="43">E16*400*1.07+G16+I16</f>
        <v>-205.88543917819891</v>
      </c>
    </row>
    <row r="17" spans="1:18">
      <c r="A17" s="1">
        <f t="shared" ref="A17" si="44">A16+B17</f>
        <v>209.68</v>
      </c>
      <c r="B17" s="1">
        <v>4.68</v>
      </c>
      <c r="C17" s="1">
        <f t="shared" ref="C17" si="45">C16+(D16/3.6)*B17+(E16*B17*B17/2)</f>
        <v>3500.0575800059473</v>
      </c>
      <c r="D17" s="2">
        <f t="shared" ref="D17" si="46">D16+(E16*B17)*3.6</f>
        <v>1.8000000000384375E-3</v>
      </c>
      <c r="E17" s="1">
        <v>0</v>
      </c>
      <c r="F17" s="2">
        <f t="shared" ref="F17" si="47">R17</f>
        <v>8.00000000522828</v>
      </c>
      <c r="G17" s="1">
        <v>0</v>
      </c>
      <c r="H17" s="1">
        <f>10*'Osnovni podaci'!D17*0.33/(1+0.01*D17)</f>
        <v>270.59512928767276</v>
      </c>
      <c r="I17" s="1">
        <f>'Osnovni podaci'!D17*(20+(D17*D17/240))*0.001+('Osnovni podaci'!C17-'Osnovni podaci'!D17)*(20+(D17*D17*'Osnovni podaci'!H17/10))*0.001</f>
        <v>8.00000000522828</v>
      </c>
      <c r="J17" s="1">
        <f t="shared" ref="J17" si="48">F17*(D17/3.6)/1000</f>
        <v>4.0000000026995565E-6</v>
      </c>
      <c r="K17" s="1">
        <f>J17/'Osnovni podaci'!F17+'Osnovni podaci'!I17</f>
        <v>0.25000470588235613</v>
      </c>
      <c r="L17" s="1">
        <f>K17*TAN(ACOS(0.9))</f>
        <v>0.12108280537231098</v>
      </c>
      <c r="M17" s="1"/>
      <c r="N17" s="7">
        <f t="shared" si="39"/>
        <v>1000</v>
      </c>
      <c r="O17" s="7">
        <f t="shared" si="40"/>
        <v>0</v>
      </c>
      <c r="P17" s="7">
        <f t="shared" si="41"/>
        <v>0</v>
      </c>
      <c r="Q17" s="7">
        <f t="shared" si="42"/>
        <v>80</v>
      </c>
      <c r="R17" s="7">
        <f t="shared" si="43"/>
        <v>8.00000000522828</v>
      </c>
    </row>
    <row r="18" spans="1:18">
      <c r="A18" s="1"/>
      <c r="B18" s="1"/>
      <c r="C18" s="1"/>
      <c r="D18" s="2"/>
      <c r="E18" s="1"/>
      <c r="F18" s="2"/>
      <c r="G18" s="1"/>
      <c r="H18" s="1"/>
      <c r="I18" s="1"/>
      <c r="J18" s="1"/>
      <c r="K18" s="1"/>
      <c r="L18" s="1"/>
      <c r="M18" s="1"/>
      <c r="N18" s="7">
        <f t="shared" si="39"/>
        <v>1000</v>
      </c>
      <c r="O18" s="7">
        <f t="shared" si="40"/>
        <v>0</v>
      </c>
      <c r="P18" s="7">
        <f t="shared" si="41"/>
        <v>0</v>
      </c>
      <c r="Q18" s="7">
        <f t="shared" si="42"/>
        <v>80</v>
      </c>
      <c r="R18" s="7">
        <f t="shared" si="43"/>
        <v>0</v>
      </c>
    </row>
    <row r="19" spans="1:18">
      <c r="A19" s="14" t="s">
        <v>36</v>
      </c>
      <c r="B19" s="14"/>
      <c r="C19" s="14" t="s">
        <v>38</v>
      </c>
      <c r="D19" s="14"/>
      <c r="E19" s="1"/>
      <c r="F19" s="1"/>
      <c r="G19" s="1"/>
      <c r="H19" s="9" t="s">
        <v>37</v>
      </c>
      <c r="I19" s="1"/>
      <c r="J19" s="1"/>
      <c r="K19" s="1"/>
      <c r="L19" s="1"/>
      <c r="M19" s="1"/>
      <c r="N19" s="7"/>
      <c r="O19" s="7"/>
      <c r="P19" s="7"/>
      <c r="Q19" s="7"/>
      <c r="R19" s="7"/>
    </row>
    <row r="20" spans="1:18">
      <c r="A20" s="14" t="s">
        <v>31</v>
      </c>
      <c r="B20" s="14"/>
      <c r="C20" s="14" t="s">
        <v>39</v>
      </c>
      <c r="D20" s="14"/>
      <c r="G20">
        <f>3500-C21</f>
        <v>3006.1728395061727</v>
      </c>
      <c r="H20" t="s">
        <v>40</v>
      </c>
      <c r="J20" s="1"/>
      <c r="K20" s="1"/>
      <c r="L20" s="1"/>
      <c r="M20" s="1"/>
      <c r="N20" s="7"/>
      <c r="O20" s="7"/>
      <c r="P20" s="7"/>
      <c r="Q20" s="7"/>
      <c r="R20" s="7"/>
    </row>
    <row r="21" spans="1:18">
      <c r="A21" s="14">
        <f>(80/3.6-0/3.6)/0.5</f>
        <v>44.444444444444443</v>
      </c>
      <c r="B21" s="14"/>
      <c r="C21">
        <f>80/3.6*A21-0.5*A21*A21/2</f>
        <v>493.82716049382714</v>
      </c>
      <c r="N21" s="7"/>
      <c r="O21" s="7"/>
      <c r="P21" s="7"/>
      <c r="Q21" s="7"/>
      <c r="R21" s="7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7"/>
      <c r="O22" s="7"/>
      <c r="P22" s="7"/>
      <c r="Q22" s="7"/>
      <c r="R22" s="7"/>
    </row>
    <row r="23" spans="1:18">
      <c r="A23" s="6"/>
      <c r="B23" s="6"/>
      <c r="C23" s="6"/>
      <c r="D23" s="6"/>
      <c r="E23" s="6"/>
      <c r="F23" s="6"/>
      <c r="G23" s="1"/>
      <c r="H23" s="1"/>
      <c r="I23" s="1"/>
      <c r="J23" s="1"/>
      <c r="K23" s="1"/>
      <c r="L23" s="1"/>
      <c r="M23" s="1"/>
      <c r="N23" s="7"/>
      <c r="O23" s="7"/>
      <c r="P23" s="7"/>
      <c r="Q23" s="7"/>
      <c r="R23" s="7"/>
    </row>
    <row r="24" spans="1:18">
      <c r="A24" s="14"/>
      <c r="B24" s="1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7"/>
      <c r="O24" s="7"/>
      <c r="P24" s="7"/>
      <c r="Q24" s="7"/>
      <c r="R24" s="7"/>
    </row>
    <row r="25" spans="1:18">
      <c r="A25" s="14"/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7"/>
      <c r="O25" s="7"/>
      <c r="P25" s="7"/>
      <c r="Q25" s="7"/>
      <c r="R25" s="7"/>
    </row>
    <row r="26" spans="1:18">
      <c r="N26" s="7"/>
      <c r="O26" s="7"/>
      <c r="P26" s="7"/>
      <c r="Q26" s="7"/>
      <c r="R26" s="7"/>
    </row>
    <row r="27" spans="1:18">
      <c r="N27" s="7"/>
      <c r="O27" s="7"/>
      <c r="P27" s="7"/>
      <c r="Q27" s="7"/>
      <c r="R27" s="7"/>
    </row>
    <row r="28" spans="1:18">
      <c r="N28" s="7"/>
      <c r="O28" s="7"/>
      <c r="P28" s="7"/>
      <c r="Q28" s="7"/>
      <c r="R28" s="7"/>
    </row>
    <row r="29" spans="1:18">
      <c r="N29" s="7"/>
      <c r="O29" s="7"/>
      <c r="P29" s="7"/>
      <c r="Q29" s="7"/>
      <c r="R29" s="7"/>
    </row>
    <row r="30" spans="1:18">
      <c r="N30" s="7"/>
      <c r="O30" s="7"/>
      <c r="P30" s="7"/>
      <c r="Q30" s="7"/>
      <c r="R30" s="7"/>
    </row>
    <row r="31" spans="1:18">
      <c r="N31" s="7"/>
      <c r="O31" s="7"/>
      <c r="P31" s="7"/>
      <c r="Q31" s="7"/>
      <c r="R31" s="7"/>
    </row>
    <row r="32" spans="1:18">
      <c r="N32" s="7"/>
      <c r="O32" s="7"/>
      <c r="P32" s="7"/>
      <c r="Q32" s="7"/>
      <c r="R32" s="7"/>
    </row>
    <row r="33" spans="14:18">
      <c r="N33" s="7"/>
      <c r="O33" s="7"/>
      <c r="P33" s="7"/>
      <c r="Q33" s="7"/>
      <c r="R33" s="7"/>
    </row>
  </sheetData>
  <mergeCells count="7">
    <mergeCell ref="A24:B24"/>
    <mergeCell ref="A25:B25"/>
    <mergeCell ref="C19:D19"/>
    <mergeCell ref="C20:D20"/>
    <mergeCell ref="A19:B19"/>
    <mergeCell ref="A20:B20"/>
    <mergeCell ref="A21:B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M50"/>
  <sheetViews>
    <sheetView tabSelected="1" topLeftCell="A73" workbookViewId="0">
      <selection activeCell="M100" sqref="M100"/>
    </sheetView>
  </sheetViews>
  <sheetFormatPr defaultRowHeight="15"/>
  <cols>
    <col min="2" max="2" width="7.42578125" customWidth="1"/>
    <col min="4" max="4" width="9.28515625" customWidth="1"/>
  </cols>
  <sheetData>
    <row r="1" spans="2:13">
      <c r="B1">
        <f>'Dionica 1'!A2</f>
        <v>0</v>
      </c>
      <c r="C1">
        <f>'Dionica 1'!D2</f>
        <v>0</v>
      </c>
      <c r="D1">
        <f>'Dionica 1'!C2</f>
        <v>0</v>
      </c>
      <c r="E1">
        <f>'Dionica 1'!E2</f>
        <v>0.30700934579439254</v>
      </c>
      <c r="F1">
        <f>IF(L1&lt;K1,K1,L1)</f>
        <v>0.25</v>
      </c>
      <c r="G1">
        <f>IF(M1&lt;K1,K1,M1)</f>
        <v>0.12108052620946314</v>
      </c>
      <c r="K1">
        <v>0</v>
      </c>
      <c r="L1">
        <f>'Dionica 1'!K2</f>
        <v>0.25</v>
      </c>
      <c r="M1">
        <f>'Dionica 1'!L2</f>
        <v>0.12108052620946314</v>
      </c>
    </row>
    <row r="2" spans="2:13">
      <c r="B2">
        <f>'Dionica 1'!A3</f>
        <v>5</v>
      </c>
      <c r="C2">
        <f>'Dionica 1'!D3</f>
        <v>5.5261682242990657</v>
      </c>
      <c r="D2">
        <f>'Dionica 1'!C3</f>
        <v>3.837616822429907</v>
      </c>
      <c r="E2">
        <f>'Dionica 1'!E3</f>
        <v>0.30689420790567556</v>
      </c>
      <c r="F2">
        <f t="shared" ref="F2:F50" si="0">IF(L2&lt;K2,K2,L2)</f>
        <v>0.52089059923034631</v>
      </c>
      <c r="G2">
        <f t="shared" ref="G2:G50" si="1">IF(M2&lt;K2,K2,M2)</f>
        <v>2.0174006160151334</v>
      </c>
      <c r="K2">
        <v>0</v>
      </c>
      <c r="L2">
        <f>'Dionica 1'!K3</f>
        <v>0.52089059923034631</v>
      </c>
      <c r="M2">
        <f>'Dionica 1'!L3</f>
        <v>2.0174006160151334</v>
      </c>
    </row>
    <row r="3" spans="2:13">
      <c r="B3">
        <f>'Dionica 1'!A4</f>
        <v>10</v>
      </c>
      <c r="C3">
        <f>'Dionica 1'!D4</f>
        <v>11.050263966601225</v>
      </c>
      <c r="D3">
        <f>'Dionica 1'!C4</f>
        <v>15.349028066110664</v>
      </c>
      <c r="E3">
        <f>'Dionica 1'!E4</f>
        <v>0.30654896694424105</v>
      </c>
      <c r="F3">
        <f t="shared" si="0"/>
        <v>0.79167960620594235</v>
      </c>
      <c r="G3">
        <f t="shared" si="1"/>
        <v>0.80767474943667494</v>
      </c>
      <c r="K3">
        <v>0</v>
      </c>
      <c r="L3">
        <f>'Dionica 1'!K4</f>
        <v>0.79167960620594235</v>
      </c>
      <c r="M3">
        <f>'Dionica 1'!L4</f>
        <v>0.80767474943667494</v>
      </c>
    </row>
    <row r="4" spans="2:13">
      <c r="B4">
        <f>'Dionica 1'!A5</f>
        <v>15</v>
      </c>
      <c r="C4">
        <f>'Dionica 1'!D5</f>
        <v>16.568145371597563</v>
      </c>
      <c r="D4">
        <f>'Dionica 1'!C5</f>
        <v>34.528478995415377</v>
      </c>
      <c r="E4">
        <f>'Dionica 1'!E5</f>
        <v>0.30597439940954491</v>
      </c>
      <c r="F4">
        <f t="shared" si="0"/>
        <v>1.0621639888038021</v>
      </c>
      <c r="G4">
        <f t="shared" si="1"/>
        <v>1.0836240150597058</v>
      </c>
      <c r="K4">
        <v>0</v>
      </c>
      <c r="L4">
        <f>'Dionica 1'!K5</f>
        <v>1.0621639888038021</v>
      </c>
      <c r="M4">
        <f>'Dionica 1'!L5</f>
        <v>1.0836240150597058</v>
      </c>
    </row>
    <row r="5" spans="2:13">
      <c r="B5">
        <f>'Dionica 1'!A6</f>
        <v>20</v>
      </c>
      <c r="C5">
        <f>'Dionica 1'!D6</f>
        <v>22.075684560969371</v>
      </c>
      <c r="D5">
        <f>'Dionica 1'!C6</f>
        <v>61.364472004142414</v>
      </c>
      <c r="E5">
        <f>'Dionica 1'!E6</f>
        <v>0.30517196818986581</v>
      </c>
      <c r="F5">
        <f t="shared" si="0"/>
        <v>1.3321414000475182</v>
      </c>
      <c r="G5">
        <f t="shared" si="1"/>
        <v>1.1748382852330468</v>
      </c>
      <c r="K5">
        <v>0</v>
      </c>
      <c r="L5">
        <f>'Dionica 1'!K6</f>
        <v>1.3321414000475182</v>
      </c>
      <c r="M5">
        <f>'Dionica 1'!L6</f>
        <v>1.1748382852330468</v>
      </c>
    </row>
    <row r="6" spans="2:13">
      <c r="B6">
        <f>'Dionica 1'!A7</f>
        <v>25</v>
      </c>
      <c r="C6">
        <f>'Dionica 1'!D7</f>
        <v>27.568779988386957</v>
      </c>
      <c r="D6">
        <f>'Dionica 1'!C7</f>
        <v>95.839794607862075</v>
      </c>
      <c r="E6">
        <f>'Dionica 1'!E7</f>
        <v>0.30414381451163336</v>
      </c>
      <c r="F6">
        <f t="shared" si="0"/>
        <v>1.6014107837444587</v>
      </c>
      <c r="G6">
        <f t="shared" si="1"/>
        <v>1.2010580878083437</v>
      </c>
      <c r="K6">
        <v>0</v>
      </c>
      <c r="L6">
        <f>'Dionica 1'!K7</f>
        <v>1.6014107837444587</v>
      </c>
      <c r="M6">
        <f>'Dionica 1'!L7</f>
        <v>1.2010580878083437</v>
      </c>
    </row>
    <row r="7" spans="2:13">
      <c r="B7">
        <f>'Dionica 1'!A8</f>
        <v>30</v>
      </c>
      <c r="C7">
        <f>'Dionica 1'!D8</f>
        <v>33.04336864959636</v>
      </c>
      <c r="D7">
        <f>'Dionica 1'!C8</f>
        <v>137.9315644953505</v>
      </c>
      <c r="E7">
        <f>'Dionica 1'!E8</f>
        <v>0.30289274560054269</v>
      </c>
      <c r="F7">
        <f t="shared" si="0"/>
        <v>1.8697729730194297</v>
      </c>
      <c r="G7">
        <f t="shared" si="1"/>
        <v>1.4023297297645718</v>
      </c>
      <c r="K7">
        <v>0</v>
      </c>
      <c r="L7">
        <f>'Dionica 1'!K8</f>
        <v>1.8697729730194297</v>
      </c>
      <c r="M7">
        <f>'Dionica 1'!L8</f>
        <v>1.4023297297645718</v>
      </c>
    </row>
    <row r="8" spans="2:13">
      <c r="B8">
        <f>'Dionica 1'!A9</f>
        <v>35</v>
      </c>
      <c r="C8">
        <f>'Dionica 1'!D9</f>
        <v>38.495438070406131</v>
      </c>
      <c r="D8">
        <f>'Dionica 1'!C9</f>
        <v>187.61129138424113</v>
      </c>
      <c r="E8">
        <f>'Dionica 1'!E9</f>
        <v>0.30142221817791481</v>
      </c>
      <c r="F8">
        <f t="shared" si="0"/>
        <v>2.1370312779610847</v>
      </c>
      <c r="G8">
        <f t="shared" si="1"/>
        <v>1.3244130355067285</v>
      </c>
      <c r="K8">
        <v>0</v>
      </c>
      <c r="L8">
        <f>'Dionica 1'!K9</f>
        <v>2.1370312779610847</v>
      </c>
      <c r="M8">
        <f>'Dionica 1'!L9</f>
        <v>1.3244130355067285</v>
      </c>
    </row>
    <row r="9" spans="2:13">
      <c r="B9">
        <f>'Dionica 1'!A10</f>
        <v>40</v>
      </c>
      <c r="C9">
        <f>'Dionica 1'!D10</f>
        <v>43.9210379976086</v>
      </c>
      <c r="D9">
        <f>'Dionica 1'!C10</f>
        <v>244.84495532036246</v>
      </c>
      <c r="E9">
        <f>'Dionica 1'!E10</f>
        <v>0.29973631796035072</v>
      </c>
      <c r="F9">
        <f t="shared" si="0"/>
        <v>2.4029920587063041</v>
      </c>
      <c r="G9">
        <f t="shared" si="1"/>
        <v>1.4892407236108471</v>
      </c>
      <c r="K9">
        <v>0</v>
      </c>
      <c r="L9">
        <f>'Dionica 1'!K10</f>
        <v>2.4029920587063041</v>
      </c>
      <c r="M9">
        <f>'Dionica 1'!L10</f>
        <v>1.4892407236108471</v>
      </c>
    </row>
    <row r="10" spans="2:13">
      <c r="B10">
        <f>'Dionica 1'!A11</f>
        <v>45</v>
      </c>
      <c r="C10">
        <f>'Dionica 1'!D11</f>
        <v>49.31629172089491</v>
      </c>
      <c r="D10">
        <f>'Dionica 1'!C11</f>
        <v>309.59310095821212</v>
      </c>
      <c r="E10">
        <f>'Dionica 1'!E11</f>
        <v>0.29783973537268299</v>
      </c>
      <c r="F10">
        <f t="shared" si="0"/>
        <v>2.667465280436025</v>
      </c>
      <c r="G10">
        <f t="shared" si="1"/>
        <v>1.65314650543707</v>
      </c>
      <c r="K10">
        <v>0</v>
      </c>
      <c r="L10">
        <f>'Dionica 1'!K11</f>
        <v>2.667465280436025</v>
      </c>
      <c r="M10">
        <f>'Dionica 1'!L11</f>
        <v>1.65314650543707</v>
      </c>
    </row>
    <row r="11" spans="2:13">
      <c r="B11">
        <f>'Dionica 1'!A12</f>
        <v>50</v>
      </c>
      <c r="C11">
        <f>'Dionica 1'!D12</f>
        <v>54.677406957603203</v>
      </c>
      <c r="D11">
        <f>'Dionica 1'!C12</f>
        <v>381.81094726272465</v>
      </c>
      <c r="E11">
        <f>'Dionica 1'!E12</f>
        <v>0.29573773772288847</v>
      </c>
      <c r="F11">
        <f t="shared" si="0"/>
        <v>2.9302650469413334</v>
      </c>
      <c r="G11">
        <f t="shared" si="1"/>
        <v>1.8160151728623921</v>
      </c>
      <c r="K11">
        <v>0</v>
      </c>
      <c r="L11">
        <f>'Dionica 1'!K12</f>
        <v>2.9302650469413334</v>
      </c>
      <c r="M11">
        <f>'Dionica 1'!L12</f>
        <v>1.8160151728623921</v>
      </c>
    </row>
    <row r="12" spans="2:13">
      <c r="B12">
        <f>'Dionica 1'!A13</f>
        <v>55</v>
      </c>
      <c r="C12">
        <f>'Dionica 1'!D13</f>
        <v>60.000686236615195</v>
      </c>
      <c r="D12">
        <f>'Dionica 1'!C13</f>
        <v>461.44851198093187</v>
      </c>
      <c r="E12">
        <f>'Dionica 1'!E13</f>
        <v>0.29343613812238767</v>
      </c>
      <c r="F12">
        <f t="shared" si="0"/>
        <v>3.1912101096380003</v>
      </c>
      <c r="G12">
        <f t="shared" si="1"/>
        <v>1.9777343981028941</v>
      </c>
      <c r="K12">
        <v>0</v>
      </c>
      <c r="L12">
        <f>'Dionica 1'!K13</f>
        <v>3.1912101096380003</v>
      </c>
      <c r="M12">
        <f>'Dionica 1'!L13</f>
        <v>1.9777343981028941</v>
      </c>
    </row>
    <row r="13" spans="2:13">
      <c r="B13">
        <f>'Dionica 1'!A14</f>
        <v>60</v>
      </c>
      <c r="C13">
        <f>'Dionica 1'!D14</f>
        <v>65.282536722818179</v>
      </c>
      <c r="D13">
        <f>'Dionica 1'!C14</f>
        <v>548.45075014720499</v>
      </c>
      <c r="E13">
        <f>'Dionica 1'!E14</f>
        <v>0.29094126146551641</v>
      </c>
      <c r="F13">
        <f t="shared" si="0"/>
        <v>3.4501243491577545</v>
      </c>
      <c r="G13">
        <f t="shared" si="1"/>
        <v>2.1381950321772063</v>
      </c>
      <c r="K13">
        <v>0</v>
      </c>
      <c r="L13">
        <f>'Dionica 1'!K14</f>
        <v>3.4501243491577545</v>
      </c>
      <c r="M13">
        <f>'Dionica 1'!L14</f>
        <v>2.1381950321772063</v>
      </c>
    </row>
    <row r="14" spans="2:13">
      <c r="B14">
        <f>'Dionica 1'!A15</f>
        <v>65</v>
      </c>
      <c r="C14">
        <f>'Dionica 1'!D15</f>
        <v>70.519479429197474</v>
      </c>
      <c r="D14">
        <f>'Dionica 1'!C15</f>
        <v>642.75770580832693</v>
      </c>
      <c r="E14">
        <f>'Dionica 1'!E15</f>
        <v>0.28825990780750033</v>
      </c>
      <c r="F14">
        <f t="shared" si="0"/>
        <v>3.7068372269214445</v>
      </c>
      <c r="G14">
        <f t="shared" si="1"/>
        <v>2.2972913847664209</v>
      </c>
      <c r="K14">
        <v>0</v>
      </c>
      <c r="L14">
        <f>'Dionica 1'!K15</f>
        <v>3.7068372269214445</v>
      </c>
      <c r="M14">
        <f>'Dionica 1'!L15</f>
        <v>2.2972913847664209</v>
      </c>
    </row>
    <row r="15" spans="2:13">
      <c r="B15">
        <f>'Dionica 1'!A16</f>
        <v>70</v>
      </c>
      <c r="C15">
        <f>'Dionica 1'!D16</f>
        <v>75.70815776973248</v>
      </c>
      <c r="D15">
        <f>'Dionica 1'!C16</f>
        <v>744.30467608536151</v>
      </c>
      <c r="E15">
        <f>'Dionica 1'!E16</f>
        <v>0.28539931350068182</v>
      </c>
      <c r="F15">
        <f t="shared" si="0"/>
        <v>3.9611842043986512</v>
      </c>
      <c r="G15">
        <f t="shared" si="1"/>
        <v>2.454921484047861</v>
      </c>
      <c r="K15">
        <v>0</v>
      </c>
      <c r="L15">
        <f>'Dionica 1'!K16</f>
        <v>3.9611842043986512</v>
      </c>
      <c r="M15">
        <f>'Dionica 1'!L16</f>
        <v>2.454921484047861</v>
      </c>
    </row>
    <row r="16" spans="2:13">
      <c r="B16">
        <f>'Dionica 1'!A17</f>
        <v>74.177229379683439</v>
      </c>
      <c r="C16">
        <f>'Dionica 1'!D17</f>
        <v>80</v>
      </c>
      <c r="D16">
        <f>'Dionica 1'!C17</f>
        <v>834.64199432037685</v>
      </c>
      <c r="E16">
        <f>'Dionica 1'!E17</f>
        <v>0</v>
      </c>
      <c r="F16">
        <f t="shared" si="0"/>
        <v>1.0062736383442266</v>
      </c>
      <c r="G16">
        <f t="shared" si="1"/>
        <v>0.62363239024812533</v>
      </c>
      <c r="K16">
        <v>0</v>
      </c>
      <c r="L16">
        <f>'Dionica 1'!K17</f>
        <v>1.0062736383442266</v>
      </c>
      <c r="M16">
        <f>'Dionica 1'!L17</f>
        <v>0.62363239024812533</v>
      </c>
    </row>
    <row r="17" spans="2:13">
      <c r="B17">
        <f>'Dionica 1'!A18</f>
        <v>75</v>
      </c>
      <c r="C17">
        <f>'Dionica 1'!D18</f>
        <v>80</v>
      </c>
      <c r="D17">
        <f>'Dionica 1'!C18</f>
        <v>852.92578588296715</v>
      </c>
      <c r="E17">
        <f>'Dionica 1'!E18</f>
        <v>0</v>
      </c>
      <c r="F17">
        <f t="shared" si="0"/>
        <v>1.0062736383442266</v>
      </c>
      <c r="G17">
        <f t="shared" si="1"/>
        <v>0.62363239024812533</v>
      </c>
      <c r="K17">
        <v>0</v>
      </c>
      <c r="L17">
        <f>'Dionica 1'!K18</f>
        <v>1.0062736383442266</v>
      </c>
      <c r="M17">
        <f>'Dionica 1'!L18</f>
        <v>0.62363239024812533</v>
      </c>
    </row>
    <row r="18" spans="2:13">
      <c r="B18">
        <f>'Dionica 1'!A19</f>
        <v>80</v>
      </c>
      <c r="C18">
        <f>'Dionica 1'!D19</f>
        <v>80</v>
      </c>
      <c r="D18">
        <f>'Dionica 1'!C19</f>
        <v>964.03689699407823</v>
      </c>
      <c r="E18">
        <f>'Dionica 1'!E19</f>
        <v>0</v>
      </c>
      <c r="F18">
        <f t="shared" si="0"/>
        <v>1.0062736383442266</v>
      </c>
      <c r="G18">
        <f t="shared" si="1"/>
        <v>0.62363239024812533</v>
      </c>
      <c r="K18">
        <v>0</v>
      </c>
      <c r="L18">
        <f>'Dionica 1'!K19</f>
        <v>1.0062736383442266</v>
      </c>
      <c r="M18">
        <f>'Dionica 1'!L19</f>
        <v>0.62363239024812533</v>
      </c>
    </row>
    <row r="19" spans="2:13">
      <c r="B19">
        <f>'Dionica 2'!A2</f>
        <v>81.61833963526648</v>
      </c>
      <c r="C19">
        <f>'Dionica 2'!D2</f>
        <v>80</v>
      </c>
      <c r="D19">
        <f>'Dionica 2'!C2</f>
        <v>1000</v>
      </c>
      <c r="E19">
        <f>'Dionica 2'!E2</f>
        <v>0.29460649755229196</v>
      </c>
      <c r="F19">
        <f t="shared" si="0"/>
        <v>4.1802832244008723</v>
      </c>
      <c r="G19">
        <f t="shared" si="1"/>
        <v>2.5907068612439059</v>
      </c>
      <c r="K19">
        <v>0</v>
      </c>
      <c r="L19">
        <f>'Dionica 2'!K2</f>
        <v>4.1802832244008723</v>
      </c>
      <c r="M19">
        <f>'Dionica 2'!L2</f>
        <v>2.5907068612439059</v>
      </c>
    </row>
    <row r="20" spans="2:13">
      <c r="B20">
        <f>'Dionica 2'!A3</f>
        <v>85</v>
      </c>
      <c r="C20">
        <f>'Dionica 2'!D3</f>
        <v>83.58653281747597</v>
      </c>
      <c r="D20">
        <f>'Dionica 2'!C3</f>
        <v>1076.8325130879218</v>
      </c>
      <c r="E20">
        <f>'Dionica 2'!E3</f>
        <v>0.28553254266866163</v>
      </c>
      <c r="F20">
        <f t="shared" si="0"/>
        <v>4.2762603744534813</v>
      </c>
      <c r="G20">
        <f t="shared" si="1"/>
        <v>2.6501881566050751</v>
      </c>
      <c r="K20">
        <v>0</v>
      </c>
      <c r="L20">
        <f>'Dionica 2'!K3</f>
        <v>4.2762603744534813</v>
      </c>
      <c r="M20">
        <f>'Dionica 2'!L3</f>
        <v>2.6501881566050751</v>
      </c>
    </row>
    <row r="21" spans="2:13">
      <c r="B21">
        <f>'Dionica 2'!A4</f>
        <v>90</v>
      </c>
      <c r="C21">
        <f>'Dionica 2'!D4</f>
        <v>88.726118585511884</v>
      </c>
      <c r="D21">
        <f>'Dionica 2'!C4</f>
        <v>1196.4940765622189</v>
      </c>
      <c r="E21">
        <f>'Dionica 2'!E4</f>
        <v>0.27281492288621634</v>
      </c>
      <c r="F21">
        <f t="shared" si="0"/>
        <v>4.4074385709144916</v>
      </c>
      <c r="G21">
        <f t="shared" si="1"/>
        <v>2.7314851011837162</v>
      </c>
      <c r="K21">
        <v>0</v>
      </c>
      <c r="L21">
        <f>'Dionica 2'!K4</f>
        <v>4.4074385709144916</v>
      </c>
      <c r="M21">
        <f>'Dionica 2'!L4</f>
        <v>2.7314851011837162</v>
      </c>
    </row>
    <row r="22" spans="2:13">
      <c r="B22">
        <f>'Dionica 2'!A5</f>
        <v>91.297054958450744</v>
      </c>
      <c r="C22">
        <f>'Dionica 2'!D5</f>
        <v>90</v>
      </c>
      <c r="D22">
        <f>'Dionica 2'!C5</f>
        <v>1228.6909652172178</v>
      </c>
      <c r="E22">
        <f>'Dionica 2'!E5</f>
        <v>0</v>
      </c>
      <c r="F22">
        <f t="shared" si="0"/>
        <v>1.0436760504201681</v>
      </c>
      <c r="G22">
        <f t="shared" si="1"/>
        <v>0.64681232337480987</v>
      </c>
      <c r="K22">
        <v>0</v>
      </c>
      <c r="L22">
        <f>'Dionica 2'!K5</f>
        <v>1.0436760504201681</v>
      </c>
      <c r="M22">
        <f>'Dionica 2'!L5</f>
        <v>0.64681232337480987</v>
      </c>
    </row>
    <row r="23" spans="2:13">
      <c r="B23">
        <f>'Dionica 2'!A6</f>
        <v>95</v>
      </c>
      <c r="C23">
        <f>'Dionica 2'!D6</f>
        <v>90</v>
      </c>
      <c r="D23">
        <f>'Dionica 2'!C6</f>
        <v>1321.2645912559492</v>
      </c>
      <c r="E23">
        <f>'Dionica 2'!E6</f>
        <v>0</v>
      </c>
      <c r="F23">
        <f t="shared" si="0"/>
        <v>1.0436760504201681</v>
      </c>
      <c r="G23">
        <f t="shared" si="1"/>
        <v>0.64681232337480987</v>
      </c>
      <c r="K23">
        <v>0</v>
      </c>
      <c r="L23">
        <f>'Dionica 2'!K6</f>
        <v>1.0436760504201681</v>
      </c>
      <c r="M23">
        <f>'Dionica 2'!L6</f>
        <v>0.64681232337480987</v>
      </c>
    </row>
    <row r="24" spans="2:13">
      <c r="B24">
        <f>'Dionica 2'!A7</f>
        <v>100</v>
      </c>
      <c r="C24">
        <f>'Dionica 2'!D7</f>
        <v>90</v>
      </c>
      <c r="D24">
        <f>'Dionica 2'!C7</f>
        <v>1446.2645912559492</v>
      </c>
      <c r="E24">
        <f>'Dionica 2'!E7</f>
        <v>0</v>
      </c>
      <c r="F24">
        <f t="shared" si="0"/>
        <v>1.0436760504201681</v>
      </c>
      <c r="G24">
        <f t="shared" si="1"/>
        <v>0.64681232337480987</v>
      </c>
      <c r="K24">
        <v>0</v>
      </c>
      <c r="L24">
        <f>'Dionica 2'!K7</f>
        <v>1.0436760504201681</v>
      </c>
      <c r="M24">
        <f>'Dionica 2'!L7</f>
        <v>0.64681232337480987</v>
      </c>
    </row>
    <row r="25" spans="2:13">
      <c r="B25">
        <f>'Dionica 2'!A8</f>
        <v>105</v>
      </c>
      <c r="C25">
        <f>'Dionica 2'!D8</f>
        <v>90</v>
      </c>
      <c r="D25">
        <f>'Dionica 2'!C8</f>
        <v>1571.2645912559492</v>
      </c>
      <c r="E25">
        <f>'Dionica 2'!E8</f>
        <v>0</v>
      </c>
      <c r="F25">
        <f t="shared" si="0"/>
        <v>1.0436760504201681</v>
      </c>
      <c r="G25">
        <f t="shared" si="1"/>
        <v>0.64681232337480987</v>
      </c>
      <c r="K25">
        <v>0</v>
      </c>
      <c r="L25">
        <f>'Dionica 2'!K8</f>
        <v>1.0436760504201681</v>
      </c>
      <c r="M25">
        <f>'Dionica 2'!L8</f>
        <v>0.64681232337480987</v>
      </c>
    </row>
    <row r="26" spans="2:13">
      <c r="B26">
        <f>'Dionica 2'!A9</f>
        <v>110</v>
      </c>
      <c r="C26">
        <f>'Dionica 2'!D9</f>
        <v>90</v>
      </c>
      <c r="D26">
        <f>'Dionica 2'!C9</f>
        <v>1696.2645912559492</v>
      </c>
      <c r="E26">
        <f>'Dionica 2'!E9</f>
        <v>0</v>
      </c>
      <c r="F26">
        <f t="shared" si="0"/>
        <v>1.0436760504201681</v>
      </c>
      <c r="G26">
        <f t="shared" si="1"/>
        <v>0.64681232337480987</v>
      </c>
      <c r="K26">
        <v>0</v>
      </c>
      <c r="L26">
        <f>'Dionica 2'!K9</f>
        <v>1.0436760504201681</v>
      </c>
      <c r="M26">
        <f>'Dionica 2'!L9</f>
        <v>0.64681232337480987</v>
      </c>
    </row>
    <row r="27" spans="2:13">
      <c r="B27">
        <f>'Dionica 3'!A2</f>
        <v>114.14941634976203</v>
      </c>
      <c r="C27">
        <f>'Dionica 3'!D2</f>
        <v>90</v>
      </c>
      <c r="D27">
        <f>'Dionica 3'!C2</f>
        <v>1800</v>
      </c>
      <c r="E27">
        <f>'Dionica 3'!E2</f>
        <v>0</v>
      </c>
      <c r="F27">
        <f t="shared" si="0"/>
        <v>1.0436760504201681</v>
      </c>
      <c r="G27">
        <f t="shared" si="1"/>
        <v>0.64681232337480987</v>
      </c>
      <c r="K27">
        <v>0</v>
      </c>
      <c r="L27">
        <f>'Dionica 3'!K2</f>
        <v>1.0436760504201681</v>
      </c>
      <c r="M27">
        <f>'Dionica 3'!L2</f>
        <v>0.64681232337480987</v>
      </c>
    </row>
    <row r="28" spans="2:13">
      <c r="B28">
        <f>'Dionica 3'!A3</f>
        <v>115</v>
      </c>
      <c r="C28">
        <f>'Dionica 3'!D3</f>
        <v>90</v>
      </c>
      <c r="D28">
        <f>'Dionica 3'!C3</f>
        <v>1821.2645912559492</v>
      </c>
      <c r="E28">
        <f>'Dionica 3'!E3</f>
        <v>0</v>
      </c>
      <c r="F28">
        <f t="shared" si="0"/>
        <v>0.41874607843137257</v>
      </c>
      <c r="G28">
        <f t="shared" si="1"/>
        <v>0.2595155113363446</v>
      </c>
      <c r="K28">
        <v>0</v>
      </c>
      <c r="L28">
        <f>'Dionica 3'!K3</f>
        <v>0.41874607843137257</v>
      </c>
      <c r="M28">
        <f>'Dionica 3'!L3</f>
        <v>0.2595155113363446</v>
      </c>
    </row>
    <row r="29" spans="2:13">
      <c r="B29">
        <f>'Dionica 3'!A4</f>
        <v>120</v>
      </c>
      <c r="C29">
        <f>'Dionica 3'!D4</f>
        <v>90</v>
      </c>
      <c r="D29">
        <f>'Dionica 3'!C4</f>
        <v>1946.2645912559492</v>
      </c>
      <c r="E29">
        <f>'Dionica 3'!E4</f>
        <v>0</v>
      </c>
      <c r="F29">
        <f t="shared" si="0"/>
        <v>0.41874607843137257</v>
      </c>
      <c r="G29">
        <f t="shared" si="1"/>
        <v>0.2595155113363446</v>
      </c>
      <c r="K29">
        <v>0</v>
      </c>
      <c r="L29">
        <f>'Dionica 3'!K4</f>
        <v>0.41874607843137257</v>
      </c>
      <c r="M29">
        <f>'Dionica 3'!L4</f>
        <v>0.2595155113363446</v>
      </c>
    </row>
    <row r="30" spans="2:13">
      <c r="B30">
        <f>'Dionica 3'!A5</f>
        <v>125</v>
      </c>
      <c r="C30">
        <f>'Dionica 3'!D5</f>
        <v>90</v>
      </c>
      <c r="D30">
        <f>'Dionica 3'!C5</f>
        <v>2071.2645912559492</v>
      </c>
      <c r="E30">
        <f>'Dionica 3'!E5</f>
        <v>0</v>
      </c>
      <c r="F30">
        <f t="shared" si="0"/>
        <v>0.41874607843137257</v>
      </c>
      <c r="G30">
        <f t="shared" si="1"/>
        <v>0.2595155113363446</v>
      </c>
      <c r="K30">
        <v>0</v>
      </c>
      <c r="L30">
        <f>'Dionica 3'!K5</f>
        <v>0.41874607843137257</v>
      </c>
      <c r="M30">
        <f>'Dionica 3'!L5</f>
        <v>0.2595155113363446</v>
      </c>
    </row>
    <row r="31" spans="2:13">
      <c r="B31">
        <f>'Dionica 3'!A6</f>
        <v>130</v>
      </c>
      <c r="C31">
        <f>'Dionica 3'!D6</f>
        <v>90</v>
      </c>
      <c r="D31">
        <f>'Dionica 3'!C6</f>
        <v>2196.2645912559492</v>
      </c>
      <c r="E31">
        <f>'Dionica 3'!E6</f>
        <v>0</v>
      </c>
      <c r="F31">
        <f t="shared" si="0"/>
        <v>0.41874607843137257</v>
      </c>
      <c r="G31">
        <f t="shared" si="1"/>
        <v>0.2595155113363446</v>
      </c>
      <c r="K31">
        <v>0</v>
      </c>
      <c r="L31">
        <f>'Dionica 3'!K6</f>
        <v>0.41874607843137257</v>
      </c>
      <c r="M31">
        <f>'Dionica 3'!L6</f>
        <v>0.2595155113363446</v>
      </c>
    </row>
    <row r="32" spans="2:13">
      <c r="B32">
        <f>'Dionica 3'!A7</f>
        <v>135</v>
      </c>
      <c r="C32">
        <f>'Dionica 3'!D7</f>
        <v>90</v>
      </c>
      <c r="D32">
        <f>'Dionica 3'!C7</f>
        <v>2321.2645912559492</v>
      </c>
      <c r="E32">
        <f>'Dionica 3'!E7</f>
        <v>0</v>
      </c>
      <c r="F32">
        <f t="shared" si="0"/>
        <v>0.41874607843137257</v>
      </c>
      <c r="G32">
        <f t="shared" si="1"/>
        <v>0.2595155113363446</v>
      </c>
      <c r="K32">
        <v>0</v>
      </c>
      <c r="L32">
        <f>'Dionica 3'!K7</f>
        <v>0.41874607843137257</v>
      </c>
      <c r="M32">
        <f>'Dionica 3'!L7</f>
        <v>0.2595155113363446</v>
      </c>
    </row>
    <row r="33" spans="2:13">
      <c r="B33">
        <f>'Dionica 3'!A8</f>
        <v>136.90700000000001</v>
      </c>
      <c r="C33">
        <f>'Dionica 3'!D8</f>
        <v>90</v>
      </c>
      <c r="D33">
        <f>'Dionica 3'!C8</f>
        <v>2368.9395912559494</v>
      </c>
      <c r="E33">
        <f>'Dionica 3'!E8</f>
        <v>-0.5</v>
      </c>
      <c r="F33">
        <f t="shared" si="0"/>
        <v>0</v>
      </c>
      <c r="G33">
        <f t="shared" si="1"/>
        <v>0</v>
      </c>
      <c r="K33">
        <v>0</v>
      </c>
      <c r="L33">
        <f>'Dionica 3'!K8</f>
        <v>-5.8753715686274521</v>
      </c>
      <c r="M33">
        <f>'Dionica 3'!L8</f>
        <v>-3.6412282656714177</v>
      </c>
    </row>
    <row r="34" spans="2:13">
      <c r="B34">
        <f>'Dionica 3'!A9</f>
        <v>140</v>
      </c>
      <c r="C34">
        <f>'Dionica 3'!D9</f>
        <v>84.432600000000022</v>
      </c>
      <c r="D34">
        <f>'Dionica 3'!C9</f>
        <v>2443.8729290059491</v>
      </c>
      <c r="E34">
        <f>'Dionica 3'!E9</f>
        <v>-0.5</v>
      </c>
      <c r="F34">
        <f t="shared" si="0"/>
        <v>0</v>
      </c>
      <c r="G34">
        <f t="shared" si="1"/>
        <v>0</v>
      </c>
      <c r="K34">
        <v>0</v>
      </c>
      <c r="L34">
        <f>'Dionica 3'!K9</f>
        <v>-5.5396957805721403</v>
      </c>
      <c r="M34">
        <f>'Dionica 3'!L9</f>
        <v>-3.4331950964851385</v>
      </c>
    </row>
    <row r="35" spans="2:13">
      <c r="B35">
        <f>'Dionica 4'!A2</f>
        <v>142.46</v>
      </c>
      <c r="C35" s="13">
        <f>'Dionica 4'!D2</f>
        <v>80.004600000000025</v>
      </c>
      <c r="D35">
        <f>'Dionica 4'!C2</f>
        <v>2500.0556390059492</v>
      </c>
      <c r="E35">
        <f>'Dionica 4'!E2</f>
        <v>0</v>
      </c>
      <c r="F35">
        <f t="shared" si="0"/>
        <v>0.72920805900926022</v>
      </c>
      <c r="G35">
        <f t="shared" si="1"/>
        <v>0.45192256608890435</v>
      </c>
      <c r="K35">
        <v>0</v>
      </c>
      <c r="L35">
        <f>'Dionica 4'!K2</f>
        <v>0.72920805900926022</v>
      </c>
      <c r="M35">
        <f>'Dionica 4'!L2</f>
        <v>0.45192256608890435</v>
      </c>
    </row>
    <row r="36" spans="2:13">
      <c r="B36">
        <f>'Dionica 4'!A3</f>
        <v>145</v>
      </c>
      <c r="C36" s="13">
        <f>'Dionica 4'!D3</f>
        <v>80.004600000000025</v>
      </c>
      <c r="D36">
        <f>'Dionica 4'!C3</f>
        <v>2556.5033290059491</v>
      </c>
      <c r="E36">
        <f>'Dionica 4'!E3</f>
        <v>0</v>
      </c>
      <c r="F36">
        <f t="shared" si="0"/>
        <v>0.72920805900926022</v>
      </c>
      <c r="G36">
        <f t="shared" si="1"/>
        <v>0.45192256608890435</v>
      </c>
      <c r="K36">
        <v>0</v>
      </c>
      <c r="L36">
        <f>'Dionica 4'!K3</f>
        <v>0.72920805900926022</v>
      </c>
      <c r="M36">
        <f>'Dionica 4'!L3</f>
        <v>0.45192256608890435</v>
      </c>
    </row>
    <row r="37" spans="2:13">
      <c r="B37">
        <f>'Dionica 4'!A4</f>
        <v>150</v>
      </c>
      <c r="C37" s="13">
        <f>'Dionica 4'!D4</f>
        <v>80.004600000000025</v>
      </c>
      <c r="D37">
        <f>'Dionica 4'!C4</f>
        <v>2667.620829005949</v>
      </c>
      <c r="E37">
        <f>'Dionica 4'!E4</f>
        <v>0</v>
      </c>
      <c r="F37">
        <f t="shared" si="0"/>
        <v>0.72920805900926022</v>
      </c>
      <c r="G37">
        <f t="shared" si="1"/>
        <v>0.45192256608890435</v>
      </c>
      <c r="K37">
        <v>0</v>
      </c>
      <c r="L37">
        <f>'Dionica 4'!K4</f>
        <v>0.72920805900926022</v>
      </c>
      <c r="M37">
        <f>'Dionica 4'!L4</f>
        <v>0.45192256608890435</v>
      </c>
    </row>
    <row r="38" spans="2:13">
      <c r="B38">
        <f>'Dionica 4'!A5</f>
        <v>155</v>
      </c>
      <c r="C38" s="13">
        <f>'Dionica 4'!D5</f>
        <v>80.004600000000025</v>
      </c>
      <c r="D38">
        <f>'Dionica 4'!C5</f>
        <v>2778.7383290059488</v>
      </c>
      <c r="E38">
        <f>'Dionica 4'!E5</f>
        <v>0</v>
      </c>
      <c r="F38">
        <f t="shared" si="0"/>
        <v>0.72920805900926022</v>
      </c>
      <c r="G38">
        <f t="shared" si="1"/>
        <v>0.45192256608890435</v>
      </c>
      <c r="K38">
        <v>0</v>
      </c>
      <c r="L38">
        <f>'Dionica 4'!K5</f>
        <v>0.72920805900926022</v>
      </c>
      <c r="M38">
        <f>'Dionica 4'!L5</f>
        <v>0.45192256608890435</v>
      </c>
    </row>
    <row r="39" spans="2:13">
      <c r="B39">
        <f>'Dionica 4'!A6</f>
        <v>160</v>
      </c>
      <c r="C39" s="13">
        <f>'Dionica 4'!D6</f>
        <v>80.004600000000025</v>
      </c>
      <c r="D39">
        <f>'Dionica 4'!C6</f>
        <v>2889.8558290059486</v>
      </c>
      <c r="E39">
        <f>'Dionica 4'!E6</f>
        <v>0</v>
      </c>
      <c r="F39">
        <f t="shared" si="0"/>
        <v>0.72920805900926022</v>
      </c>
      <c r="G39">
        <f t="shared" si="1"/>
        <v>0.45192256608890435</v>
      </c>
      <c r="K39">
        <v>0</v>
      </c>
      <c r="L39">
        <f>'Dionica 4'!K6</f>
        <v>0.72920805900926022</v>
      </c>
      <c r="M39">
        <f>'Dionica 4'!L6</f>
        <v>0.45192256608890435</v>
      </c>
    </row>
    <row r="40" spans="2:13">
      <c r="B40">
        <f>'Dionica 4'!A7</f>
        <v>165</v>
      </c>
      <c r="C40" s="13">
        <f>'Dionica 4'!D7</f>
        <v>80.004600000000025</v>
      </c>
      <c r="D40">
        <f>'Dionica 4'!C7</f>
        <v>3000.9733290059485</v>
      </c>
      <c r="E40">
        <f>'Dionica 4'!E7</f>
        <v>0</v>
      </c>
      <c r="F40">
        <f t="shared" si="0"/>
        <v>0.72920805900926022</v>
      </c>
      <c r="G40">
        <f t="shared" si="1"/>
        <v>0.45192256608890435</v>
      </c>
      <c r="K40">
        <v>0</v>
      </c>
      <c r="L40">
        <f>'Dionica 4'!K7</f>
        <v>0.72920805900926022</v>
      </c>
      <c r="M40">
        <f>'Dionica 4'!L7</f>
        <v>0.45192256608890435</v>
      </c>
    </row>
    <row r="41" spans="2:13">
      <c r="B41">
        <f>'Dionica 4'!A8</f>
        <v>165.23400000000001</v>
      </c>
      <c r="C41" s="13">
        <f>'Dionica 4'!D8</f>
        <v>80.004600000000025</v>
      </c>
      <c r="D41">
        <f>'Dionica 4'!C8</f>
        <v>3006.1736280059486</v>
      </c>
      <c r="E41">
        <f>'Dionica 4'!E8</f>
        <v>-0.5</v>
      </c>
      <c r="F41">
        <f t="shared" si="0"/>
        <v>0</v>
      </c>
      <c r="G41">
        <f t="shared" si="1"/>
        <v>0</v>
      </c>
      <c r="K41">
        <v>0</v>
      </c>
      <c r="L41">
        <f>'Dionica 4'!K8</f>
        <v>-4.8658848821672125</v>
      </c>
      <c r="M41">
        <f>'Dionica 4'!L8</f>
        <v>-3.0156046070443763</v>
      </c>
    </row>
    <row r="42" spans="2:13">
      <c r="B42">
        <f>'Dionica 4'!A9</f>
        <v>170</v>
      </c>
      <c r="C42" s="13">
        <f>'Dionica 4'!D9</f>
        <v>71.425800000000038</v>
      </c>
      <c r="D42">
        <f>'Dionica 4'!C9</f>
        <v>3106.4121400059485</v>
      </c>
      <c r="E42">
        <f>'Dionica 4'!E9</f>
        <v>-0.5</v>
      </c>
      <c r="F42">
        <f t="shared" si="0"/>
        <v>0</v>
      </c>
      <c r="G42">
        <f t="shared" si="1"/>
        <v>0</v>
      </c>
      <c r="K42">
        <v>0</v>
      </c>
      <c r="L42">
        <f>'Dionica 4'!K9</f>
        <v>-4.3662458516794347</v>
      </c>
      <c r="M42">
        <f>'Dionica 4'!L9</f>
        <v>-2.7059561466543611</v>
      </c>
    </row>
    <row r="43" spans="2:13">
      <c r="B43">
        <f>'Dionica 4'!A10</f>
        <v>175</v>
      </c>
      <c r="C43" s="13">
        <f>'Dionica 4'!D10</f>
        <v>62.425800000000038</v>
      </c>
      <c r="D43">
        <f>'Dionica 4'!C10</f>
        <v>3199.3646400059483</v>
      </c>
      <c r="E43">
        <f>'Dionica 4'!E10</f>
        <v>-0.5</v>
      </c>
      <c r="F43">
        <f t="shared" si="0"/>
        <v>0</v>
      </c>
      <c r="G43">
        <f t="shared" si="1"/>
        <v>0</v>
      </c>
      <c r="K43">
        <v>0</v>
      </c>
      <c r="L43">
        <f>'Dionica 4'!K10</f>
        <v>-3.8242335555265035</v>
      </c>
      <c r="M43">
        <f>'Dionica 4'!L10</f>
        <v>-2.3700470947687164</v>
      </c>
    </row>
    <row r="44" spans="2:13">
      <c r="B44">
        <f>'Dionica 4'!A11</f>
        <v>180</v>
      </c>
      <c r="C44" s="13">
        <f>'Dionica 4'!D11</f>
        <v>53.425800000000038</v>
      </c>
      <c r="D44">
        <f>'Dionica 4'!C11</f>
        <v>3279.8171400059482</v>
      </c>
      <c r="E44">
        <f>'Dionica 4'!E11</f>
        <v>-0.5</v>
      </c>
      <c r="F44">
        <f t="shared" si="0"/>
        <v>0</v>
      </c>
      <c r="G44">
        <f t="shared" si="1"/>
        <v>0</v>
      </c>
      <c r="K44">
        <v>0</v>
      </c>
      <c r="L44">
        <f>'Dionica 4'!K11</f>
        <v>-3.2662222612547485</v>
      </c>
      <c r="M44">
        <f>'Dionica 4'!L11</f>
        <v>-2.0242227543788087</v>
      </c>
    </row>
    <row r="45" spans="2:13">
      <c r="B45">
        <f>'Dionica 4'!A12</f>
        <v>185</v>
      </c>
      <c r="C45" s="13">
        <f>'Dionica 4'!D12</f>
        <v>44.425800000000038</v>
      </c>
      <c r="D45">
        <f>'Dionica 4'!C12</f>
        <v>3347.7696400059481</v>
      </c>
      <c r="E45">
        <f>'Dionica 4'!E12</f>
        <v>-0.5</v>
      </c>
      <c r="F45">
        <f t="shared" si="0"/>
        <v>0</v>
      </c>
      <c r="G45">
        <f t="shared" si="1"/>
        <v>0</v>
      </c>
      <c r="K45">
        <v>0</v>
      </c>
      <c r="L45">
        <f>'Dionica 4'!K12</f>
        <v>-2.6945185629818162</v>
      </c>
      <c r="M45">
        <f>'Dionica 4'!L12</f>
        <v>-1.6699126241300435</v>
      </c>
    </row>
    <row r="46" spans="2:13">
      <c r="B46">
        <f>'Dionica 4'!A13</f>
        <v>190</v>
      </c>
      <c r="C46" s="13">
        <f>'Dionica 4'!D13</f>
        <v>35.425800000000038</v>
      </c>
      <c r="D46">
        <f>'Dionica 4'!C13</f>
        <v>3403.2221400059479</v>
      </c>
      <c r="E46">
        <f>'Dionica 4'!E13</f>
        <v>-0.5</v>
      </c>
      <c r="F46">
        <f t="shared" si="0"/>
        <v>0</v>
      </c>
      <c r="G46">
        <f t="shared" si="1"/>
        <v>0</v>
      </c>
      <c r="K46">
        <v>0</v>
      </c>
      <c r="L46">
        <f>'Dionica 4'!K13</f>
        <v>-2.111429054825356</v>
      </c>
      <c r="M46">
        <f>'Dionica 4'!L13</f>
        <v>-1.5835717911190166</v>
      </c>
    </row>
    <row r="47" spans="2:13">
      <c r="B47">
        <f>'Dionica 4'!A14</f>
        <v>195</v>
      </c>
      <c r="C47" s="13">
        <f>'Dionica 4'!D14</f>
        <v>26.425800000000038</v>
      </c>
      <c r="D47">
        <f>'Dionica 4'!C14</f>
        <v>3446.1746400059478</v>
      </c>
      <c r="E47">
        <f>'Dionica 4'!E14</f>
        <v>-0.5</v>
      </c>
      <c r="F47">
        <f t="shared" si="0"/>
        <v>0</v>
      </c>
      <c r="G47">
        <f t="shared" si="1"/>
        <v>0</v>
      </c>
      <c r="K47">
        <v>0</v>
      </c>
      <c r="L47">
        <f>'Dionica 4'!K14</f>
        <v>-1.5192603309030124</v>
      </c>
      <c r="M47">
        <f>'Dionica 4'!L14</f>
        <v>-1.139445248177259</v>
      </c>
    </row>
    <row r="48" spans="2:13">
      <c r="B48">
        <f>'Dionica 4'!A15</f>
        <v>200</v>
      </c>
      <c r="C48" s="13">
        <f>'Dionica 4'!D15</f>
        <v>17.425800000000038</v>
      </c>
      <c r="D48">
        <f>'Dionica 4'!C15</f>
        <v>3476.6271400059477</v>
      </c>
      <c r="E48">
        <f>'Dionica 4'!E15</f>
        <v>-0.5</v>
      </c>
      <c r="F48">
        <f t="shared" si="0"/>
        <v>0</v>
      </c>
      <c r="G48">
        <f t="shared" si="1"/>
        <v>0</v>
      </c>
      <c r="K48">
        <v>0</v>
      </c>
      <c r="L48">
        <f>'Dionica 4'!K15</f>
        <v>-0.92031898533243361</v>
      </c>
      <c r="M48">
        <f>'Dionica 4'!L15</f>
        <v>-0.93891316645439304</v>
      </c>
    </row>
    <row r="49" spans="2:13">
      <c r="B49">
        <f>'Dionica 4'!A16</f>
        <v>205</v>
      </c>
      <c r="C49" s="13">
        <f>'Dionica 4'!D16</f>
        <v>8.4258000000000379</v>
      </c>
      <c r="D49">
        <f>'Dionica 4'!C16</f>
        <v>3494.5796400059476</v>
      </c>
      <c r="E49">
        <f>'Dionica 4'!E16</f>
        <v>-0.5</v>
      </c>
      <c r="F49">
        <f t="shared" si="0"/>
        <v>0</v>
      </c>
      <c r="G49">
        <f t="shared" si="1"/>
        <v>0</v>
      </c>
      <c r="K49">
        <v>0</v>
      </c>
      <c r="L49">
        <f>'Dionica 4'!K16</f>
        <v>-0.31691161223126674</v>
      </c>
      <c r="M49">
        <f>'Dionica 4'!L16</f>
        <v>-0.8481910217372014</v>
      </c>
    </row>
    <row r="50" spans="2:13">
      <c r="B50">
        <f>'Dionica 4'!A17</f>
        <v>209.68</v>
      </c>
      <c r="C50" s="13">
        <f>'Dionica 4'!D17</f>
        <v>1.8000000000384375E-3</v>
      </c>
      <c r="D50">
        <f>'Dionica 4'!C17</f>
        <v>3500.0575800059473</v>
      </c>
      <c r="E50">
        <f>'Dionica 4'!E17</f>
        <v>0</v>
      </c>
      <c r="F50">
        <f t="shared" si="0"/>
        <v>0.25000470588235613</v>
      </c>
      <c r="G50">
        <f t="shared" si="1"/>
        <v>0.12108280537231098</v>
      </c>
      <c r="K50">
        <v>0</v>
      </c>
      <c r="L50">
        <f>'Dionica 4'!K17</f>
        <v>0.25000470588235613</v>
      </c>
      <c r="M50">
        <f>'Dionica 4'!L17</f>
        <v>0.12108280537231098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Osnovni podaci</vt:lpstr>
      <vt:lpstr>Dionica 1</vt:lpstr>
      <vt:lpstr>Dionica 2</vt:lpstr>
      <vt:lpstr>Dionica 3</vt:lpstr>
      <vt:lpstr>Dionica 4</vt:lpstr>
      <vt:lpstr>Grafički prikaz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Lotos</dc:creator>
  <cp:lastModifiedBy>Dominik</cp:lastModifiedBy>
  <dcterms:created xsi:type="dcterms:W3CDTF">2011-04-13T11:35:56Z</dcterms:created>
  <dcterms:modified xsi:type="dcterms:W3CDTF">2011-04-17T18:29:51Z</dcterms:modified>
</cp:coreProperties>
</file>