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20" windowHeight="8325" activeTab="2"/>
  </bookViews>
  <sheets>
    <sheet name="source" sheetId="1" r:id="rId1"/>
    <sheet name="osnovni skup podataka" sheetId="2" r:id="rId2"/>
    <sheet name="zadatak1" sheetId="3" r:id="rId3"/>
    <sheet name="zadatak2" sheetId="5" r:id="rId4"/>
  </sheets>
  <definedNames>
    <definedName name="solver_adj" localSheetId="2" hidden="1">zadatak1!$B$4,zadatak1!$J$3:$J$4</definedName>
    <definedName name="solver_adj" localSheetId="3" hidden="1">zadatak2!$K$3,zadatak2!$B$4</definedName>
    <definedName name="solver_cvg" localSheetId="2" hidden="1">0.000000001</definedName>
    <definedName name="solver_cvg" localSheetId="3" hidden="1">0.000000001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1000000000</definedName>
    <definedName name="solver_itr" localSheetId="3" hidden="1">1000000000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zadatak1!$E$7</definedName>
    <definedName name="solver_opt" localSheetId="3" hidden="1">zadatak2!$F$7</definedName>
    <definedName name="solver_pre" localSheetId="2" hidden="1">0.000000001</definedName>
    <definedName name="solver_pre" localSheetId="3" hidden="1">0.000000001</definedName>
    <definedName name="solver_rbv" localSheetId="2" hidden="1">2</definedName>
    <definedName name="solver_rbv" localSheetId="3" hidden="1">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45621" calcMode="manual"/>
</workbook>
</file>

<file path=xl/calcChain.xml><?xml version="1.0" encoding="utf-8"?>
<calcChain xmlns="http://schemas.openxmlformats.org/spreadsheetml/2006/main">
  <c r="L34" i="5" l="1"/>
  <c r="L30" i="5"/>
  <c r="L26" i="5"/>
  <c r="Q4" i="5"/>
  <c r="P4" i="5"/>
  <c r="J17" i="5"/>
  <c r="J16" i="5"/>
  <c r="I17" i="5"/>
  <c r="I16" i="5"/>
  <c r="G17" i="5"/>
  <c r="G16" i="5"/>
  <c r="G17" i="3"/>
  <c r="G16" i="3"/>
  <c r="G15" i="3"/>
  <c r="G14" i="3"/>
  <c r="G13" i="3"/>
  <c r="G12" i="3"/>
  <c r="G11" i="3"/>
  <c r="G10" i="3"/>
  <c r="G9" i="3"/>
  <c r="G8" i="3"/>
  <c r="H15" i="5"/>
  <c r="E14" i="5"/>
  <c r="C9" i="5"/>
  <c r="C11" i="5"/>
  <c r="C13" i="5"/>
  <c r="C15" i="5"/>
  <c r="C17" i="5"/>
  <c r="P5" i="5"/>
  <c r="D10" i="5" s="1"/>
  <c r="K4" i="5"/>
  <c r="C10" i="5" s="1"/>
  <c r="K42" i="3"/>
  <c r="K38" i="3"/>
  <c r="K10" i="3"/>
  <c r="K26" i="3"/>
  <c r="F17" i="3"/>
  <c r="F16" i="3"/>
  <c r="F15" i="3"/>
  <c r="F14" i="3"/>
  <c r="F13" i="3"/>
  <c r="F12" i="3"/>
  <c r="F11" i="3"/>
  <c r="F10" i="3"/>
  <c r="F9" i="3"/>
  <c r="F8" i="3"/>
  <c r="F7" i="3" s="1"/>
  <c r="O3" i="3"/>
  <c r="O4" i="3" s="1"/>
  <c r="D16" i="3"/>
  <c r="D15" i="3" s="1"/>
  <c r="D14" i="3" s="1"/>
  <c r="D13" i="3" s="1"/>
  <c r="D12" i="3" s="1"/>
  <c r="D11" i="3" s="1"/>
  <c r="D10" i="3" s="1"/>
  <c r="D9" i="3" s="1"/>
  <c r="D8" i="3" s="1"/>
  <c r="C17" i="3"/>
  <c r="E17" i="3" s="1"/>
  <c r="C16" i="3"/>
  <c r="I16" i="3" s="1"/>
  <c r="C15" i="3"/>
  <c r="I15" i="3" s="1"/>
  <c r="C14" i="3"/>
  <c r="I14" i="3" s="1"/>
  <c r="C13" i="3"/>
  <c r="I13" i="3" s="1"/>
  <c r="C12" i="3"/>
  <c r="I12" i="3" s="1"/>
  <c r="C11" i="3"/>
  <c r="I11" i="3" s="1"/>
  <c r="C10" i="3"/>
  <c r="I10" i="3" s="1"/>
  <c r="C9" i="3"/>
  <c r="I9" i="3" s="1"/>
  <c r="C8" i="3"/>
  <c r="I8" i="3" s="1"/>
  <c r="G10" i="5" l="1"/>
  <c r="D17" i="5"/>
  <c r="F17" i="5" s="1"/>
  <c r="D15" i="5"/>
  <c r="D13" i="5"/>
  <c r="D11" i="5"/>
  <c r="D9" i="5"/>
  <c r="G9" i="5" s="1"/>
  <c r="H8" i="5"/>
  <c r="H10" i="5"/>
  <c r="H12" i="5"/>
  <c r="H14" i="5"/>
  <c r="D8" i="5"/>
  <c r="D16" i="5"/>
  <c r="F16" i="5" s="1"/>
  <c r="D14" i="5"/>
  <c r="D12" i="5"/>
  <c r="G12" i="5" s="1"/>
  <c r="H9" i="5"/>
  <c r="H11" i="5"/>
  <c r="H13" i="5"/>
  <c r="F14" i="5"/>
  <c r="F15" i="5"/>
  <c r="E13" i="5"/>
  <c r="G8" i="5"/>
  <c r="C8" i="5"/>
  <c r="C16" i="5"/>
  <c r="C14" i="5"/>
  <c r="C12" i="5"/>
  <c r="H9" i="3"/>
  <c r="H11" i="3"/>
  <c r="H13" i="3"/>
  <c r="H15" i="3"/>
  <c r="H17" i="3"/>
  <c r="I17" i="3"/>
  <c r="I7" i="3" s="1"/>
  <c r="K34" i="3" s="1"/>
  <c r="H8" i="3"/>
  <c r="H10" i="3"/>
  <c r="H12" i="3"/>
  <c r="H14" i="3"/>
  <c r="H16" i="3"/>
  <c r="E16" i="3"/>
  <c r="E9" i="3"/>
  <c r="E11" i="3"/>
  <c r="E13" i="3"/>
  <c r="E15" i="3"/>
  <c r="E8" i="3"/>
  <c r="E10" i="3"/>
  <c r="E12" i="3"/>
  <c r="E14" i="3"/>
  <c r="G14" i="5" l="1"/>
  <c r="H7" i="5"/>
  <c r="G11" i="5"/>
  <c r="G7" i="5" s="1"/>
  <c r="G15" i="5"/>
  <c r="G13" i="5"/>
  <c r="J7" i="5"/>
  <c r="E12" i="5"/>
  <c r="F13" i="5"/>
  <c r="I7" i="5"/>
  <c r="G7" i="3"/>
  <c r="K21" i="3" s="1"/>
  <c r="H7" i="3"/>
  <c r="K30" i="3" s="1"/>
  <c r="E7" i="3"/>
  <c r="E11" i="5" l="1"/>
  <c r="F12" i="5"/>
  <c r="L21" i="5"/>
  <c r="E10" i="5" l="1"/>
  <c r="F11" i="5"/>
  <c r="E9" i="5" l="1"/>
  <c r="F10" i="5"/>
  <c r="E8" i="5" l="1"/>
  <c r="F8" i="5" s="1"/>
  <c r="F9" i="5"/>
  <c r="F7" i="5" l="1"/>
</calcChain>
</file>

<file path=xl/sharedStrings.xml><?xml version="1.0" encoding="utf-8"?>
<sst xmlns="http://schemas.openxmlformats.org/spreadsheetml/2006/main" count="125" uniqueCount="86">
  <si>
    <t>United Kingdom</t>
  </si>
  <si>
    <t>Bulgaria</t>
  </si>
  <si>
    <t>Belgium</t>
  </si>
  <si>
    <t>Croatia</t>
  </si>
  <si>
    <t xml:space="preserve">DSL Internet subscriptions </t>
  </si>
  <si>
    <t xml:space="preserve">Fixed telephone lines </t>
  </si>
  <si>
    <t xml:space="preserve">Mobile cellular telephone subscriptions (post-paid + prepaid) </t>
  </si>
  <si>
    <t xml:space="preserve">Total (fixed) Internet subscriptions 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</si>
  <si>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</si>
  <si>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</si>
  <si>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</si>
  <si>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</si>
  <si>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</si>
  <si>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</si>
  <si>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</si>
  <si>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</si>
  <si>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</si>
  <si>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</si>
  <si>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</si>
  <si>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</si>
  <si>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</si>
  <si>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</si>
  <si>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</si>
  <si>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</si>
  <si>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</si>
  <si>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</si>
  <si>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</si>
  <si>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</si>
  <si>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</si>
  <si>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</si>
  <si>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</si>
  <si>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</si>
  <si>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</si>
  <si>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</si>
  <si>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</si>
  <si>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</si>
  <si>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</si>
  <si>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</si>
  <si>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</si>
  <si>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</si>
  <si>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</si>
  <si>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</si>
  <si>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</si>
  <si>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Country</t>
  </si>
  <si>
    <t>Indicator</t>
  </si>
  <si>
    <t>Population</t>
  </si>
  <si>
    <t>Households</t>
  </si>
  <si>
    <t>Godina
t</t>
  </si>
  <si>
    <t>Broj korisnika
N(t)</t>
  </si>
  <si>
    <t>a =</t>
  </si>
  <si>
    <t>b =</t>
  </si>
  <si>
    <t>poč. vrijednost = 1</t>
  </si>
  <si>
    <t>Model
f(t) = M / (1 + EXP (-a * (t-b)))</t>
  </si>
  <si>
    <t>n =</t>
  </si>
  <si>
    <t>N prosjek =</t>
  </si>
  <si>
    <t>SUMA
[ f(t) - N(t) ] ^2</t>
  </si>
  <si>
    <t>SUMA
[ N prosjek - N(t) ] ^2</t>
  </si>
  <si>
    <t>SUMA
ABS [ f(t) - N(t) ]</t>
  </si>
  <si>
    <t>SUMA
ABS [ f(t) - N(t) ] / N(t)</t>
  </si>
  <si>
    <t>q =</t>
  </si>
  <si>
    <t>Težine (q)</t>
  </si>
  <si>
    <t>SUMA
q * [ f(t) - N(t) ] ^2</t>
  </si>
  <si>
    <t>r</t>
  </si>
  <si>
    <t>RMSE</t>
  </si>
  <si>
    <t>MAE</t>
  </si>
  <si>
    <t>MAPE</t>
  </si>
  <si>
    <t>poč. vr. = 2004 (točka najveće prodaje)</t>
  </si>
  <si>
    <t>DELTA t</t>
  </si>
  <si>
    <t>u =</t>
  </si>
  <si>
    <t>v =</t>
  </si>
  <si>
    <t>ts</t>
  </si>
  <si>
    <t>Fiskna točka</t>
  </si>
  <si>
    <t>te =</t>
  </si>
  <si>
    <t>N (te) =</t>
  </si>
  <si>
    <t>zadnja vrem. točka reduciranog skupa pod.</t>
  </si>
  <si>
    <t>Model
f(t) = M * N(tE) / (N(te) + (M - N(te)) * EXP (-a * (t-te)))</t>
  </si>
  <si>
    <t>r (za 2000. - 2007.)</t>
  </si>
  <si>
    <t>RMSE (za 2008. - 2009.)</t>
  </si>
  <si>
    <t>MAE (za 2008. - 2009.)</t>
  </si>
  <si>
    <t>MAPE (za 2008. - 2009.)</t>
  </si>
  <si>
    <t>SUMA (za 2000. - 2007.)
[ f(t) - N(t) ] ^2</t>
  </si>
  <si>
    <t>SUMA (za 2000. - 2007.)
[ N prosjek - N(t) ] ^2</t>
  </si>
  <si>
    <t>= M2 (početna vrijednost = 25.779.000, iz sheeta "osnovni skup podataka")</t>
  </si>
  <si>
    <t>Lokal-logistički model; LL (t; M2 - uk. Kapacitet tržišta, a - parametar rasta, te - fiksna točka, N(te) - broj korisnika u fiksnoj točki)</t>
  </si>
  <si>
    <t>Logistički model; L (t; M1 - uk. Kapacitet tržišta, a - parametar rasta, b - vremenski pomak)</t>
  </si>
  <si>
    <t>= M1 (početna vrijednost = 25.779.000, iz sheeta "osnovni skup podataka")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</si>
</sst>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0"/>
    <numFmt numFmtId="166" formatCode="#,##0.0000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4" fontId="0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source!$B$3:$B$4</c:f>
              <c:strCache>
                <c:ptCount val="1"/>
                <c:pt idx="0">
                  <c:v>United Kingdom DSL Internet subscriptions </c:v>
                </c:pt>
              </c:strCache>
            </c:strRef>
          </c:tx>
          <c:xVal>
            <c:strRef>
              <c:f>source!$A$5:$A$39</c:f>
              <c:strCach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strCache>
            </c:strRef>
          </c:xVal>
          <c:yVal>
            <c:numRef>
              <c:f>source!$B$5:$B$39</c:f>
              <c:numCache>
                <c:formatCode>#,##0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33140</c:v>
                </c:pt>
                <c:pt idx="26">
                  <c:v>127720</c:v>
                </c:pt>
                <c:pt idx="27">
                  <c:v>573302</c:v>
                </c:pt>
                <c:pt idx="28">
                  <c:v>1736308</c:v>
                </c:pt>
                <c:pt idx="29">
                  <c:v>4166748</c:v>
                </c:pt>
                <c:pt idx="30">
                  <c:v>7219807</c:v>
                </c:pt>
                <c:pt idx="31">
                  <c:v>9928140</c:v>
                </c:pt>
                <c:pt idx="32">
                  <c:v>12157200</c:v>
                </c:pt>
                <c:pt idx="33">
                  <c:v>13556860</c:v>
                </c:pt>
                <c:pt idx="34">
                  <c:v>14491005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source!$C$3:$C$4</c:f>
              <c:strCache>
                <c:ptCount val="1"/>
                <c:pt idx="0">
                  <c:v>Bulgaria Fixed telephone lines </c:v>
                </c:pt>
              </c:strCache>
            </c:strRef>
          </c:tx>
          <c:xVal>
            <c:strRef>
              <c:f>source!$A$5:$A$39</c:f>
              <c:strCach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strCache>
            </c:strRef>
          </c:xVal>
          <c:yVal>
            <c:numRef>
              <c:f>source!$C$5:$C$39</c:f>
              <c:numCache>
                <c:formatCode>#,##0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805000</c:v>
                </c:pt>
                <c:pt idx="5">
                  <c:v>908000</c:v>
                </c:pt>
                <c:pt idx="6">
                  <c:v>1144300</c:v>
                </c:pt>
                <c:pt idx="7">
                  <c:v>1130300</c:v>
                </c:pt>
                <c:pt idx="8">
                  <c:v>1352700</c:v>
                </c:pt>
                <c:pt idx="9">
                  <c:v>1400000</c:v>
                </c:pt>
                <c:pt idx="10">
                  <c:v>1500000</c:v>
                </c:pt>
                <c:pt idx="11">
                  <c:v>1600000</c:v>
                </c:pt>
                <c:pt idx="12">
                  <c:v>1745000</c:v>
                </c:pt>
                <c:pt idx="13">
                  <c:v>1886000</c:v>
                </c:pt>
                <c:pt idx="14">
                  <c:v>1994000</c:v>
                </c:pt>
                <c:pt idx="15">
                  <c:v>2175423</c:v>
                </c:pt>
                <c:pt idx="16">
                  <c:v>2205483</c:v>
                </c:pt>
                <c:pt idx="17">
                  <c:v>2339668</c:v>
                </c:pt>
                <c:pt idx="18">
                  <c:v>2410427</c:v>
                </c:pt>
                <c:pt idx="19">
                  <c:v>2487918</c:v>
                </c:pt>
                <c:pt idx="20">
                  <c:v>2562915</c:v>
                </c:pt>
                <c:pt idx="21">
                  <c:v>2647459</c:v>
                </c:pt>
                <c:pt idx="22">
                  <c:v>2681074</c:v>
                </c:pt>
                <c:pt idx="23">
                  <c:v>2757990</c:v>
                </c:pt>
                <c:pt idx="24">
                  <c:v>2833395</c:v>
                </c:pt>
                <c:pt idx="25">
                  <c:v>2881786</c:v>
                </c:pt>
                <c:pt idx="26">
                  <c:v>2887000</c:v>
                </c:pt>
                <c:pt idx="27">
                  <c:v>2871801</c:v>
                </c:pt>
                <c:pt idx="28">
                  <c:v>2817512</c:v>
                </c:pt>
                <c:pt idx="29">
                  <c:v>2726800</c:v>
                </c:pt>
                <c:pt idx="30">
                  <c:v>2490022</c:v>
                </c:pt>
                <c:pt idx="31">
                  <c:v>2399424</c:v>
                </c:pt>
                <c:pt idx="32">
                  <c:v>2300355</c:v>
                </c:pt>
                <c:pt idx="33">
                  <c:v>2189773</c:v>
                </c:pt>
                <c:pt idx="34">
                  <c:v>2205394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source!$D$3:$D$4</c:f>
              <c:strCache>
                <c:ptCount val="1"/>
                <c:pt idx="0">
                  <c:v>Belgium Mobile cellular telephone subscriptions (post-paid + prepaid) </c:v>
                </c:pt>
              </c:strCache>
            </c:strRef>
          </c:tx>
          <c:xVal>
            <c:strRef>
              <c:f>source!$A$5:$A$39</c:f>
              <c:strCach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strCache>
            </c:strRef>
          </c:xVal>
          <c:yVal>
            <c:numRef>
              <c:f>source!$D$5:$D$39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3798</c:v>
                </c:pt>
                <c:pt idx="12">
                  <c:v>7223</c:v>
                </c:pt>
                <c:pt idx="13">
                  <c:v>19154</c:v>
                </c:pt>
                <c:pt idx="14">
                  <c:v>30791</c:v>
                </c:pt>
                <c:pt idx="15">
                  <c:v>42880</c:v>
                </c:pt>
                <c:pt idx="16">
                  <c:v>51420</c:v>
                </c:pt>
                <c:pt idx="17">
                  <c:v>61460</c:v>
                </c:pt>
                <c:pt idx="18">
                  <c:v>67771</c:v>
                </c:pt>
                <c:pt idx="19">
                  <c:v>128071</c:v>
                </c:pt>
                <c:pt idx="20">
                  <c:v>235258</c:v>
                </c:pt>
                <c:pt idx="21">
                  <c:v>478172</c:v>
                </c:pt>
                <c:pt idx="22">
                  <c:v>974494</c:v>
                </c:pt>
                <c:pt idx="23">
                  <c:v>1756287</c:v>
                </c:pt>
                <c:pt idx="24">
                  <c:v>3186602</c:v>
                </c:pt>
                <c:pt idx="25">
                  <c:v>5629000</c:v>
                </c:pt>
                <c:pt idx="26">
                  <c:v>7697000</c:v>
                </c:pt>
                <c:pt idx="27">
                  <c:v>8101777</c:v>
                </c:pt>
                <c:pt idx="28">
                  <c:v>8605834</c:v>
                </c:pt>
                <c:pt idx="29">
                  <c:v>9131705</c:v>
                </c:pt>
                <c:pt idx="30">
                  <c:v>9604695</c:v>
                </c:pt>
                <c:pt idx="31">
                  <c:v>9847375</c:v>
                </c:pt>
                <c:pt idx="32">
                  <c:v>10738121</c:v>
                </c:pt>
                <c:pt idx="33">
                  <c:v>11822190</c:v>
                </c:pt>
                <c:pt idx="34">
                  <c:v>12508781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source!$E$3:$E$4</c:f>
              <c:strCache>
                <c:ptCount val="1"/>
                <c:pt idx="0">
                  <c:v>Croatia Total (fixed) Internet subscriptions </c:v>
                </c:pt>
              </c:strCache>
            </c:strRef>
          </c:tx>
          <c:xVal>
            <c:strRef>
              <c:f>source!$A$5:$A$39</c:f>
              <c:strCach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strCache>
            </c:strRef>
          </c:xVal>
          <c:yVal>
            <c:numRef>
              <c:f>source!$E$5:$E$39</c:f>
              <c:numCache>
                <c:formatCode>#,##0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187000</c:v>
                </c:pt>
                <c:pt idx="26">
                  <c:v>331370</c:v>
                </c:pt>
                <c:pt idx="27">
                  <c:v>538000</c:v>
                </c:pt>
                <c:pt idx="28">
                  <c:v>570000</c:v>
                </c:pt>
                <c:pt idx="29">
                  <c:v>854900</c:v>
                </c:pt>
                <c:pt idx="30">
                  <c:v>953800</c:v>
                </c:pt>
                <c:pt idx="31">
                  <c:v>1069700</c:v>
                </c:pt>
                <c:pt idx="32">
                  <c:v>1177300</c:v>
                </c:pt>
                <c:pt idx="33">
                  <c:v>1360620</c:v>
                </c:pt>
                <c:pt idx="34">
                  <c:v>1498260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9120"/>
        <c:axId val="59747328"/>
      </c:scatterChart>
      <c:valAx>
        <c:axId val="5974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47328"/>
        <c:crosses val="autoZero"/>
        <c:crossBetween val="midCat"/>
      </c:valAx>
      <c:valAx>
        <c:axId val="5974732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974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source!$B$3:$B$4</c:f>
              <c:strCache>
                <c:ptCount val="1"/>
                <c:pt idx="0">
                  <c:v>United Kingdom DSL Internet subscriptions </c:v>
                </c:pt>
              </c:strCache>
            </c:strRef>
          </c:tx>
          <c:yVal>
            <c:numRef>
              <c:f>source!$B$5:$B$39</c:f>
              <c:numCache>
                <c:formatCode>#,##0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33140</c:v>
                </c:pt>
                <c:pt idx="26">
                  <c:v>127720</c:v>
                </c:pt>
                <c:pt idx="27">
                  <c:v>573302</c:v>
                </c:pt>
                <c:pt idx="28">
                  <c:v>1736308</c:v>
                </c:pt>
                <c:pt idx="29">
                  <c:v>4166748</c:v>
                </c:pt>
                <c:pt idx="30">
                  <c:v>7219807</c:v>
                </c:pt>
                <c:pt idx="31">
                  <c:v>9928140</c:v>
                </c:pt>
                <c:pt idx="32">
                  <c:v>12157200</c:v>
                </c:pt>
                <c:pt idx="33">
                  <c:v>13556860</c:v>
                </c:pt>
                <c:pt idx="34">
                  <c:v>14491005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6864"/>
        <c:axId val="57235328"/>
      </c:scatterChart>
      <c:valAx>
        <c:axId val="572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35328"/>
        <c:crosses val="autoZero"/>
        <c:crossBetween val="midCat"/>
      </c:valAx>
      <c:valAx>
        <c:axId val="5723532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723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source!$C$3:$C$4</c:f>
              <c:strCache>
                <c:ptCount val="1"/>
                <c:pt idx="0">
                  <c:v>Bulgaria Fixed telephone lines </c:v>
                </c:pt>
              </c:strCache>
            </c:strRef>
          </c:tx>
          <c:yVal>
            <c:numRef>
              <c:f>source!$C$5:$C$39</c:f>
              <c:numCache>
                <c:formatCode>#,##0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805000</c:v>
                </c:pt>
                <c:pt idx="5">
                  <c:v>908000</c:v>
                </c:pt>
                <c:pt idx="6">
                  <c:v>1144300</c:v>
                </c:pt>
                <c:pt idx="7">
                  <c:v>1130300</c:v>
                </c:pt>
                <c:pt idx="8">
                  <c:v>1352700</c:v>
                </c:pt>
                <c:pt idx="9">
                  <c:v>1400000</c:v>
                </c:pt>
                <c:pt idx="10">
                  <c:v>1500000</c:v>
                </c:pt>
                <c:pt idx="11">
                  <c:v>1600000</c:v>
                </c:pt>
                <c:pt idx="12">
                  <c:v>1745000</c:v>
                </c:pt>
                <c:pt idx="13">
                  <c:v>1886000</c:v>
                </c:pt>
                <c:pt idx="14">
                  <c:v>1994000</c:v>
                </c:pt>
                <c:pt idx="15">
                  <c:v>2175423</c:v>
                </c:pt>
                <c:pt idx="16">
                  <c:v>2205483</c:v>
                </c:pt>
                <c:pt idx="17">
                  <c:v>2339668</c:v>
                </c:pt>
                <c:pt idx="18">
                  <c:v>2410427</c:v>
                </c:pt>
                <c:pt idx="19">
                  <c:v>2487918</c:v>
                </c:pt>
                <c:pt idx="20">
                  <c:v>2562915</c:v>
                </c:pt>
                <c:pt idx="21">
                  <c:v>2647459</c:v>
                </c:pt>
                <c:pt idx="22">
                  <c:v>2681074</c:v>
                </c:pt>
                <c:pt idx="23">
                  <c:v>2757990</c:v>
                </c:pt>
                <c:pt idx="24">
                  <c:v>2833395</c:v>
                </c:pt>
                <c:pt idx="25">
                  <c:v>2881786</c:v>
                </c:pt>
                <c:pt idx="26">
                  <c:v>2887000</c:v>
                </c:pt>
                <c:pt idx="27">
                  <c:v>2871801</c:v>
                </c:pt>
                <c:pt idx="28">
                  <c:v>2817512</c:v>
                </c:pt>
                <c:pt idx="29">
                  <c:v>2726800</c:v>
                </c:pt>
                <c:pt idx="30">
                  <c:v>2490022</c:v>
                </c:pt>
                <c:pt idx="31">
                  <c:v>2399424</c:v>
                </c:pt>
                <c:pt idx="32">
                  <c:v>2300355</c:v>
                </c:pt>
                <c:pt idx="33">
                  <c:v>2189773</c:v>
                </c:pt>
                <c:pt idx="34">
                  <c:v>2205394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1536"/>
        <c:axId val="57854592"/>
      </c:scatterChart>
      <c:valAx>
        <c:axId val="579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7854592"/>
        <c:crosses val="autoZero"/>
        <c:crossBetween val="midCat"/>
      </c:valAx>
      <c:valAx>
        <c:axId val="57854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792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Belgium Mobile cellular telephone subscriptions </a:t>
            </a:r>
            <a:r>
              <a:rPr lang="hr-HR"/>
              <a:t/>
            </a:r>
            <a:br>
              <a:rPr lang="hr-HR"/>
            </a:br>
            <a:r>
              <a:rPr lang="en-US"/>
              <a:t>(post-paid + prepaid)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source!$D$3:$D$4</c:f>
              <c:strCache>
                <c:ptCount val="1"/>
                <c:pt idx="0">
                  <c:v>Belgium Mobile cellular telephone subscriptions (post-paid + prepaid) </c:v>
                </c:pt>
              </c:strCache>
            </c:strRef>
          </c:tx>
          <c:yVal>
            <c:numRef>
              <c:f>source!$D$5:$D$39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3798</c:v>
                </c:pt>
                <c:pt idx="12">
                  <c:v>7223</c:v>
                </c:pt>
                <c:pt idx="13">
                  <c:v>19154</c:v>
                </c:pt>
                <c:pt idx="14">
                  <c:v>30791</c:v>
                </c:pt>
                <c:pt idx="15">
                  <c:v>42880</c:v>
                </c:pt>
                <c:pt idx="16">
                  <c:v>51420</c:v>
                </c:pt>
                <c:pt idx="17">
                  <c:v>61460</c:v>
                </c:pt>
                <c:pt idx="18">
                  <c:v>67771</c:v>
                </c:pt>
                <c:pt idx="19">
                  <c:v>128071</c:v>
                </c:pt>
                <c:pt idx="20">
                  <c:v>235258</c:v>
                </c:pt>
                <c:pt idx="21">
                  <c:v>478172</c:v>
                </c:pt>
                <c:pt idx="22">
                  <c:v>974494</c:v>
                </c:pt>
                <c:pt idx="23">
                  <c:v>1756287</c:v>
                </c:pt>
                <c:pt idx="24">
                  <c:v>3186602</c:v>
                </c:pt>
                <c:pt idx="25">
                  <c:v>5629000</c:v>
                </c:pt>
                <c:pt idx="26">
                  <c:v>7697000</c:v>
                </c:pt>
                <c:pt idx="27">
                  <c:v>8101777</c:v>
                </c:pt>
                <c:pt idx="28">
                  <c:v>8605834</c:v>
                </c:pt>
                <c:pt idx="29">
                  <c:v>9131705</c:v>
                </c:pt>
                <c:pt idx="30">
                  <c:v>9604695</c:v>
                </c:pt>
                <c:pt idx="31">
                  <c:v>9847375</c:v>
                </c:pt>
                <c:pt idx="32">
                  <c:v>10738121</c:v>
                </c:pt>
                <c:pt idx="33">
                  <c:v>11822190</c:v>
                </c:pt>
                <c:pt idx="34">
                  <c:v>12508781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0912"/>
        <c:axId val="58146816"/>
      </c:scatterChart>
      <c:valAx>
        <c:axId val="581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146816"/>
        <c:crosses val="autoZero"/>
        <c:crossBetween val="midCat"/>
      </c:valAx>
      <c:valAx>
        <c:axId val="58146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15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source!$E$3:$E$4</c:f>
              <c:strCache>
                <c:ptCount val="1"/>
                <c:pt idx="0">
                  <c:v>Croatia Total (fixed) Internet subscriptions </c:v>
                </c:pt>
              </c:strCache>
            </c:strRef>
          </c:tx>
          <c:yVal>
            <c:numRef>
              <c:f>source!$E$5:$E$39</c:f>
              <c:numCache>
                <c:formatCode>#,##0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187000</c:v>
                </c:pt>
                <c:pt idx="26">
                  <c:v>331370</c:v>
                </c:pt>
                <c:pt idx="27">
                  <c:v>538000</c:v>
                </c:pt>
                <c:pt idx="28">
                  <c:v>570000</c:v>
                </c:pt>
                <c:pt idx="29">
                  <c:v>854900</c:v>
                </c:pt>
                <c:pt idx="30">
                  <c:v>953800</c:v>
                </c:pt>
                <c:pt idx="31">
                  <c:v>1069700</c:v>
                </c:pt>
                <c:pt idx="32">
                  <c:v>1177300</c:v>
                </c:pt>
                <c:pt idx="33">
                  <c:v>1360620</c:v>
                </c:pt>
                <c:pt idx="34">
                  <c:v>1498260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9264"/>
        <c:axId val="57417728"/>
      </c:scatterChart>
      <c:valAx>
        <c:axId val="574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417728"/>
        <c:crosses val="autoZero"/>
        <c:crossBetween val="midCat"/>
      </c:valAx>
      <c:valAx>
        <c:axId val="574177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741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'osnovni skup podataka'!$B$3:$B$4</c:f>
              <c:strCache>
                <c:ptCount val="1"/>
                <c:pt idx="0">
                  <c:v>United Kingdom DSL Internet subscriptions </c:v>
                </c:pt>
              </c:strCache>
            </c:strRef>
          </c:tx>
          <c:xVal>
            <c:strRef>
              <c:f>'osnovni skup podataka'!$A$5:$A$14</c:f>
              <c:strCach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strCache>
            </c:strRef>
          </c:xVal>
          <c:yVal>
            <c:numRef>
              <c:f>'osnovni skup podataka'!$B$5:$B$14</c:f>
              <c:numCache>
                <c:formatCode>#,##0</c:formatCode>
                <c:ptCount val="10"/>
                <c:pt idx="0">
                  <c:v>33140</c:v>
                </c:pt>
                <c:pt idx="1">
                  <c:v>127720</c:v>
                </c:pt>
                <c:pt idx="2">
                  <c:v>573302</c:v>
                </c:pt>
                <c:pt idx="3">
                  <c:v>1736308</c:v>
                </c:pt>
                <c:pt idx="4">
                  <c:v>4166748</c:v>
                </c:pt>
                <c:pt idx="5">
                  <c:v>7219807</c:v>
                </c:pt>
                <c:pt idx="6">
                  <c:v>9928140</c:v>
                </c:pt>
                <c:pt idx="7">
                  <c:v>12157200</c:v>
                </c:pt>
                <c:pt idx="8">
                  <c:v>13556860</c:v>
                </c:pt>
                <c:pt idx="9">
                  <c:v>14491005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5456"/>
        <c:axId val="57395072"/>
      </c:scatterChart>
      <c:valAx>
        <c:axId val="574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7395072"/>
        <c:crosses val="autoZero"/>
        <c:crossBetween val="midCat"/>
      </c:valAx>
      <c:valAx>
        <c:axId val="573950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747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zadatak1!$B$7</c:f>
              <c:strCache>
                <c:ptCount val="1"/>
                <c:pt idx="0">
                  <c:v>Broj korisnika
N(t)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xVal>
            <c:numRef>
              <c:f>zadatak1!$A$8:$A$17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xVal>
          <c:yVal>
            <c:numRef>
              <c:f>zadatak1!$B$8:$B$17</c:f>
              <c:numCache>
                <c:formatCode>#,##0</c:formatCode>
                <c:ptCount val="10"/>
                <c:pt idx="0">
                  <c:v>33140</c:v>
                </c:pt>
                <c:pt idx="1">
                  <c:v>127720</c:v>
                </c:pt>
                <c:pt idx="2">
                  <c:v>573302</c:v>
                </c:pt>
                <c:pt idx="3">
                  <c:v>1736308</c:v>
                </c:pt>
                <c:pt idx="4">
                  <c:v>4166748</c:v>
                </c:pt>
                <c:pt idx="5">
                  <c:v>7219807</c:v>
                </c:pt>
                <c:pt idx="6">
                  <c:v>9928140</c:v>
                </c:pt>
                <c:pt idx="7">
                  <c:v>12157200</c:v>
                </c:pt>
                <c:pt idx="8">
                  <c:v>13556860</c:v>
                </c:pt>
                <c:pt idx="9">
                  <c:v>14491005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zadatak1!$C$7</c:f>
              <c:strCache>
                <c:ptCount val="1"/>
                <c:pt idx="0">
                  <c:v>Model
f(t) = M / (1 + EXP (-a * (t-b)))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zadatak1!$A$8:$A$17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xVal>
          <c:yVal>
            <c:numRef>
              <c:f>zadatak1!$C$8:$C$17</c:f>
              <c:numCache>
                <c:formatCode>#,##0.00</c:formatCode>
                <c:ptCount val="10"/>
                <c:pt idx="0">
                  <c:v>186148.90438946342</c:v>
                </c:pt>
                <c:pt idx="1">
                  <c:v>426810.09557825839</c:v>
                </c:pt>
                <c:pt idx="2">
                  <c:v>958357.86794368806</c:v>
                </c:pt>
                <c:pt idx="3">
                  <c:v>2057840.3259254191</c:v>
                </c:pt>
                <c:pt idx="4">
                  <c:v>4052353.6649233024</c:v>
                </c:pt>
                <c:pt idx="5">
                  <c:v>6936697.6084483266</c:v>
                </c:pt>
                <c:pt idx="6">
                  <c:v>9985997.8287831899</c:v>
                </c:pt>
                <c:pt idx="7">
                  <c:v>12306954.478433032</c:v>
                </c:pt>
                <c:pt idx="8">
                  <c:v>13670009.510820642</c:v>
                </c:pt>
                <c:pt idx="9">
                  <c:v>14351943.808762584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04864"/>
        <c:axId val="199290240"/>
      </c:scatterChart>
      <c:valAx>
        <c:axId val="2012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290240"/>
        <c:crosses val="autoZero"/>
        <c:crossBetween val="midCat"/>
      </c:valAx>
      <c:valAx>
        <c:axId val="1992902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120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zadatak2!$B$7</c:f>
              <c:strCache>
                <c:ptCount val="1"/>
                <c:pt idx="0">
                  <c:v>Broj korisnika
N(t)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xVal>
            <c:numRef>
              <c:f>zadatak2!$A$8:$A$17</c:f>
              <c:numCache>
                <c:formatCode>0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xVal>
          <c:yVal>
            <c:numRef>
              <c:f>zadatak2!$B$8:$B$17</c:f>
              <c:numCache>
                <c:formatCode>#,##0</c:formatCode>
                <c:ptCount val="10"/>
                <c:pt idx="0">
                  <c:v>33140</c:v>
                </c:pt>
                <c:pt idx="1">
                  <c:v>127720</c:v>
                </c:pt>
                <c:pt idx="2">
                  <c:v>573302</c:v>
                </c:pt>
                <c:pt idx="3">
                  <c:v>1736308</c:v>
                </c:pt>
                <c:pt idx="4">
                  <c:v>4166748</c:v>
                </c:pt>
                <c:pt idx="5">
                  <c:v>7219807</c:v>
                </c:pt>
                <c:pt idx="6">
                  <c:v>9928140</c:v>
                </c:pt>
                <c:pt idx="7">
                  <c:v>12157200</c:v>
                </c:pt>
                <c:pt idx="8">
                  <c:v>13556860</c:v>
                </c:pt>
                <c:pt idx="9">
                  <c:v>14491005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zadatak2!$D$7</c:f>
              <c:strCache>
                <c:ptCount val="1"/>
                <c:pt idx="0">
                  <c:v>Model
f(t) = M * N(tE) / (N(te) + (M - N(te)) * EXP (-a * (t-te)))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zadatak2!$A$8:$A$17</c:f>
              <c:numCache>
                <c:formatCode>0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xVal>
          <c:yVal>
            <c:numRef>
              <c:f>zadatak2!$D$8:$D$17</c:f>
              <c:numCache>
                <c:formatCode>#,##0.00</c:formatCode>
                <c:ptCount val="10"/>
                <c:pt idx="0">
                  <c:v>126437.20359781083</c:v>
                </c:pt>
                <c:pt idx="1">
                  <c:v>321165.07044571469</c:v>
                </c:pt>
                <c:pt idx="2">
                  <c:v>798432.02837984799</c:v>
                </c:pt>
                <c:pt idx="3">
                  <c:v>1886523.9133223265</c:v>
                </c:pt>
                <c:pt idx="4">
                  <c:v>4004759.4558566883</c:v>
                </c:pt>
                <c:pt idx="5">
                  <c:v>7098055.9416076643</c:v>
                </c:pt>
                <c:pt idx="6">
                  <c:v>10137020.463343058</c:v>
                </c:pt>
                <c:pt idx="7">
                  <c:v>12157200</c:v>
                </c:pt>
                <c:pt idx="8">
                  <c:v>13176367.427709073</c:v>
                </c:pt>
                <c:pt idx="9">
                  <c:v>13619510.186216267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1824"/>
        <c:axId val="128574592"/>
      </c:scatterChart>
      <c:valAx>
        <c:axId val="1269418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8574592"/>
        <c:crosses val="autoZero"/>
        <c:crossBetween val="midCat"/>
      </c:valAx>
      <c:valAx>
        <c:axId val="128574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694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265338</xdr:colOff>
      <xdr:row>1</xdr:row>
      <xdr:rowOff>163287</xdr:rowOff>
    </xdr:from>
    <xdr:to>
      <xdr:col>28</xdr:col>
      <xdr:colOff>40822</xdr:colOff>
      <xdr:row>36</xdr:row>
      <xdr:rowOff>13608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170088</xdr:colOff>
      <xdr:row>39</xdr:row>
      <xdr:rowOff>166007</xdr:rowOff>
    </xdr:from>
    <xdr:to>
      <xdr:col>4</xdr:col>
      <xdr:colOff>190501</xdr:colOff>
      <xdr:row>68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523874</xdr:colOff>
      <xdr:row>39</xdr:row>
      <xdr:rowOff>166008</xdr:rowOff>
    </xdr:from>
    <xdr:to>
      <xdr:col>16</xdr:col>
      <xdr:colOff>27213</xdr:colOff>
      <xdr:row>69</xdr:row>
      <xdr:rowOff>13608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156482</xdr:colOff>
      <xdr:row>69</xdr:row>
      <xdr:rowOff>138793</xdr:rowOff>
    </xdr:from>
    <xdr:to>
      <xdr:col>4</xdr:col>
      <xdr:colOff>244929</xdr:colOff>
      <xdr:row>105</xdr:row>
      <xdr:rowOff>40821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510267</xdr:colOff>
      <xdr:row>69</xdr:row>
      <xdr:rowOff>179614</xdr:rowOff>
    </xdr:from>
    <xdr:to>
      <xdr:col>16</xdr:col>
      <xdr:colOff>81643</xdr:colOff>
      <xdr:row>105</xdr:row>
      <xdr:rowOff>27213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346981</xdr:colOff>
      <xdr:row>1</xdr:row>
      <xdr:rowOff>43543</xdr:rowOff>
    </xdr:from>
    <xdr:to>
      <xdr:col>25</xdr:col>
      <xdr:colOff>136071</xdr:colOff>
      <xdr:row>33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496657</xdr:colOff>
      <xdr:row>18</xdr:row>
      <xdr:rowOff>70756</xdr:rowOff>
    </xdr:from>
    <xdr:to>
      <xdr:col>7</xdr:col>
      <xdr:colOff>449033</xdr:colOff>
      <xdr:row>48</xdr:row>
      <xdr:rowOff>40822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250825</xdr:colOff>
          <xdr:row>18</xdr:row>
          <xdr:rowOff>111125</xdr:rowOff>
        </xdr:from>
        <xdr:to>
          <xdr:col>9</xdr:col>
          <xdr:colOff>371475</xdr:colOff>
          <xdr:row>22</xdr:row>
          <xdr:rowOff>187325</xdr:rowOff>
        </xdr:to>
        <xdr:sp macro="" textlink="">
          <xdr:nvSpPr>
            <xdr:cNvPr id="3073" name="Object 1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292100</xdr:colOff>
          <xdr:row>24</xdr:row>
          <xdr:rowOff>22225</xdr:rowOff>
        </xdr:from>
        <xdr:to>
          <xdr:col>9</xdr:col>
          <xdr:colOff>400050</xdr:colOff>
          <xdr:row>26</xdr:row>
          <xdr:rowOff>136525</xdr:rowOff>
        </xdr:to>
        <xdr:sp macro="" textlink="">
          <xdr:nvSpPr>
            <xdr:cNvPr id="3074" name="Object 7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269875</xdr:colOff>
          <xdr:row>27</xdr:row>
          <xdr:rowOff>180975</xdr:rowOff>
        </xdr:from>
        <xdr:to>
          <xdr:col>9</xdr:col>
          <xdr:colOff>361950</xdr:colOff>
          <xdr:row>30</xdr:row>
          <xdr:rowOff>66675</xdr:rowOff>
        </xdr:to>
        <xdr:sp macro="" textlink="">
          <xdr:nvSpPr>
            <xdr:cNvPr id="3075" name="Object 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241300</xdr:colOff>
          <xdr:row>31</xdr:row>
          <xdr:rowOff>149225</xdr:rowOff>
        </xdr:from>
        <xdr:to>
          <xdr:col>9</xdr:col>
          <xdr:colOff>374650</xdr:colOff>
          <xdr:row>34</xdr:row>
          <xdr:rowOff>25400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8</xdr:col>
      <xdr:colOff>666751</xdr:colOff>
      <xdr:row>35</xdr:row>
      <xdr:rowOff>95251</xdr:rowOff>
    </xdr:from>
    <xdr:to>
      <xdr:col>9</xdr:col>
      <xdr:colOff>353786</xdr:colOff>
      <xdr:row>38</xdr:row>
      <xdr:rowOff>130767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2180" y="7252608"/>
          <a:ext cx="1142999" cy="607016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802821</xdr:colOff>
      <xdr:row>39</xdr:row>
      <xdr:rowOff>40822</xdr:rowOff>
    </xdr:from>
    <xdr:to>
      <xdr:col>9</xdr:col>
      <xdr:colOff>299356</xdr:colOff>
      <xdr:row>42</xdr:row>
      <xdr:rowOff>71638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8250" y="7960179"/>
          <a:ext cx="952499" cy="602316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496657</xdr:colOff>
      <xdr:row>18</xdr:row>
      <xdr:rowOff>70756</xdr:rowOff>
    </xdr:from>
    <xdr:to>
      <xdr:col>8</xdr:col>
      <xdr:colOff>449033</xdr:colOff>
      <xdr:row>48</xdr:row>
      <xdr:rowOff>40822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250825</xdr:colOff>
          <xdr:row>18</xdr:row>
          <xdr:rowOff>111125</xdr:rowOff>
        </xdr:from>
        <xdr:to>
          <xdr:col>10</xdr:col>
          <xdr:colOff>371475</xdr:colOff>
          <xdr:row>22</xdr:row>
          <xdr:rowOff>187325</xdr:rowOff>
        </xdr:to>
        <xdr:sp macro="" textlink="">
          <xdr:nvSpPr>
            <xdr:cNvPr id="5121" name="Object 1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292100</xdr:colOff>
          <xdr:row>24</xdr:row>
          <xdr:rowOff>22225</xdr:rowOff>
        </xdr:from>
        <xdr:to>
          <xdr:col>10</xdr:col>
          <xdr:colOff>400050</xdr:colOff>
          <xdr:row>26</xdr:row>
          <xdr:rowOff>136525</xdr:rowOff>
        </xdr:to>
        <xdr:sp macro="" textlink="">
          <xdr:nvSpPr>
            <xdr:cNvPr id="5122" name="Object 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269875</xdr:colOff>
          <xdr:row>27</xdr:row>
          <xdr:rowOff>180975</xdr:rowOff>
        </xdr:from>
        <xdr:to>
          <xdr:col>10</xdr:col>
          <xdr:colOff>361950</xdr:colOff>
          <xdr:row>30</xdr:row>
          <xdr:rowOff>66675</xdr:rowOff>
        </xdr:to>
        <xdr:sp macro="" textlink="">
          <xdr:nvSpPr>
            <xdr:cNvPr id="5123" name="Object 6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241300</xdr:colOff>
          <xdr:row>31</xdr:row>
          <xdr:rowOff>149225</xdr:rowOff>
        </xdr:from>
        <xdr:to>
          <xdr:col>10</xdr:col>
          <xdr:colOff>374650</xdr:colOff>
          <xdr:row>34</xdr:row>
          <xdr:rowOff>25400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6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="70" zoomScaleNormal="70" workbookViewId="0">
      <selection activeCell="F6" sqref="F6"/>
    </sheetView>
  </sheetViews>
  <sheetFormatPr defaultRowHeight="15" x14ac:dyDescent="0.25"/>
  <cols>
    <col min="1" max="1" width="11.42578125" style="1" bestFit="1" customWidth="1"/>
    <col min="2" max="2" width="24.85546875" style="1" bestFit="1" customWidth="1"/>
    <col min="3" max="3" width="21" style="1" bestFit="1" customWidth="1"/>
    <col min="4" max="4" width="57.140625" style="1" bestFit="1" customWidth="1"/>
    <col min="5" max="5" width="32.85546875" style="1" bestFit="1" customWidth="1"/>
  </cols>
  <sheetData>
    <row r="1" spans="1:5" x14ac:dyDescent="0.25">
      <c r="A1" s="3" t="s">
        <v>45</v>
      </c>
      <c r="B1" s="2">
        <v>61565424</v>
      </c>
      <c r="C1" s="2">
        <v>7544581</v>
      </c>
      <c r="D1" s="2">
        <v>10646804</v>
      </c>
      <c r="E1" s="2">
        <v>4416166</v>
      </c>
    </row>
    <row r="2" spans="1:5" x14ac:dyDescent="0.25">
      <c r="A2" s="3" t="s">
        <v>46</v>
      </c>
      <c r="B2" s="2">
        <v>25779000</v>
      </c>
      <c r="C2" s="2">
        <v>2859000</v>
      </c>
      <c r="D2" s="2">
        <v>4450000</v>
      </c>
      <c r="E2" s="2">
        <v>1500000</v>
      </c>
    </row>
    <row r="3" spans="1:5" x14ac:dyDescent="0.25">
      <c r="A3" s="3" t="s">
        <v>43</v>
      </c>
      <c r="B3" s="3" t="s">
        <v>0</v>
      </c>
      <c r="C3" s="3" t="s">
        <v>1</v>
      </c>
      <c r="D3" s="3" t="s">
        <v>2</v>
      </c>
      <c r="E3" s="3" t="s">
        <v>3</v>
      </c>
    </row>
    <row r="4" spans="1:5" x14ac:dyDescent="0.25">
      <c r="A4" s="3" t="s">
        <v>44</v>
      </c>
      <c r="B4" s="3" t="s">
        <v>4</v>
      </c>
      <c r="C4" s="3" t="s">
        <v>5</v>
      </c>
      <c r="D4" s="3" t="s">
        <v>6</v>
      </c>
      <c r="E4" s="3" t="s">
        <v>7</v>
      </c>
    </row>
    <row r="5" spans="1:5" x14ac:dyDescent="0.25">
      <c r="A5" s="1" t="s">
        <v>8</v>
      </c>
      <c r="B5" s="2" t="e">
        <v>#N/A</v>
      </c>
      <c r="C5" s="2" t="e">
        <v>#N/A</v>
      </c>
      <c r="D5" s="2">
        <v>0</v>
      </c>
      <c r="E5" s="2" t="e">
        <v>#N/A</v>
      </c>
    </row>
    <row r="6" spans="1:5" x14ac:dyDescent="0.25">
      <c r="A6" s="1" t="s">
        <v>9</v>
      </c>
      <c r="B6" s="2" t="e">
        <v>#N/A</v>
      </c>
      <c r="C6" s="2" t="e">
        <v>#N/A</v>
      </c>
      <c r="D6" s="2">
        <v>0</v>
      </c>
      <c r="E6" s="2" t="e">
        <v>#N/A</v>
      </c>
    </row>
    <row r="7" spans="1:5" x14ac:dyDescent="0.25">
      <c r="A7" s="1" t="s">
        <v>10</v>
      </c>
      <c r="B7" s="2" t="e">
        <v>#N/A</v>
      </c>
      <c r="C7" s="2" t="e">
        <v>#N/A</v>
      </c>
      <c r="D7" s="2">
        <v>0</v>
      </c>
      <c r="E7" s="2" t="e">
        <v>#N/A</v>
      </c>
    </row>
    <row r="8" spans="1:5" x14ac:dyDescent="0.25">
      <c r="A8" s="1" t="s">
        <v>11</v>
      </c>
      <c r="B8" s="2" t="e">
        <v>#N/A</v>
      </c>
      <c r="C8" s="2" t="e">
        <v>#N/A</v>
      </c>
      <c r="D8" s="2">
        <v>0</v>
      </c>
      <c r="E8" s="2" t="e">
        <v>#N/A</v>
      </c>
    </row>
    <row r="9" spans="1:5" x14ac:dyDescent="0.25">
      <c r="A9" s="1" t="s">
        <v>12</v>
      </c>
      <c r="B9" s="2" t="e">
        <v>#N/A</v>
      </c>
      <c r="C9" s="2">
        <v>805000</v>
      </c>
      <c r="D9" s="2">
        <v>0</v>
      </c>
      <c r="E9" s="2" t="e">
        <v>#N/A</v>
      </c>
    </row>
    <row r="10" spans="1:5" x14ac:dyDescent="0.25">
      <c r="A10" s="1" t="s">
        <v>13</v>
      </c>
      <c r="B10" s="2" t="e">
        <v>#N/A</v>
      </c>
      <c r="C10" s="2">
        <v>908000</v>
      </c>
      <c r="D10" s="2">
        <v>0</v>
      </c>
      <c r="E10" s="2" t="e">
        <v>#N/A</v>
      </c>
    </row>
    <row r="11" spans="1:5" x14ac:dyDescent="0.25">
      <c r="A11" s="1" t="s">
        <v>14</v>
      </c>
      <c r="B11" s="2" t="e">
        <v>#N/A</v>
      </c>
      <c r="C11" s="2">
        <v>1144300</v>
      </c>
      <c r="D11" s="2">
        <v>0</v>
      </c>
      <c r="E11" s="2" t="e">
        <v>#N/A</v>
      </c>
    </row>
    <row r="12" spans="1:5" x14ac:dyDescent="0.25">
      <c r="A12" s="1" t="s">
        <v>15</v>
      </c>
      <c r="B12" s="2" t="e">
        <v>#N/A</v>
      </c>
      <c r="C12" s="2">
        <v>1130300</v>
      </c>
      <c r="D12" s="2">
        <v>0</v>
      </c>
      <c r="E12" s="2" t="e">
        <v>#N/A</v>
      </c>
    </row>
    <row r="13" spans="1:5" x14ac:dyDescent="0.25">
      <c r="A13" s="1" t="s">
        <v>16</v>
      </c>
      <c r="B13" s="2" t="e">
        <v>#N/A</v>
      </c>
      <c r="C13" s="2">
        <v>1352700</v>
      </c>
      <c r="D13" s="2">
        <v>0</v>
      </c>
      <c r="E13" s="2" t="e">
        <v>#N/A</v>
      </c>
    </row>
    <row r="14" spans="1:5" x14ac:dyDescent="0.25">
      <c r="A14" s="1" t="s">
        <v>17</v>
      </c>
      <c r="B14" s="2" t="e">
        <v>#N/A</v>
      </c>
      <c r="C14" s="2">
        <v>1400000</v>
      </c>
      <c r="D14" s="2">
        <v>0</v>
      </c>
      <c r="E14" s="2" t="e">
        <v>#N/A</v>
      </c>
    </row>
    <row r="15" spans="1:5" x14ac:dyDescent="0.25">
      <c r="A15" s="1" t="s">
        <v>18</v>
      </c>
      <c r="B15" s="2" t="e">
        <v>#N/A</v>
      </c>
      <c r="C15" s="2">
        <v>1500000</v>
      </c>
      <c r="D15" s="2">
        <v>0</v>
      </c>
      <c r="E15" s="2" t="e">
        <v>#N/A</v>
      </c>
    </row>
    <row r="16" spans="1:5" x14ac:dyDescent="0.25">
      <c r="A16" s="1" t="s">
        <v>19</v>
      </c>
      <c r="B16" s="2" t="e">
        <v>#N/A</v>
      </c>
      <c r="C16" s="2">
        <v>1600000</v>
      </c>
      <c r="D16" s="2">
        <v>3798</v>
      </c>
      <c r="E16" s="2" t="e">
        <v>#N/A</v>
      </c>
    </row>
    <row r="17" spans="1:5" x14ac:dyDescent="0.25">
      <c r="A17" s="1" t="s">
        <v>20</v>
      </c>
      <c r="B17" s="2" t="e">
        <v>#N/A</v>
      </c>
      <c r="C17" s="2">
        <v>1745000</v>
      </c>
      <c r="D17" s="2">
        <v>7223</v>
      </c>
      <c r="E17" s="2" t="e">
        <v>#N/A</v>
      </c>
    </row>
    <row r="18" spans="1:5" x14ac:dyDescent="0.25">
      <c r="A18" s="1" t="s">
        <v>21</v>
      </c>
      <c r="B18" s="2" t="e">
        <v>#N/A</v>
      </c>
      <c r="C18" s="2">
        <v>1886000</v>
      </c>
      <c r="D18" s="2">
        <v>19154</v>
      </c>
      <c r="E18" s="2" t="e">
        <v>#N/A</v>
      </c>
    </row>
    <row r="19" spans="1:5" x14ac:dyDescent="0.25">
      <c r="A19" s="1" t="s">
        <v>22</v>
      </c>
      <c r="B19" s="2" t="e">
        <v>#N/A</v>
      </c>
      <c r="C19" s="2">
        <v>1994000</v>
      </c>
      <c r="D19" s="2">
        <v>30791</v>
      </c>
      <c r="E19" s="2" t="e">
        <v>#N/A</v>
      </c>
    </row>
    <row r="20" spans="1:5" x14ac:dyDescent="0.25">
      <c r="A20" s="1" t="s">
        <v>23</v>
      </c>
      <c r="B20" s="2" t="e">
        <v>#N/A</v>
      </c>
      <c r="C20" s="2">
        <v>2175423</v>
      </c>
      <c r="D20" s="2">
        <v>42880</v>
      </c>
      <c r="E20" s="2" t="e">
        <v>#N/A</v>
      </c>
    </row>
    <row r="21" spans="1:5" x14ac:dyDescent="0.25">
      <c r="A21" s="1" t="s">
        <v>24</v>
      </c>
      <c r="B21" s="2" t="e">
        <v>#N/A</v>
      </c>
      <c r="C21" s="2">
        <v>2205483</v>
      </c>
      <c r="D21" s="2">
        <v>51420</v>
      </c>
      <c r="E21" s="2" t="e">
        <v>#N/A</v>
      </c>
    </row>
    <row r="22" spans="1:5" x14ac:dyDescent="0.25">
      <c r="A22" s="1" t="s">
        <v>25</v>
      </c>
      <c r="B22" s="2" t="e">
        <v>#N/A</v>
      </c>
      <c r="C22" s="2">
        <v>2339668</v>
      </c>
      <c r="D22" s="2">
        <v>61460</v>
      </c>
      <c r="E22" s="2" t="e">
        <v>#N/A</v>
      </c>
    </row>
    <row r="23" spans="1:5" x14ac:dyDescent="0.25">
      <c r="A23" s="1" t="s">
        <v>26</v>
      </c>
      <c r="B23" s="2" t="e">
        <v>#N/A</v>
      </c>
      <c r="C23" s="2">
        <v>2410427</v>
      </c>
      <c r="D23" s="2">
        <v>67771</v>
      </c>
      <c r="E23" s="2" t="e">
        <v>#N/A</v>
      </c>
    </row>
    <row r="24" spans="1:5" x14ac:dyDescent="0.25">
      <c r="A24" s="1" t="s">
        <v>27</v>
      </c>
      <c r="B24" s="2" t="e">
        <v>#N/A</v>
      </c>
      <c r="C24" s="2">
        <v>2487918</v>
      </c>
      <c r="D24" s="2">
        <v>128071</v>
      </c>
      <c r="E24" s="2" t="e">
        <v>#N/A</v>
      </c>
    </row>
    <row r="25" spans="1:5" x14ac:dyDescent="0.25">
      <c r="A25" s="1" t="s">
        <v>28</v>
      </c>
      <c r="B25" s="2" t="e">
        <v>#N/A</v>
      </c>
      <c r="C25" s="2">
        <v>2562915</v>
      </c>
      <c r="D25" s="2">
        <v>235258</v>
      </c>
      <c r="E25" s="2" t="e">
        <v>#N/A</v>
      </c>
    </row>
    <row r="26" spans="1:5" x14ac:dyDescent="0.25">
      <c r="A26" s="1" t="s">
        <v>29</v>
      </c>
      <c r="B26" s="2" t="e">
        <v>#N/A</v>
      </c>
      <c r="C26" s="2">
        <v>2647459</v>
      </c>
      <c r="D26" s="2">
        <v>478172</v>
      </c>
      <c r="E26" s="2" t="e">
        <v>#N/A</v>
      </c>
    </row>
    <row r="27" spans="1:5" x14ac:dyDescent="0.25">
      <c r="A27" s="1" t="s">
        <v>30</v>
      </c>
      <c r="B27" s="2" t="e">
        <v>#N/A</v>
      </c>
      <c r="C27" s="2">
        <v>2681074</v>
      </c>
      <c r="D27" s="2">
        <v>974494</v>
      </c>
      <c r="E27" s="2" t="e">
        <v>#N/A</v>
      </c>
    </row>
    <row r="28" spans="1:5" x14ac:dyDescent="0.25">
      <c r="A28" s="1" t="s">
        <v>31</v>
      </c>
      <c r="B28" s="2" t="e">
        <v>#N/A</v>
      </c>
      <c r="C28" s="2">
        <v>2757990</v>
      </c>
      <c r="D28" s="2">
        <v>1756287</v>
      </c>
      <c r="E28" s="2" t="e">
        <v>#N/A</v>
      </c>
    </row>
    <row r="29" spans="1:5" x14ac:dyDescent="0.25">
      <c r="A29" s="1" t="s">
        <v>32</v>
      </c>
      <c r="B29" s="2" t="e">
        <v>#N/A</v>
      </c>
      <c r="C29" s="2">
        <v>2833395</v>
      </c>
      <c r="D29" s="2">
        <v>3186602</v>
      </c>
      <c r="E29" s="2" t="e">
        <v>#N/A</v>
      </c>
    </row>
    <row r="30" spans="1:5" x14ac:dyDescent="0.25">
      <c r="A30" s="1" t="s">
        <v>33</v>
      </c>
      <c r="B30" s="2">
        <v>33140</v>
      </c>
      <c r="C30" s="2">
        <v>2881786</v>
      </c>
      <c r="D30" s="2">
        <v>5629000</v>
      </c>
      <c r="E30" s="2">
        <v>187000</v>
      </c>
    </row>
    <row r="31" spans="1:5" x14ac:dyDescent="0.25">
      <c r="A31" s="1" t="s">
        <v>34</v>
      </c>
      <c r="B31" s="2">
        <v>127720</v>
      </c>
      <c r="C31" s="2">
        <v>2887000</v>
      </c>
      <c r="D31" s="2">
        <v>7697000</v>
      </c>
      <c r="E31" s="2">
        <v>331370</v>
      </c>
    </row>
    <row r="32" spans="1:5" x14ac:dyDescent="0.25">
      <c r="A32" s="1" t="s">
        <v>35</v>
      </c>
      <c r="B32" s="2">
        <v>573302</v>
      </c>
      <c r="C32" s="2">
        <v>2871801</v>
      </c>
      <c r="D32" s="2">
        <v>8101777</v>
      </c>
      <c r="E32" s="2">
        <v>538000</v>
      </c>
    </row>
    <row r="33" spans="1:5" x14ac:dyDescent="0.25">
      <c r="A33" s="1" t="s">
        <v>36</v>
      </c>
      <c r="B33" s="2">
        <v>1736308</v>
      </c>
      <c r="C33" s="2">
        <v>2817512</v>
      </c>
      <c r="D33" s="2">
        <v>8605834</v>
      </c>
      <c r="E33" s="2">
        <v>570000</v>
      </c>
    </row>
    <row r="34" spans="1:5" x14ac:dyDescent="0.25">
      <c r="A34" s="1" t="s">
        <v>37</v>
      </c>
      <c r="B34" s="2">
        <v>4166748</v>
      </c>
      <c r="C34" s="2">
        <v>2726800</v>
      </c>
      <c r="D34" s="2">
        <v>9131705</v>
      </c>
      <c r="E34" s="2">
        <v>854900</v>
      </c>
    </row>
    <row r="35" spans="1:5" x14ac:dyDescent="0.25">
      <c r="A35" s="1" t="s">
        <v>38</v>
      </c>
      <c r="B35" s="2">
        <v>7219807</v>
      </c>
      <c r="C35" s="2">
        <v>2490022</v>
      </c>
      <c r="D35" s="2">
        <v>9604695</v>
      </c>
      <c r="E35" s="2">
        <v>953800</v>
      </c>
    </row>
    <row r="36" spans="1:5" x14ac:dyDescent="0.25">
      <c r="A36" s="1" t="s">
        <v>39</v>
      </c>
      <c r="B36" s="2">
        <v>9928140</v>
      </c>
      <c r="C36" s="2">
        <v>2399424</v>
      </c>
      <c r="D36" s="2">
        <v>9847375</v>
      </c>
      <c r="E36" s="2">
        <v>1069700</v>
      </c>
    </row>
    <row r="37" spans="1:5" x14ac:dyDescent="0.25">
      <c r="A37" s="1" t="s">
        <v>40</v>
      </c>
      <c r="B37" s="2">
        <v>12157200</v>
      </c>
      <c r="C37" s="2">
        <v>2300355</v>
      </c>
      <c r="D37" s="2">
        <v>10738121</v>
      </c>
      <c r="E37" s="2">
        <v>1177300</v>
      </c>
    </row>
    <row r="38" spans="1:5" x14ac:dyDescent="0.25">
      <c r="A38" s="1" t="s">
        <v>41</v>
      </c>
      <c r="B38" s="2">
        <v>13556860</v>
      </c>
      <c r="C38" s="2">
        <v>2189773</v>
      </c>
      <c r="D38" s="2">
        <v>11822190</v>
      </c>
      <c r="E38" s="2">
        <v>1360620</v>
      </c>
    </row>
    <row r="39" spans="1:5" x14ac:dyDescent="0.25">
      <c r="A39" s="1" t="s">
        <v>42</v>
      </c>
      <c r="B39" s="2">
        <v>14491005</v>
      </c>
      <c r="C39" s="2">
        <v>2205394</v>
      </c>
      <c r="D39" s="2">
        <v>12508781</v>
      </c>
      <c r="E39" s="2">
        <v>1498260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70" zoomScaleNormal="70" workbookViewId="0">
      <selection activeCell="B14" sqref="A1:B14"/>
    </sheetView>
  </sheetViews>
  <sheetFormatPr defaultRowHeight="15" x14ac:dyDescent="0.25"/>
  <cols>
    <col min="1" max="1" width="11.42578125" bestFit="1" customWidth="1"/>
    <col min="2" max="2" width="24.85546875" bestFit="1" customWidth="1"/>
  </cols>
  <sheetData>
    <row r="1" spans="1:2" x14ac:dyDescent="0.25">
      <c r="A1" s="3" t="s">
        <v>45</v>
      </c>
      <c r="B1" s="2">
        <v>61565424</v>
      </c>
    </row>
    <row r="2" spans="1:2" x14ac:dyDescent="0.25">
      <c r="A2" s="3" t="s">
        <v>46</v>
      </c>
      <c r="B2" s="2">
        <v>25779000</v>
      </c>
    </row>
    <row r="3" spans="1:2" x14ac:dyDescent="0.25">
      <c r="A3" s="3" t="s">
        <v>43</v>
      </c>
      <c r="B3" s="3" t="s">
        <v>0</v>
      </c>
    </row>
    <row r="4" spans="1:2" x14ac:dyDescent="0.25">
      <c r="A4" s="3" t="s">
        <v>44</v>
      </c>
      <c r="B4" s="3" t="s">
        <v>4</v>
      </c>
    </row>
    <row r="5" spans="1:2" x14ac:dyDescent="0.25">
      <c r="A5" s="1" t="s">
        <v>33</v>
      </c>
      <c r="B5" s="2">
        <v>33140</v>
      </c>
    </row>
    <row r="6" spans="1:2" x14ac:dyDescent="0.25">
      <c r="A6" s="1" t="s">
        <v>34</v>
      </c>
      <c r="B6" s="2">
        <v>127720</v>
      </c>
    </row>
    <row r="7" spans="1:2" x14ac:dyDescent="0.25">
      <c r="A7" s="1" t="s">
        <v>35</v>
      </c>
      <c r="B7" s="2">
        <v>573302</v>
      </c>
    </row>
    <row r="8" spans="1:2" x14ac:dyDescent="0.25">
      <c r="A8" s="1" t="s">
        <v>36</v>
      </c>
      <c r="B8" s="2">
        <v>1736308</v>
      </c>
    </row>
    <row r="9" spans="1:2" x14ac:dyDescent="0.25">
      <c r="A9" s="1" t="s">
        <v>37</v>
      </c>
      <c r="B9" s="2">
        <v>4166748</v>
      </c>
    </row>
    <row r="10" spans="1:2" x14ac:dyDescent="0.25">
      <c r="A10" s="1" t="s">
        <v>38</v>
      </c>
      <c r="B10" s="2">
        <v>7219807</v>
      </c>
    </row>
    <row r="11" spans="1:2" x14ac:dyDescent="0.25">
      <c r="A11" s="1" t="s">
        <v>39</v>
      </c>
      <c r="B11" s="2">
        <v>9928140</v>
      </c>
    </row>
    <row r="12" spans="1:2" x14ac:dyDescent="0.25">
      <c r="A12" s="1" t="s">
        <v>40</v>
      </c>
      <c r="B12" s="2">
        <v>12157200</v>
      </c>
    </row>
    <row r="13" spans="1:2" x14ac:dyDescent="0.25">
      <c r="A13" s="1" t="s">
        <v>41</v>
      </c>
      <c r="B13" s="2">
        <v>13556860</v>
      </c>
    </row>
    <row r="14" spans="1:2" x14ac:dyDescent="0.25">
      <c r="A14" s="1" t="s">
        <v>42</v>
      </c>
      <c r="B14" s="2">
        <v>14491005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2"/>
  <sheetViews>
    <sheetView tabSelected="1" zoomScale="70" zoomScaleNormal="70" workbookViewId="0">
      <selection activeCell="K10" sqref="K10"/>
    </sheetView>
  </sheetViews>
  <sheetFormatPr defaultRowHeight="15" x14ac:dyDescent="0.25"/>
  <cols>
    <col min="1" max="1" width="13.7109375" style="1" customWidth="1"/>
    <col min="2" max="2" width="24.85546875" style="1" bestFit="1" customWidth="1"/>
    <col min="3" max="3" width="40" style="1" bestFit="1" customWidth="1"/>
    <col min="4" max="4" width="14" style="1" bestFit="1" customWidth="1"/>
    <col min="5" max="5" width="24" style="1" bestFit="1" customWidth="1"/>
    <col min="6" max="6" width="20.42578125" style="1" bestFit="1" customWidth="1"/>
    <col min="7" max="7" width="24.7109375" style="1" bestFit="1" customWidth="1"/>
    <col min="8" max="8" width="16.140625" style="1" bestFit="1" customWidth="1"/>
    <col min="9" max="9" width="21.85546875" style="1" bestFit="1" customWidth="1"/>
    <col min="10" max="10" width="10.28515625" style="1" customWidth="1"/>
    <col min="11" max="11" width="21.42578125" style="1" bestFit="1" customWidth="1"/>
    <col min="12" max="13" width="9.140625" style="1"/>
    <col min="14" max="15" width="10.85546875" style="1" bestFit="1" customWidth="1"/>
    <col min="16" max="25" width="9.140625" style="1"/>
  </cols>
  <sheetData>
    <row r="1" spans="1:15" ht="23.25" x14ac:dyDescent="0.25">
      <c r="A1" s="4" t="s">
        <v>84</v>
      </c>
    </row>
    <row r="2" spans="1:15" x14ac:dyDescent="0.25">
      <c r="J2" s="6"/>
    </row>
    <row r="3" spans="1:15" x14ac:dyDescent="0.25">
      <c r="A3" s="3" t="s">
        <v>45</v>
      </c>
      <c r="B3" s="2">
        <v>61565424</v>
      </c>
      <c r="I3" s="15" t="s">
        <v>49</v>
      </c>
      <c r="J3" s="3">
        <v>0.84627137367439553</v>
      </c>
      <c r="K3" s="11" t="s">
        <v>51</v>
      </c>
      <c r="N3" s="15" t="s">
        <v>53</v>
      </c>
      <c r="O3" s="1">
        <f>COUNT(A8:A17)</f>
        <v>10</v>
      </c>
    </row>
    <row r="4" spans="1:15" x14ac:dyDescent="0.25">
      <c r="A4" s="3" t="s">
        <v>46</v>
      </c>
      <c r="B4" s="16">
        <v>14910821.79918569</v>
      </c>
      <c r="C4" s="12" t="s">
        <v>85</v>
      </c>
      <c r="I4" s="15" t="s">
        <v>50</v>
      </c>
      <c r="J4" s="3">
        <v>2005.1646942284624</v>
      </c>
      <c r="K4" s="12" t="s">
        <v>66</v>
      </c>
      <c r="N4" s="15" t="s">
        <v>54</v>
      </c>
      <c r="O4" s="2">
        <f>SUM(B8:B17)/O3</f>
        <v>6399023</v>
      </c>
    </row>
    <row r="5" spans="1:15" x14ac:dyDescent="0.25">
      <c r="A5" s="3" t="s">
        <v>43</v>
      </c>
      <c r="B5" s="3" t="s">
        <v>0</v>
      </c>
      <c r="I5" s="15" t="s">
        <v>59</v>
      </c>
      <c r="J5" s="3">
        <v>1.25</v>
      </c>
    </row>
    <row r="6" spans="1:15" ht="30" x14ac:dyDescent="0.25">
      <c r="A6" s="3" t="s">
        <v>44</v>
      </c>
      <c r="B6" s="3" t="s">
        <v>4</v>
      </c>
      <c r="E6" s="5" t="s">
        <v>61</v>
      </c>
      <c r="F6" s="5" t="s">
        <v>55</v>
      </c>
      <c r="G6" s="5" t="s">
        <v>56</v>
      </c>
      <c r="H6" s="5" t="s">
        <v>57</v>
      </c>
      <c r="I6" s="5" t="s">
        <v>58</v>
      </c>
    </row>
    <row r="7" spans="1:15" ht="30" x14ac:dyDescent="0.25">
      <c r="A7" s="5" t="s">
        <v>47</v>
      </c>
      <c r="B7" s="5" t="s">
        <v>48</v>
      </c>
      <c r="C7" s="5" t="s">
        <v>52</v>
      </c>
      <c r="D7" s="3" t="s">
        <v>60</v>
      </c>
      <c r="E7" s="9">
        <f>SUM(E8:E17)</f>
        <v>159110567017.96497</v>
      </c>
      <c r="F7" s="9">
        <f>SUM(F8:F17)</f>
        <v>515669418500.3252</v>
      </c>
      <c r="G7" s="9">
        <f>SUM(G8:G17)</f>
        <v>303516454448756</v>
      </c>
      <c r="H7" s="9">
        <f>SUM(H8:H17)</f>
        <v>2016013.9297394797</v>
      </c>
      <c r="I7" s="9">
        <f>SUM(I8:I17)</f>
        <v>7.9183928597836433</v>
      </c>
    </row>
    <row r="8" spans="1:15" x14ac:dyDescent="0.25">
      <c r="A8" s="14">
        <v>2000</v>
      </c>
      <c r="B8" s="2">
        <v>33140</v>
      </c>
      <c r="C8" s="7">
        <f>$B$4/(1+EXP(-$J$3*(A8-$J$4)))</f>
        <v>186148.90438946342</v>
      </c>
      <c r="D8" s="8">
        <f>D9/$J$5</f>
        <v>0.13421772800000004</v>
      </c>
      <c r="E8" s="9">
        <f>D8*(B8-C8)^2</f>
        <v>3142268514.232317</v>
      </c>
      <c r="F8" s="9">
        <f>(B8-C8)^2</f>
        <v>23411724822.463959</v>
      </c>
      <c r="G8" s="9">
        <f>($O$4-B8)^2</f>
        <v>40524466369689</v>
      </c>
      <c r="H8" s="9">
        <f>ABS(C8-B8)</f>
        <v>153008.90438946342</v>
      </c>
      <c r="I8" s="9">
        <f>ABS(C8-B8)/B8</f>
        <v>4.6170459984750583</v>
      </c>
    </row>
    <row r="9" spans="1:15" x14ac:dyDescent="0.25">
      <c r="A9" s="14">
        <v>2001</v>
      </c>
      <c r="B9" s="2">
        <v>127720</v>
      </c>
      <c r="C9" s="7">
        <f t="shared" ref="C9:C17" si="0">$B$4/(1+EXP(-$J$3*(A9-$J$4)))</f>
        <v>426810.09557825839</v>
      </c>
      <c r="D9" s="8">
        <f>D10/$J$5</f>
        <v>0.16777216000000003</v>
      </c>
      <c r="E9" s="9">
        <f t="shared" ref="E9:F17" si="1">D9*(B9-C9)^2</f>
        <v>15008039324.80537</v>
      </c>
      <c r="F9" s="9">
        <f t="shared" ref="F9:F17" si="2">(B9-C9)^2</f>
        <v>89454885273.011734</v>
      </c>
      <c r="G9" s="9">
        <f t="shared" ref="G9:G17" si="3">($O$4-B9)^2</f>
        <v>39329241317809</v>
      </c>
      <c r="H9" s="9">
        <f t="shared" ref="H9:H17" si="4">ABS(C9-B9)</f>
        <v>299090.09557825839</v>
      </c>
      <c r="I9" s="9">
        <f t="shared" ref="I9:I17" si="5">ABS(C9-B9)/B9</f>
        <v>2.3417639804122956</v>
      </c>
      <c r="J9" s="15" t="s">
        <v>68</v>
      </c>
      <c r="K9" s="21">
        <v>0.05</v>
      </c>
    </row>
    <row r="10" spans="1:15" x14ac:dyDescent="0.25">
      <c r="A10" s="14">
        <v>2002</v>
      </c>
      <c r="B10" s="2">
        <v>573302</v>
      </c>
      <c r="C10" s="7">
        <f t="shared" si="0"/>
        <v>958357.86794368806</v>
      </c>
      <c r="D10" s="8">
        <f>D11/$J$5</f>
        <v>0.20971520000000005</v>
      </c>
      <c r="E10" s="9">
        <f t="shared" si="1"/>
        <v>31094057769.44656</v>
      </c>
      <c r="F10" s="9">
        <f t="shared" si="2"/>
        <v>148268021437.86694</v>
      </c>
      <c r="G10" s="9">
        <f t="shared" si="3"/>
        <v>33939025169841</v>
      </c>
      <c r="H10" s="9">
        <f t="shared" si="4"/>
        <v>385055.86794368806</v>
      </c>
      <c r="I10" s="9">
        <f t="shared" si="5"/>
        <v>0.67164577821756777</v>
      </c>
      <c r="J10" s="15" t="s">
        <v>69</v>
      </c>
      <c r="K10" s="21">
        <f>1-K9</f>
        <v>0.95</v>
      </c>
    </row>
    <row r="11" spans="1:15" x14ac:dyDescent="0.25">
      <c r="A11" s="14">
        <v>2003</v>
      </c>
      <c r="B11" s="2">
        <v>1736308</v>
      </c>
      <c r="C11" s="7">
        <f t="shared" si="0"/>
        <v>2057840.3259254191</v>
      </c>
      <c r="D11" s="8">
        <f>D12/$J$5</f>
        <v>0.26214400000000004</v>
      </c>
      <c r="E11" s="9">
        <f t="shared" si="1"/>
        <v>27101242750.405167</v>
      </c>
      <c r="F11" s="9">
        <f t="shared" si="2"/>
        <v>103383036615.00993</v>
      </c>
      <c r="G11" s="9">
        <f t="shared" si="3"/>
        <v>21740911171225</v>
      </c>
      <c r="H11" s="9">
        <f t="shared" si="4"/>
        <v>321532.32592541911</v>
      </c>
      <c r="I11" s="9">
        <f t="shared" si="5"/>
        <v>0.18518161865603286</v>
      </c>
    </row>
    <row r="12" spans="1:15" x14ac:dyDescent="0.25">
      <c r="A12" s="14">
        <v>2004</v>
      </c>
      <c r="B12" s="2">
        <v>4166748</v>
      </c>
      <c r="C12" s="7">
        <f t="shared" si="0"/>
        <v>4052353.6649233024</v>
      </c>
      <c r="D12" s="8">
        <f>D13/$J$5</f>
        <v>0.32768000000000003</v>
      </c>
      <c r="E12" s="9">
        <f t="shared" si="1"/>
        <v>4288041417.9786015</v>
      </c>
      <c r="F12" s="9">
        <f t="shared" si="2"/>
        <v>13086063897.639774</v>
      </c>
      <c r="G12" s="9">
        <f t="shared" si="3"/>
        <v>4983051675625</v>
      </c>
      <c r="H12" s="9">
        <f t="shared" si="4"/>
        <v>114394.33507669764</v>
      </c>
      <c r="I12" s="9">
        <f t="shared" si="5"/>
        <v>2.7454104514287314E-2</v>
      </c>
    </row>
    <row r="13" spans="1:15" x14ac:dyDescent="0.25">
      <c r="A13" s="14">
        <v>2005</v>
      </c>
      <c r="B13" s="2">
        <v>7219807</v>
      </c>
      <c r="C13" s="7">
        <f t="shared" si="0"/>
        <v>6936697.6084483266</v>
      </c>
      <c r="D13" s="8">
        <f>D14/$J$5</f>
        <v>0.40960000000000002</v>
      </c>
      <c r="E13" s="9">
        <f t="shared" si="1"/>
        <v>32829819938.717178</v>
      </c>
      <c r="F13" s="9">
        <f t="shared" si="2"/>
        <v>80150927584.758728</v>
      </c>
      <c r="G13" s="9">
        <f t="shared" si="3"/>
        <v>673686374656</v>
      </c>
      <c r="H13" s="9">
        <f t="shared" si="4"/>
        <v>283109.39155167341</v>
      </c>
      <c r="I13" s="9">
        <f t="shared" si="5"/>
        <v>3.9212875295928741E-2</v>
      </c>
    </row>
    <row r="14" spans="1:15" x14ac:dyDescent="0.25">
      <c r="A14" s="14">
        <v>2006</v>
      </c>
      <c r="B14" s="2">
        <v>9928140</v>
      </c>
      <c r="C14" s="7">
        <f t="shared" si="0"/>
        <v>9985997.8287831899</v>
      </c>
      <c r="D14" s="8">
        <f>D15/$J$5</f>
        <v>0.51200000000000001</v>
      </c>
      <c r="E14" s="9">
        <f t="shared" si="1"/>
        <v>1713934515.9705167</v>
      </c>
      <c r="F14" s="9">
        <f t="shared" si="2"/>
        <v>3347528351.5049152</v>
      </c>
      <c r="G14" s="9">
        <f t="shared" si="3"/>
        <v>12454666799689</v>
      </c>
      <c r="H14" s="9">
        <f t="shared" si="4"/>
        <v>57857.828783189878</v>
      </c>
      <c r="I14" s="9">
        <f t="shared" si="5"/>
        <v>5.8276604462859987E-3</v>
      </c>
    </row>
    <row r="15" spans="1:15" x14ac:dyDescent="0.25">
      <c r="A15" s="14">
        <v>2007</v>
      </c>
      <c r="B15" s="2">
        <v>12157200</v>
      </c>
      <c r="C15" s="7">
        <f t="shared" si="0"/>
        <v>12306954.478433032</v>
      </c>
      <c r="D15" s="8">
        <f>D16/$J$5</f>
        <v>0.64</v>
      </c>
      <c r="E15" s="9">
        <f t="shared" si="1"/>
        <v>14352898438.879568</v>
      </c>
      <c r="F15" s="9">
        <f t="shared" si="2"/>
        <v>22426403810.749325</v>
      </c>
      <c r="G15" s="9">
        <f t="shared" si="3"/>
        <v>33156602363329</v>
      </c>
      <c r="H15" s="9">
        <f t="shared" si="4"/>
        <v>149754.47843303159</v>
      </c>
      <c r="I15" s="9">
        <f t="shared" si="5"/>
        <v>1.2318171818595696E-2</v>
      </c>
    </row>
    <row r="16" spans="1:15" x14ac:dyDescent="0.25">
      <c r="A16" s="14">
        <v>2008</v>
      </c>
      <c r="B16" s="2">
        <v>13556860</v>
      </c>
      <c r="C16" s="7">
        <f t="shared" si="0"/>
        <v>13670009.510820642</v>
      </c>
      <c r="D16" s="8">
        <f>D17/$J$5</f>
        <v>0.8</v>
      </c>
      <c r="E16" s="9">
        <f t="shared" si="1"/>
        <v>10242249439.160486</v>
      </c>
      <c r="F16" s="9">
        <f t="shared" si="2"/>
        <v>12802811798.950607</v>
      </c>
      <c r="G16" s="9">
        <f t="shared" si="3"/>
        <v>51234630518569</v>
      </c>
      <c r="H16" s="9">
        <f t="shared" si="4"/>
        <v>113149.51082064211</v>
      </c>
      <c r="I16" s="9">
        <f t="shared" si="5"/>
        <v>8.3462919009742748E-3</v>
      </c>
    </row>
    <row r="17" spans="1:11" x14ac:dyDescent="0.25">
      <c r="A17" s="14">
        <v>2009</v>
      </c>
      <c r="B17" s="2">
        <v>14491005</v>
      </c>
      <c r="C17" s="7">
        <f t="shared" si="0"/>
        <v>14351943.808762584</v>
      </c>
      <c r="D17" s="8">
        <v>1</v>
      </c>
      <c r="E17" s="9">
        <f t="shared" si="1"/>
        <v>19338014908.369217</v>
      </c>
      <c r="F17" s="9">
        <f t="shared" si="2"/>
        <v>19338014908.369217</v>
      </c>
      <c r="G17" s="9">
        <f t="shared" si="3"/>
        <v>65480172688324</v>
      </c>
      <c r="H17" s="9">
        <f t="shared" si="4"/>
        <v>139061.19123741612</v>
      </c>
      <c r="I17" s="9">
        <f t="shared" si="5"/>
        <v>9.5963800466162368E-3</v>
      </c>
    </row>
    <row r="20" spans="1:11" x14ac:dyDescent="0.25">
      <c r="K20" s="3" t="s">
        <v>62</v>
      </c>
    </row>
    <row r="21" spans="1:11" x14ac:dyDescent="0.25">
      <c r="K21" s="17">
        <f>SQRT(1-(F7/G7))</f>
        <v>0.99915014717382666</v>
      </c>
    </row>
    <row r="22" spans="1:11" x14ac:dyDescent="0.25">
      <c r="K22" s="17"/>
    </row>
    <row r="23" spans="1:11" x14ac:dyDescent="0.25">
      <c r="K23" s="17"/>
    </row>
    <row r="24" spans="1:11" x14ac:dyDescent="0.25">
      <c r="K24" s="17"/>
    </row>
    <row r="25" spans="1:11" x14ac:dyDescent="0.25">
      <c r="K25" s="19" t="s">
        <v>63</v>
      </c>
    </row>
    <row r="26" spans="1:11" x14ac:dyDescent="0.25">
      <c r="K26" s="9">
        <f>SQRT(F7/O3)</f>
        <v>227083.55697855473</v>
      </c>
    </row>
    <row r="27" spans="1:11" x14ac:dyDescent="0.25">
      <c r="K27" s="9"/>
    </row>
    <row r="28" spans="1:11" x14ac:dyDescent="0.25">
      <c r="K28" s="9"/>
    </row>
    <row r="29" spans="1:11" x14ac:dyDescent="0.25">
      <c r="K29" s="20" t="s">
        <v>64</v>
      </c>
    </row>
    <row r="30" spans="1:11" x14ac:dyDescent="0.25">
      <c r="K30" s="9">
        <f>H7/O3</f>
        <v>201601.39297394798</v>
      </c>
    </row>
    <row r="31" spans="1:11" x14ac:dyDescent="0.25">
      <c r="K31" s="17"/>
    </row>
    <row r="32" spans="1:11" x14ac:dyDescent="0.25">
      <c r="K32" s="17"/>
    </row>
    <row r="33" spans="11:11" x14ac:dyDescent="0.25">
      <c r="K33" s="19" t="s">
        <v>65</v>
      </c>
    </row>
    <row r="34" spans="11:11" x14ac:dyDescent="0.25">
      <c r="K34" s="18">
        <f>I7/O3</f>
        <v>0.79183928597836428</v>
      </c>
    </row>
    <row r="37" spans="11:11" x14ac:dyDescent="0.25">
      <c r="K37" s="3" t="s">
        <v>67</v>
      </c>
    </row>
    <row r="38" spans="11:11" x14ac:dyDescent="0.25">
      <c r="K38" s="22">
        <f>2*LN(1/K9-1)/J3</f>
        <v>6.9586165165485525</v>
      </c>
    </row>
    <row r="41" spans="11:11" x14ac:dyDescent="0.25">
      <c r="K41" s="3" t="s">
        <v>70</v>
      </c>
    </row>
    <row r="42" spans="11:11" x14ac:dyDescent="0.25">
      <c r="K42" s="22">
        <f>J4-(K38/2)</f>
        <v>2001.685385970188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8</xdr:col>
                <xdr:colOff>247650</xdr:colOff>
                <xdr:row>18</xdr:row>
                <xdr:rowOff>114300</xdr:rowOff>
              </from>
              <to>
                <xdr:col>9</xdr:col>
                <xdr:colOff>371475</xdr:colOff>
                <xdr:row>22</xdr:row>
                <xdr:rowOff>190500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8</xdr:col>
                <xdr:colOff>295275</xdr:colOff>
                <xdr:row>24</xdr:row>
                <xdr:rowOff>19050</xdr:rowOff>
              </from>
              <to>
                <xdr:col>9</xdr:col>
                <xdr:colOff>400050</xdr:colOff>
                <xdr:row>26</xdr:row>
                <xdr:rowOff>133350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5" r:id="rId7">
          <objectPr defaultSize="0" r:id="rId8">
            <anchor moveWithCells="1" sizeWithCells="1">
              <from>
                <xdr:col>8</xdr:col>
                <xdr:colOff>266700</xdr:colOff>
                <xdr:row>27</xdr:row>
                <xdr:rowOff>180975</xdr:rowOff>
              </from>
              <to>
                <xdr:col>9</xdr:col>
                <xdr:colOff>361950</xdr:colOff>
                <xdr:row>30</xdr:row>
                <xdr:rowOff>66675</xdr:rowOff>
              </to>
            </anchor>
          </objectPr>
        </oleObject>
      </mc:Choice>
      <mc:Fallback>
        <oleObject progId="Equation.3" shapeId="3075" r:id="rId7"/>
      </mc:Fallback>
    </mc:AlternateContent>
    <mc:AlternateContent xmlns:mc="http://schemas.openxmlformats.org/markup-compatibility/2006">
      <mc:Choice Requires="x14">
        <oleObject progId="Equation.3" shapeId="3076" r:id="rId9">
          <objectPr defaultSize="0" autoPict="0" r:id="rId10">
            <anchor moveWithCells="1" sizeWithCells="1">
              <from>
                <xdr:col>8</xdr:col>
                <xdr:colOff>238125</xdr:colOff>
                <xdr:row>31</xdr:row>
                <xdr:rowOff>152400</xdr:rowOff>
              </from>
              <to>
                <xdr:col>9</xdr:col>
                <xdr:colOff>371475</xdr:colOff>
                <xdr:row>34</xdr:row>
                <xdr:rowOff>28575</xdr:rowOff>
              </to>
            </anchor>
          </objectPr>
        </oleObject>
      </mc:Choice>
      <mc:Fallback>
        <oleObject progId="Equation.3" shapeId="3076" r:id="rId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2"/>
  <sheetViews>
    <sheetView zoomScale="70" zoomScaleNormal="70" workbookViewId="0">
      <selection activeCell="A2" sqref="A2"/>
    </sheetView>
  </sheetViews>
  <sheetFormatPr defaultRowHeight="15" x14ac:dyDescent="0.25"/>
  <cols>
    <col min="1" max="1" width="13.7109375" style="1" customWidth="1"/>
    <col min="2" max="2" width="24.85546875" style="1" bestFit="1" customWidth="1"/>
    <col min="3" max="3" width="11.7109375" style="1" bestFit="1" customWidth="1"/>
    <col min="4" max="4" width="47.28515625" style="1" bestFit="1" customWidth="1"/>
    <col min="5" max="5" width="14" style="1" bestFit="1" customWidth="1"/>
    <col min="6" max="6" width="24" style="1" bestFit="1" customWidth="1"/>
    <col min="7" max="7" width="22.42578125" style="1" bestFit="1" customWidth="1"/>
    <col min="8" max="8" width="24.7109375" style="1" bestFit="1" customWidth="1"/>
    <col min="9" max="9" width="16.140625" style="1" bestFit="1" customWidth="1"/>
    <col min="10" max="10" width="21.85546875" style="1" bestFit="1" customWidth="1"/>
    <col min="11" max="11" width="10.28515625" style="1" customWidth="1"/>
    <col min="12" max="12" width="24.5703125" style="1" customWidth="1"/>
    <col min="13" max="14" width="9.140625" style="1"/>
    <col min="15" max="16" width="10.85546875" style="1" bestFit="1" customWidth="1"/>
    <col min="17" max="17" width="10.7109375" style="1" bestFit="1" customWidth="1"/>
    <col min="18" max="26" width="9.140625" style="1"/>
  </cols>
  <sheetData>
    <row r="1" spans="1:17" ht="23.25" x14ac:dyDescent="0.25">
      <c r="A1" s="4" t="s">
        <v>83</v>
      </c>
    </row>
    <row r="2" spans="1:17" x14ac:dyDescent="0.25">
      <c r="K2" s="6"/>
    </row>
    <row r="3" spans="1:17" x14ac:dyDescent="0.25">
      <c r="A3" s="3" t="s">
        <v>45</v>
      </c>
      <c r="B3" s="2">
        <v>61565424</v>
      </c>
      <c r="C3" s="2"/>
      <c r="J3" s="15" t="s">
        <v>49</v>
      </c>
      <c r="K3" s="3">
        <v>0.94643110390028029</v>
      </c>
      <c r="L3" s="11" t="s">
        <v>51</v>
      </c>
      <c r="O3" s="15" t="s">
        <v>53</v>
      </c>
      <c r="P3" s="1">
        <v>8</v>
      </c>
      <c r="Q3" s="1">
        <v>2</v>
      </c>
    </row>
    <row r="4" spans="1:17" x14ac:dyDescent="0.25">
      <c r="A4" s="3" t="s">
        <v>46</v>
      </c>
      <c r="B4" s="16">
        <v>13916390.324255636</v>
      </c>
      <c r="C4" s="12" t="s">
        <v>82</v>
      </c>
      <c r="J4" s="15" t="s">
        <v>72</v>
      </c>
      <c r="K4" s="3">
        <f>A15</f>
        <v>2007</v>
      </c>
      <c r="L4" s="12" t="s">
        <v>74</v>
      </c>
      <c r="O4" s="15" t="s">
        <v>54</v>
      </c>
      <c r="P4" s="2">
        <f>SUM(B8:B15)/P3</f>
        <v>4492795.625</v>
      </c>
      <c r="Q4" s="2">
        <f>SUM(B16:B17)/Q3</f>
        <v>14023932.5</v>
      </c>
    </row>
    <row r="5" spans="1:17" x14ac:dyDescent="0.25">
      <c r="A5" s="3" t="s">
        <v>43</v>
      </c>
      <c r="B5" s="3" t="s">
        <v>0</v>
      </c>
      <c r="C5" s="3"/>
      <c r="J5" s="15" t="s">
        <v>59</v>
      </c>
      <c r="K5" s="3">
        <v>1.25</v>
      </c>
      <c r="O5" s="10" t="s">
        <v>73</v>
      </c>
      <c r="P5" s="2">
        <f>VLOOKUP(K4,A7:B17,2,0)</f>
        <v>12157200</v>
      </c>
    </row>
    <row r="6" spans="1:17" ht="30" x14ac:dyDescent="0.25">
      <c r="A6" s="3" t="s">
        <v>44</v>
      </c>
      <c r="B6" s="3" t="s">
        <v>4</v>
      </c>
      <c r="C6" s="3"/>
      <c r="F6" s="5" t="s">
        <v>61</v>
      </c>
      <c r="G6" s="5" t="s">
        <v>80</v>
      </c>
      <c r="H6" s="5" t="s">
        <v>81</v>
      </c>
      <c r="I6" s="5" t="s">
        <v>57</v>
      </c>
      <c r="J6" s="5" t="s">
        <v>58</v>
      </c>
    </row>
    <row r="7" spans="1:17" ht="45" x14ac:dyDescent="0.25">
      <c r="A7" s="5" t="s">
        <v>47</v>
      </c>
      <c r="B7" s="5" t="s">
        <v>48</v>
      </c>
      <c r="C7" s="5" t="s">
        <v>71</v>
      </c>
      <c r="D7" s="5" t="s">
        <v>75</v>
      </c>
      <c r="E7" s="3" t="s">
        <v>60</v>
      </c>
      <c r="F7" s="9">
        <f>SUM(F8:F17)</f>
        <v>95312448225.122574</v>
      </c>
      <c r="G7" s="9">
        <f>SUM(G8:G15)</f>
        <v>204068370392.22485</v>
      </c>
      <c r="H7" s="9">
        <f>SUM(H8:H15)</f>
        <v>157732028800267.87</v>
      </c>
      <c r="I7" s="9">
        <f>SUM(I8:I17)</f>
        <v>1251987.3860746603</v>
      </c>
      <c r="J7" s="9">
        <f>SUM(J8:J17)</f>
        <v>8.8206821758124235E-2</v>
      </c>
    </row>
    <row r="8" spans="1:17" x14ac:dyDescent="0.25">
      <c r="A8" s="13">
        <v>2000</v>
      </c>
      <c r="B8" s="2">
        <v>33140</v>
      </c>
      <c r="C8" s="2" t="e">
        <f>IF(A8=$K$4,B8,NA())</f>
        <v>#N/A</v>
      </c>
      <c r="D8" s="7">
        <f>$B$4 * $P$5/($P$5 + ($B$4 - $P$5) * EXP(-$K$3*(A8-$K$4)))</f>
        <v>126437.20359781083</v>
      </c>
      <c r="E8" s="8">
        <f t="shared" ref="E8:E15" si="0">E9/$K$5</f>
        <v>0.20971520000000005</v>
      </c>
      <c r="F8" s="9">
        <f>E8*(B8-D8)^2</f>
        <v>1825438317.7628632</v>
      </c>
      <c r="G8" s="9">
        <f>(B8-D8)^2</f>
        <v>8704368199.1713657</v>
      </c>
      <c r="H8" s="9">
        <f>($P$4-B8)^2</f>
        <v>19888528293594.141</v>
      </c>
      <c r="I8" s="9"/>
      <c r="J8" s="9"/>
    </row>
    <row r="9" spans="1:17" x14ac:dyDescent="0.25">
      <c r="A9" s="13">
        <v>2001</v>
      </c>
      <c r="B9" s="2">
        <v>127720</v>
      </c>
      <c r="C9" s="2" t="e">
        <f t="shared" ref="C9:C17" si="1">IF(A9=$K$4,B9,NA())</f>
        <v>#N/A</v>
      </c>
      <c r="D9" s="7">
        <f t="shared" ref="D9:D17" si="2">$B$4 * $P$5/($P$5 + ($B$4 - $P$5) * EXP(-$K$3*(A9-$K$4)))</f>
        <v>321165.07044571469</v>
      </c>
      <c r="E9" s="8">
        <f t="shared" si="0"/>
        <v>0.26214400000000004</v>
      </c>
      <c r="F9" s="9">
        <f t="shared" ref="F9:F17" si="3">E9*(B9-D9)^2</f>
        <v>9809689386.6141357</v>
      </c>
      <c r="G9" s="9">
        <f t="shared" ref="G9:G17" si="4">(B9-D9)^2</f>
        <v>37420995279.74752</v>
      </c>
      <c r="H9" s="9">
        <f t="shared" ref="H9:H17" si="5">($P$4-B9)^2</f>
        <v>19053885211969.141</v>
      </c>
      <c r="I9" s="9"/>
      <c r="J9" s="9"/>
      <c r="K9" s="15"/>
      <c r="L9" s="21"/>
    </row>
    <row r="10" spans="1:17" x14ac:dyDescent="0.25">
      <c r="A10" s="13">
        <v>2002</v>
      </c>
      <c r="B10" s="2">
        <v>573302</v>
      </c>
      <c r="C10" s="2" t="e">
        <f t="shared" si="1"/>
        <v>#N/A</v>
      </c>
      <c r="D10" s="7">
        <f t="shared" si="2"/>
        <v>798432.02837984799</v>
      </c>
      <c r="E10" s="8">
        <f t="shared" si="0"/>
        <v>0.32768000000000003</v>
      </c>
      <c r="F10" s="9">
        <f t="shared" si="3"/>
        <v>16607979004.989004</v>
      </c>
      <c r="G10" s="9">
        <f t="shared" si="4"/>
        <v>50683529678.311165</v>
      </c>
      <c r="H10" s="9">
        <f t="shared" si="5"/>
        <v>15362430276415.641</v>
      </c>
      <c r="I10" s="9"/>
      <c r="J10" s="9"/>
      <c r="K10" s="15"/>
      <c r="L10" s="21"/>
    </row>
    <row r="11" spans="1:17" x14ac:dyDescent="0.25">
      <c r="A11" s="13">
        <v>2003</v>
      </c>
      <c r="B11" s="2">
        <v>1736308</v>
      </c>
      <c r="C11" s="2" t="e">
        <f t="shared" si="1"/>
        <v>#N/A</v>
      </c>
      <c r="D11" s="7">
        <f t="shared" si="2"/>
        <v>1886523.9133223265</v>
      </c>
      <c r="E11" s="8">
        <f t="shared" si="0"/>
        <v>0.40960000000000002</v>
      </c>
      <c r="F11" s="9">
        <f t="shared" si="3"/>
        <v>9242550524.0107861</v>
      </c>
      <c r="G11" s="9">
        <f t="shared" si="4"/>
        <v>22564820615.260708</v>
      </c>
      <c r="H11" s="9">
        <f t="shared" si="5"/>
        <v>7598224026778.1406</v>
      </c>
      <c r="I11" s="9"/>
      <c r="J11" s="9"/>
    </row>
    <row r="12" spans="1:17" x14ac:dyDescent="0.25">
      <c r="A12" s="13">
        <v>2004</v>
      </c>
      <c r="B12" s="2">
        <v>4166748</v>
      </c>
      <c r="C12" s="2" t="e">
        <f t="shared" si="1"/>
        <v>#N/A</v>
      </c>
      <c r="D12" s="7">
        <f t="shared" si="2"/>
        <v>4004759.4558566883</v>
      </c>
      <c r="E12" s="8">
        <f t="shared" si="0"/>
        <v>0.51200000000000001</v>
      </c>
      <c r="F12" s="9">
        <f t="shared" si="3"/>
        <v>13435027678.038855</v>
      </c>
      <c r="G12" s="9">
        <f t="shared" si="4"/>
        <v>26240288433.669636</v>
      </c>
      <c r="H12" s="9">
        <f t="shared" si="5"/>
        <v>106307053768.14062</v>
      </c>
      <c r="I12" s="9"/>
      <c r="J12" s="9"/>
    </row>
    <row r="13" spans="1:17" x14ac:dyDescent="0.25">
      <c r="A13" s="13">
        <v>2005</v>
      </c>
      <c r="B13" s="2">
        <v>7219807</v>
      </c>
      <c r="C13" s="2" t="e">
        <f t="shared" si="1"/>
        <v>#N/A</v>
      </c>
      <c r="D13" s="7">
        <f t="shared" si="2"/>
        <v>7098055.9416076643</v>
      </c>
      <c r="E13" s="8">
        <f t="shared" si="0"/>
        <v>0.64</v>
      </c>
      <c r="F13" s="9">
        <f t="shared" si="3"/>
        <v>9486924940.5785141</v>
      </c>
      <c r="G13" s="9">
        <f t="shared" si="4"/>
        <v>14823320219.653927</v>
      </c>
      <c r="H13" s="9">
        <f t="shared" si="5"/>
        <v>7436591039379.3906</v>
      </c>
      <c r="I13" s="9"/>
      <c r="J13" s="9"/>
    </row>
    <row r="14" spans="1:17" x14ac:dyDescent="0.25">
      <c r="A14" s="13">
        <v>2006</v>
      </c>
      <c r="B14" s="2">
        <v>9928140</v>
      </c>
      <c r="C14" s="2" t="e">
        <f t="shared" si="1"/>
        <v>#N/A</v>
      </c>
      <c r="D14" s="7">
        <f t="shared" si="2"/>
        <v>10137020.463343058</v>
      </c>
      <c r="E14" s="8">
        <f t="shared" si="0"/>
        <v>0.8</v>
      </c>
      <c r="F14" s="9">
        <f t="shared" si="3"/>
        <v>34904838373.12841</v>
      </c>
      <c r="G14" s="9">
        <f t="shared" si="4"/>
        <v>43631047966.410507</v>
      </c>
      <c r="H14" s="9">
        <f t="shared" si="5"/>
        <v>29542968474844.141</v>
      </c>
      <c r="I14" s="9"/>
      <c r="J14" s="9"/>
    </row>
    <row r="15" spans="1:17" ht="15.75" thickBot="1" x14ac:dyDescent="0.3">
      <c r="A15" s="23">
        <v>2007</v>
      </c>
      <c r="B15" s="24">
        <v>12157200</v>
      </c>
      <c r="C15" s="24">
        <f t="shared" si="1"/>
        <v>12157200</v>
      </c>
      <c r="D15" s="25">
        <f t="shared" si="2"/>
        <v>12157200</v>
      </c>
      <c r="E15" s="26">
        <v>1</v>
      </c>
      <c r="F15" s="27">
        <f t="shared" si="3"/>
        <v>0</v>
      </c>
      <c r="G15" s="27">
        <f t="shared" si="4"/>
        <v>0</v>
      </c>
      <c r="H15" s="27">
        <f t="shared" si="5"/>
        <v>58743094423519.141</v>
      </c>
      <c r="I15" s="27"/>
      <c r="J15" s="27"/>
    </row>
    <row r="16" spans="1:17" x14ac:dyDescent="0.25">
      <c r="A16" s="13">
        <v>2008</v>
      </c>
      <c r="B16" s="2">
        <v>13556860</v>
      </c>
      <c r="C16" s="2" t="e">
        <f t="shared" si="1"/>
        <v>#N/A</v>
      </c>
      <c r="D16" s="7">
        <f t="shared" si="2"/>
        <v>13176367.427709073</v>
      </c>
      <c r="E16" s="8"/>
      <c r="F16" s="9">
        <f t="shared" si="3"/>
        <v>0</v>
      </c>
      <c r="G16" s="9">
        <f t="shared" si="4"/>
        <v>144774597568.56644</v>
      </c>
      <c r="H16" s="9"/>
      <c r="I16" s="9">
        <f t="shared" ref="I16:J17" si="6">ABS(D16-B16)</f>
        <v>380492.57229092717</v>
      </c>
      <c r="J16" s="9">
        <f>I16/B16</f>
        <v>2.8066423367278794E-2</v>
      </c>
    </row>
    <row r="17" spans="1:12" x14ac:dyDescent="0.25">
      <c r="A17" s="13">
        <v>2009</v>
      </c>
      <c r="B17" s="2">
        <v>14491005</v>
      </c>
      <c r="C17" s="2" t="e">
        <f t="shared" si="1"/>
        <v>#N/A</v>
      </c>
      <c r="D17" s="7">
        <f t="shared" si="2"/>
        <v>13619510.186216267</v>
      </c>
      <c r="E17" s="8"/>
      <c r="F17" s="9">
        <f t="shared" si="3"/>
        <v>0</v>
      </c>
      <c r="G17" s="9">
        <f t="shared" si="4"/>
        <v>759503210451.94373</v>
      </c>
      <c r="H17" s="9"/>
      <c r="I17" s="9">
        <f t="shared" si="6"/>
        <v>871494.81378373317</v>
      </c>
      <c r="J17" s="9">
        <f>I17/B17</f>
        <v>6.0140398390845437E-2</v>
      </c>
    </row>
    <row r="20" spans="1:12" x14ac:dyDescent="0.25">
      <c r="L20" s="3" t="s">
        <v>76</v>
      </c>
    </row>
    <row r="21" spans="1:12" x14ac:dyDescent="0.25">
      <c r="L21" s="17">
        <f>SQRT(1-(G7/H7))</f>
        <v>0.99935290752655814</v>
      </c>
    </row>
    <row r="22" spans="1:12" x14ac:dyDescent="0.25">
      <c r="L22" s="17"/>
    </row>
    <row r="23" spans="1:12" x14ac:dyDescent="0.25">
      <c r="L23" s="17"/>
    </row>
    <row r="24" spans="1:12" x14ac:dyDescent="0.25">
      <c r="L24" s="17"/>
    </row>
    <row r="25" spans="1:12" x14ac:dyDescent="0.25">
      <c r="L25" s="19" t="s">
        <v>77</v>
      </c>
    </row>
    <row r="26" spans="1:12" x14ac:dyDescent="0.25">
      <c r="L26" s="9">
        <f>SQRT(SUM(G16:G17)/Q3)</f>
        <v>672412.74825084559</v>
      </c>
    </row>
    <row r="27" spans="1:12" x14ac:dyDescent="0.25">
      <c r="L27" s="9"/>
    </row>
    <row r="28" spans="1:12" x14ac:dyDescent="0.25">
      <c r="L28" s="9"/>
    </row>
    <row r="29" spans="1:12" x14ac:dyDescent="0.25">
      <c r="L29" s="20" t="s">
        <v>78</v>
      </c>
    </row>
    <row r="30" spans="1:12" x14ac:dyDescent="0.25">
      <c r="L30" s="9">
        <f>I7/Q3</f>
        <v>625993.69303733017</v>
      </c>
    </row>
    <row r="31" spans="1:12" x14ac:dyDescent="0.25">
      <c r="L31" s="17"/>
    </row>
    <row r="32" spans="1:12" x14ac:dyDescent="0.25">
      <c r="L32" s="17"/>
    </row>
    <row r="33" spans="12:12" x14ac:dyDescent="0.25">
      <c r="L33" s="19" t="s">
        <v>79</v>
      </c>
    </row>
    <row r="34" spans="12:12" x14ac:dyDescent="0.25">
      <c r="L34" s="18">
        <f>J7/Q3</f>
        <v>4.4103410879062117E-2</v>
      </c>
    </row>
    <row r="37" spans="12:12" x14ac:dyDescent="0.25">
      <c r="L37" s="3"/>
    </row>
    <row r="38" spans="12:12" x14ac:dyDescent="0.25">
      <c r="L38" s="22"/>
    </row>
    <row r="41" spans="12:12" x14ac:dyDescent="0.25">
      <c r="L41" s="3"/>
    </row>
    <row r="42" spans="12:12" x14ac:dyDescent="0.25">
      <c r="L42" s="2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9</xdr:col>
                <xdr:colOff>247650</xdr:colOff>
                <xdr:row>18</xdr:row>
                <xdr:rowOff>114300</xdr:rowOff>
              </from>
              <to>
                <xdr:col>10</xdr:col>
                <xdr:colOff>371475</xdr:colOff>
                <xdr:row>22</xdr:row>
                <xdr:rowOff>190500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 sizeWithCells="1">
              <from>
                <xdr:col>9</xdr:col>
                <xdr:colOff>295275</xdr:colOff>
                <xdr:row>24</xdr:row>
                <xdr:rowOff>19050</xdr:rowOff>
              </from>
              <to>
                <xdr:col>10</xdr:col>
                <xdr:colOff>400050</xdr:colOff>
                <xdr:row>26</xdr:row>
                <xdr:rowOff>133350</xdr:rowOff>
              </to>
            </anchor>
          </objectPr>
        </oleObject>
      </mc:Choice>
      <mc:Fallback>
        <oleObject progId="Equation.3" shapeId="5122" r:id="rId5"/>
      </mc:Fallback>
    </mc:AlternateContent>
    <mc:AlternateContent xmlns:mc="http://schemas.openxmlformats.org/markup-compatibility/2006">
      <mc:Choice Requires="x14">
        <oleObject progId="Equation.3" shapeId="5123" r:id="rId7">
          <objectPr defaultSize="0" r:id="rId8">
            <anchor moveWithCells="1" sizeWithCells="1">
              <from>
                <xdr:col>9</xdr:col>
                <xdr:colOff>266700</xdr:colOff>
                <xdr:row>27</xdr:row>
                <xdr:rowOff>180975</xdr:rowOff>
              </from>
              <to>
                <xdr:col>10</xdr:col>
                <xdr:colOff>361950</xdr:colOff>
                <xdr:row>30</xdr:row>
                <xdr:rowOff>66675</xdr:rowOff>
              </to>
            </anchor>
          </objectPr>
        </oleObject>
      </mc:Choice>
      <mc:Fallback>
        <oleObject progId="Equation.3" shapeId="5123" r:id="rId7"/>
      </mc:Fallback>
    </mc:AlternateContent>
    <mc:AlternateContent xmlns:mc="http://schemas.openxmlformats.org/markup-compatibility/2006">
      <mc:Choice Requires="x14">
        <oleObject progId="Equation.3" shapeId="5124" r:id="rId9">
          <objectPr defaultSize="0" autoPict="0" r:id="rId10">
            <anchor moveWithCells="1" sizeWithCells="1">
              <from>
                <xdr:col>9</xdr:col>
                <xdr:colOff>238125</xdr:colOff>
                <xdr:row>31</xdr:row>
                <xdr:rowOff>152400</xdr:rowOff>
              </from>
              <to>
                <xdr:col>10</xdr:col>
                <xdr:colOff>371475</xdr:colOff>
                <xdr:row>34</xdr:row>
                <xdr:rowOff>28575</xdr:rowOff>
              </to>
            </anchor>
          </objectPr>
        </oleObject>
      </mc:Choice>
      <mc:Fallback>
        <oleObject progId="Equation.3" shapeId="5124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osnovni skup podataka</vt:lpstr>
      <vt:lpstr>zadatak1</vt:lpstr>
      <vt:lpstr>zadatak2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Vedran Kosalev</dc:creator>
  <cp:lastModifiedBy>Vedran Kosalev</cp:lastModifiedBy>
  <dcterms:created xsi:type="dcterms:W3CDTF">2012-10-25T12:05:53Z</dcterms:created>
  <dcterms:modified xsi:type="dcterms:W3CDTF">2012-10-28T11:10:42Z</dcterms:modified>
</cp:coreProperties>
</file>