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9A19DA81-39E6-498F-8195-87B237A1D5A3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/>
  <c r="E204" i="1" l="1"/>
  <c r="G204" i="1"/>
  <c r="S204" i="1"/>
  <c r="Q204" i="1"/>
  <c r="N204" i="1"/>
  <c r="P204" i="1"/>
  <c r="B204" i="1" l="1"/>
  <c r="D204" i="1"/>
  <c r="S232" i="1"/>
  <c r="R232" i="1"/>
  <c r="R244" i="1" s="1"/>
  <c r="Q232" i="1"/>
  <c r="Q244" i="1" s="1"/>
  <c r="Q221" i="1" l="1"/>
  <c r="X79" i="4" l="1"/>
  <c r="X80" i="4"/>
  <c r="X81" i="4"/>
  <c r="X82" i="4"/>
  <c r="BK244" i="1" l="1"/>
  <c r="P22" i="6"/>
  <c r="O22" i="6"/>
  <c r="N22" i="6"/>
  <c r="P82" i="4"/>
  <c r="O82" i="4"/>
  <c r="N82" i="4"/>
  <c r="P81" i="4"/>
  <c r="O81" i="4"/>
  <c r="N81" i="4"/>
  <c r="P80" i="4"/>
  <c r="O80" i="4"/>
  <c r="N80" i="4"/>
  <c r="P79" i="4"/>
  <c r="O79" i="4"/>
  <c r="N79" i="4"/>
  <c r="BF244" i="1"/>
  <c r="BE244" i="1"/>
  <c r="BD244" i="1"/>
  <c r="BB244" i="1"/>
  <c r="R22" i="6" s="1"/>
  <c r="BA244" i="1"/>
  <c r="Q22" i="6" s="1"/>
  <c r="AZ244" i="1"/>
  <c r="AY244" i="1"/>
  <c r="AX244" i="1"/>
  <c r="BF243" i="1"/>
  <c r="BE243" i="1"/>
  <c r="BD243" i="1"/>
  <c r="AZ243" i="1"/>
  <c r="AY243" i="1"/>
  <c r="AX243" i="1"/>
  <c r="BF242" i="1"/>
  <c r="BE242" i="1"/>
  <c r="BD242" i="1"/>
  <c r="AZ242" i="1"/>
  <c r="AY242" i="1"/>
  <c r="AX242" i="1"/>
  <c r="BF241" i="1"/>
  <c r="BE241" i="1"/>
  <c r="BD241" i="1"/>
  <c r="AZ241" i="1"/>
  <c r="AY241" i="1"/>
  <c r="AX241" i="1"/>
  <c r="BF240" i="1"/>
  <c r="BE240" i="1"/>
  <c r="BD240" i="1"/>
  <c r="AZ240" i="1"/>
  <c r="AY240" i="1"/>
  <c r="AX240" i="1"/>
  <c r="BF239" i="1"/>
  <c r="BE239" i="1"/>
  <c r="BD239" i="1"/>
  <c r="AZ239" i="1"/>
  <c r="AY239" i="1"/>
  <c r="AX239" i="1"/>
  <c r="BF238" i="1"/>
  <c r="BE238" i="1"/>
  <c r="BD238" i="1"/>
  <c r="AZ238" i="1"/>
  <c r="AY238" i="1"/>
  <c r="AX238" i="1"/>
  <c r="BF237" i="1"/>
  <c r="BE237" i="1"/>
  <c r="BD237" i="1"/>
  <c r="AZ237" i="1"/>
  <c r="AY237" i="1"/>
  <c r="AX237" i="1"/>
  <c r="BF236" i="1"/>
  <c r="BE236" i="1"/>
  <c r="BD236" i="1"/>
  <c r="AZ236" i="1"/>
  <c r="AY236" i="1"/>
  <c r="AX236" i="1"/>
  <c r="BF235" i="1"/>
  <c r="BE235" i="1"/>
  <c r="BD235" i="1"/>
  <c r="AZ235" i="1"/>
  <c r="AY235" i="1"/>
  <c r="AX235" i="1"/>
  <c r="BF234" i="1"/>
  <c r="BE234" i="1"/>
  <c r="BD234" i="1"/>
  <c r="AZ234" i="1"/>
  <c r="AY234" i="1"/>
  <c r="AX234" i="1"/>
  <c r="BF233" i="1"/>
  <c r="BE233" i="1"/>
  <c r="BD233" i="1"/>
  <c r="AZ233" i="1"/>
  <c r="AY233" i="1"/>
  <c r="AX233" i="1"/>
  <c r="AJ244" i="1"/>
  <c r="R82" i="4" s="1"/>
  <c r="AI244" i="1"/>
  <c r="Q82" i="4" s="1"/>
  <c r="AH244" i="1"/>
  <c r="AG244" i="1"/>
  <c r="AF244" i="1"/>
  <c r="AH243" i="1"/>
  <c r="AG243" i="1"/>
  <c r="AF243" i="1"/>
  <c r="AH242" i="1"/>
  <c r="AG242" i="1"/>
  <c r="AF242" i="1"/>
  <c r="AH241" i="1"/>
  <c r="AG241" i="1"/>
  <c r="AF241" i="1"/>
  <c r="AH240" i="1"/>
  <c r="AG240" i="1"/>
  <c r="AF240" i="1"/>
  <c r="AH239" i="1"/>
  <c r="AG239" i="1"/>
  <c r="AF239" i="1"/>
  <c r="AH238" i="1"/>
  <c r="AG238" i="1"/>
  <c r="AF238" i="1"/>
  <c r="AH237" i="1"/>
  <c r="AG237" i="1"/>
  <c r="AF237" i="1"/>
  <c r="AH236" i="1"/>
  <c r="AG236" i="1"/>
  <c r="AF236" i="1"/>
  <c r="AH235" i="1"/>
  <c r="AG235" i="1"/>
  <c r="AF235" i="1"/>
  <c r="AH234" i="1"/>
  <c r="AG234" i="1"/>
  <c r="AF234" i="1"/>
  <c r="AH233" i="1"/>
  <c r="AG233" i="1"/>
  <c r="AF233" i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AB243" i="1" s="1"/>
  <c r="I241" i="1"/>
  <c r="H241" i="1"/>
  <c r="J240" i="1"/>
  <c r="I240" i="1"/>
  <c r="H240" i="1"/>
  <c r="J239" i="1"/>
  <c r="I239" i="1"/>
  <c r="H239" i="1"/>
  <c r="Z241" i="1" s="1"/>
  <c r="H81" i="4" s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36" i="1" l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O244" i="1" s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AS195" i="1" s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AR238" i="1" s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AR241" i="1" l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P234" i="1" s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AL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M202" i="7" l="1"/>
  <c r="BE202" i="7"/>
  <c r="BC202" i="7"/>
  <c r="AK202" i="7"/>
  <c r="AP202" i="7"/>
  <c r="BH202" i="7"/>
  <c r="N202" i="7"/>
  <c r="AX221" i="1"/>
  <c r="AF221" i="1"/>
  <c r="N222" i="1"/>
  <c r="N234" i="1" s="1"/>
  <c r="AI202" i="7"/>
  <c r="O202" i="7"/>
  <c r="AY221" i="1"/>
  <c r="AG221" i="1"/>
  <c r="O222" i="1"/>
  <c r="O234" i="1" s="1"/>
  <c r="AO202" i="7"/>
  <c r="AN202" i="7"/>
  <c r="AZ222" i="1"/>
  <c r="AH222" i="1"/>
  <c r="P223" i="1"/>
  <c r="P235" i="1" s="1"/>
  <c r="O205" i="1"/>
  <c r="BB202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1" i="1"/>
  <c r="BK208" i="1"/>
  <c r="BK232" i="1"/>
  <c r="BK220" i="1"/>
  <c r="N223" i="1" l="1"/>
  <c r="N235" i="1" s="1"/>
  <c r="AX222" i="1"/>
  <c r="AF222" i="1"/>
  <c r="O223" i="1"/>
  <c r="O235" i="1" s="1"/>
  <c r="AY222" i="1"/>
  <c r="AG222" i="1"/>
  <c r="P224" i="1"/>
  <c r="P236" i="1" s="1"/>
  <c r="AZ223" i="1"/>
  <c r="AH223" i="1"/>
  <c r="P75" i="4" s="1"/>
  <c r="O206" i="1"/>
  <c r="P225" i="1" l="1"/>
  <c r="P237" i="1" s="1"/>
  <c r="AZ224" i="1"/>
  <c r="AH224" i="1"/>
  <c r="O224" i="1"/>
  <c r="O236" i="1" s="1"/>
  <c r="AY223" i="1"/>
  <c r="AG223" i="1"/>
  <c r="O75" i="4" s="1"/>
  <c r="N224" i="1"/>
  <c r="N236" i="1" s="1"/>
  <c r="AX223" i="1"/>
  <c r="AF223" i="1"/>
  <c r="N75" i="4" s="1"/>
  <c r="O207" i="1"/>
  <c r="BA201" i="7"/>
  <c r="AI201" i="7"/>
  <c r="X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Q201" i="1"/>
  <c r="V201" i="7" s="1"/>
  <c r="BF201" i="7" s="1"/>
  <c r="G201" i="7" l="1"/>
  <c r="O225" i="1"/>
  <c r="O237" i="1" s="1"/>
  <c r="AY224" i="1"/>
  <c r="AG224" i="1"/>
  <c r="N225" i="1"/>
  <c r="N237" i="1" s="1"/>
  <c r="AX224" i="1"/>
  <c r="AF224" i="1"/>
  <c r="P226" i="1"/>
  <c r="P238" i="1" s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P227" i="1" l="1"/>
  <c r="P239" i="1" s="1"/>
  <c r="AZ226" i="1"/>
  <c r="AH226" i="1"/>
  <c r="P76" i="4" s="1"/>
  <c r="O226" i="1"/>
  <c r="O238" i="1" s="1"/>
  <c r="AY225" i="1"/>
  <c r="AG225" i="1"/>
  <c r="N226" i="1"/>
  <c r="N238" i="1" s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BD200" i="7" l="1"/>
  <c r="O227" i="1"/>
  <c r="O239" i="1" s="1"/>
  <c r="AY226" i="1"/>
  <c r="AG226" i="1"/>
  <c r="O76" i="4" s="1"/>
  <c r="N210" i="1"/>
  <c r="AX209" i="1"/>
  <c r="O210" i="1"/>
  <c r="BE210" i="1" s="1"/>
  <c r="AY209" i="1"/>
  <c r="BE209" i="1"/>
  <c r="N227" i="1"/>
  <c r="N239" i="1" s="1"/>
  <c r="AX226" i="1"/>
  <c r="AF226" i="1"/>
  <c r="N76" i="4" s="1"/>
  <c r="P210" i="1"/>
  <c r="AZ209" i="1"/>
  <c r="P228" i="1"/>
  <c r="P240" i="1" s="1"/>
  <c r="AZ227" i="1"/>
  <c r="AH227" i="1"/>
  <c r="BG200" i="7"/>
  <c r="P229" i="1" l="1"/>
  <c r="P241" i="1" s="1"/>
  <c r="AZ228" i="1"/>
  <c r="AH228" i="1"/>
  <c r="N228" i="1"/>
  <c r="N240" i="1" s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O240" i="1" s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N229" i="1" l="1"/>
  <c r="N241" i="1" s="1"/>
  <c r="AX228" i="1"/>
  <c r="AF228" i="1"/>
  <c r="O212" i="1"/>
  <c r="AY211" i="1"/>
  <c r="AG211" i="1"/>
  <c r="O71" i="4" s="1"/>
  <c r="BE211" i="1"/>
  <c r="BE212" i="1"/>
  <c r="N212" i="1"/>
  <c r="AX211" i="1"/>
  <c r="AF211" i="1"/>
  <c r="N71" i="4" s="1"/>
  <c r="P230" i="1"/>
  <c r="P242" i="1" s="1"/>
  <c r="AZ229" i="1"/>
  <c r="AH229" i="1"/>
  <c r="P77" i="4" s="1"/>
  <c r="O229" i="1"/>
  <c r="O241" i="1" s="1"/>
  <c r="AY228" i="1"/>
  <c r="AG228" i="1"/>
  <c r="P212" i="1"/>
  <c r="AZ211" i="1"/>
  <c r="AH211" i="1"/>
  <c r="P71" i="4" s="1"/>
  <c r="N200" i="1"/>
  <c r="P200" i="1"/>
  <c r="P213" i="1" l="1"/>
  <c r="AZ212" i="1"/>
  <c r="AH212" i="1"/>
  <c r="O213" i="1"/>
  <c r="AY212" i="1"/>
  <c r="AG212" i="1"/>
  <c r="U200" i="7"/>
  <c r="P231" i="1"/>
  <c r="P243" i="1" s="1"/>
  <c r="AZ230" i="1"/>
  <c r="AH230" i="1"/>
  <c r="S200" i="7"/>
  <c r="N213" i="1"/>
  <c r="AX212" i="1"/>
  <c r="AF212" i="1"/>
  <c r="N230" i="1"/>
  <c r="N242" i="1" s="1"/>
  <c r="AX229" i="1"/>
  <c r="AF229" i="1"/>
  <c r="N77" i="4" s="1"/>
  <c r="O230" i="1"/>
  <c r="O242" i="1" s="1"/>
  <c r="AY229" i="1"/>
  <c r="AG229" i="1"/>
  <c r="O77" i="4" s="1"/>
  <c r="Q200" i="1"/>
  <c r="V200" i="7" s="1"/>
  <c r="S200" i="1"/>
  <c r="X200" i="7" s="1"/>
  <c r="BC200" i="7" l="1"/>
  <c r="AK200" i="7"/>
  <c r="O231" i="1"/>
  <c r="O243" i="1" s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N243" i="1" s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N215" i="1" l="1"/>
  <c r="AX214" i="1"/>
  <c r="AF214" i="1"/>
  <c r="N72" i="4" s="1"/>
  <c r="O215" i="1"/>
  <c r="AY214" i="1"/>
  <c r="AG214" i="1"/>
  <c r="O72" i="4" s="1"/>
  <c r="BE215" i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P216" i="1" l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BF216" i="1"/>
  <c r="N207" i="1"/>
  <c r="BD215" i="1" s="1"/>
  <c r="BD217" i="1"/>
  <c r="BD211" i="1"/>
  <c r="BD212" i="1"/>
  <c r="BD214" i="1"/>
  <c r="R225" i="1"/>
  <c r="AP195" i="7"/>
  <c r="BH195" i="7"/>
  <c r="P195" i="7"/>
  <c r="M195" i="7" s="1"/>
  <c r="R195" i="7"/>
  <c r="O195" i="7" s="1"/>
  <c r="S194" i="1"/>
  <c r="X194" i="7" s="1"/>
  <c r="BF217" i="1" l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AC194" i="7" s="1"/>
  <c r="K193" i="1"/>
  <c r="H193" i="1" s="1"/>
  <c r="M193" i="1"/>
  <c r="J193" i="1" s="1"/>
  <c r="N193" i="1"/>
  <c r="S193" i="7" s="1"/>
  <c r="P193" i="1"/>
  <c r="U193" i="7" s="1"/>
  <c r="E193" i="7" l="1"/>
  <c r="AB195" i="7" s="1"/>
  <c r="E192" i="7"/>
  <c r="G193" i="7"/>
  <c r="AD195" i="7" s="1"/>
  <c r="G192" i="7"/>
  <c r="R242" i="1"/>
  <c r="AJ241" i="1"/>
  <c r="R81" i="4" s="1"/>
  <c r="BB241" i="1"/>
  <c r="BD193" i="7"/>
  <c r="Z194" i="7"/>
  <c r="AB194" i="7"/>
  <c r="AD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W191" i="7"/>
  <c r="BG191" i="7" s="1"/>
  <c r="AL191" i="7"/>
  <c r="AO191" i="7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BG190" i="7" l="1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Q222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Q223" i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Q224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N187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S238" i="1" l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Q225" i="1"/>
  <c r="BA224" i="1"/>
  <c r="AI224" i="1"/>
  <c r="BB213" i="1"/>
  <c r="AJ213" i="1"/>
  <c r="Y189" i="7"/>
  <c r="AC189" i="7"/>
  <c r="AB189" i="7"/>
  <c r="AG189" i="7"/>
  <c r="AF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Q226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Q227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Q228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Q229" i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Q230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Q231" i="1"/>
  <c r="BG238" i="1" s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Q176" i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I157" i="1" s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I152" i="1" s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C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Q129" i="1"/>
  <c r="AI129" i="1" s="1"/>
  <c r="BH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Q123" i="1"/>
  <c r="AI123" i="1" s="1"/>
  <c r="BH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H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K121" i="1"/>
  <c r="S41" i="4" s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C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K46" i="1"/>
  <c r="S16" i="4" s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I47" i="1" s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K7" i="1"/>
  <c r="S3" i="4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Q7" i="1"/>
  <c r="S6" i="1"/>
  <c r="Q6" i="1"/>
  <c r="S5" i="1"/>
  <c r="Q5" i="1"/>
  <c r="BG106" i="1" l="1"/>
  <c r="BI121" i="1"/>
  <c r="AK113" i="1"/>
  <c r="BA119" i="1"/>
  <c r="BG137" i="1"/>
  <c r="BG155" i="1"/>
  <c r="AI164" i="1"/>
  <c r="S177" i="1"/>
  <c r="BI179" i="1" s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G9" i="3" l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9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I8" i="3" l="1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<sst xmlns="http://schemas.openxmlformats.org/spreadsheetml/2006/main" count="130" uniqueCount="54">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</sst>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198">
          <cell r="B198">
            <v>0.56000000000000005</v>
          </cell>
        </row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212" activePane="bottomRight" state="frozen"/>
      <selection pane="topRight" activeCell="B1" sqref="B1"/>
      <selection pane="bottomLeft" activeCell="A4" sqref="A4"/>
      <selection pane="bottomRight" activeCell="F232" sqref="F232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54" t="s">
        <v>32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 t="s">
        <v>30</v>
      </c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4" t="s">
        <v>31</v>
      </c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158"/>
      <c r="BG2" s="159"/>
    </row>
    <row r="3" spans="1:65" ht="26.1" customHeight="1">
      <c r="A3" s="1" t="s">
        <v>50</v>
      </c>
      <c r="B3" s="256" t="s">
        <v>29</v>
      </c>
      <c r="C3" s="256"/>
      <c r="D3" s="257"/>
      <c r="E3" s="258" t="s">
        <v>48</v>
      </c>
      <c r="F3" s="256"/>
      <c r="G3" s="257"/>
      <c r="H3" s="258" t="s">
        <v>3</v>
      </c>
      <c r="I3" s="256"/>
      <c r="J3" s="257"/>
      <c r="K3" s="258" t="s">
        <v>47</v>
      </c>
      <c r="L3" s="256"/>
      <c r="M3" s="257"/>
      <c r="N3" s="258" t="s">
        <v>5</v>
      </c>
      <c r="O3" s="256"/>
      <c r="P3" s="257"/>
      <c r="Q3" s="258" t="s">
        <v>49</v>
      </c>
      <c r="R3" s="256"/>
      <c r="S3" s="259"/>
      <c r="T3" s="256" t="s">
        <v>29</v>
      </c>
      <c r="U3" s="256"/>
      <c r="V3" s="257"/>
      <c r="W3" s="258" t="s">
        <v>48</v>
      </c>
      <c r="X3" s="256"/>
      <c r="Y3" s="257"/>
      <c r="Z3" s="258" t="s">
        <v>3</v>
      </c>
      <c r="AA3" s="256"/>
      <c r="AB3" s="257"/>
      <c r="AC3" s="258" t="s">
        <v>47</v>
      </c>
      <c r="AD3" s="256"/>
      <c r="AE3" s="257"/>
      <c r="AF3" s="258" t="s">
        <v>5</v>
      </c>
      <c r="AG3" s="256"/>
      <c r="AH3" s="257"/>
      <c r="AI3" s="258" t="s">
        <v>49</v>
      </c>
      <c r="AJ3" s="256"/>
      <c r="AK3" s="259"/>
      <c r="AL3" s="256" t="s">
        <v>29</v>
      </c>
      <c r="AM3" s="256"/>
      <c r="AN3" s="257"/>
      <c r="AO3" s="258" t="s">
        <v>48</v>
      </c>
      <c r="AP3" s="256"/>
      <c r="AQ3" s="257"/>
      <c r="AR3" s="258" t="s">
        <v>3</v>
      </c>
      <c r="AS3" s="256"/>
      <c r="AT3" s="257"/>
      <c r="AU3" s="258" t="s">
        <v>47</v>
      </c>
      <c r="AV3" s="256"/>
      <c r="AW3" s="257"/>
      <c r="AX3" s="258" t="s">
        <v>5</v>
      </c>
      <c r="AY3" s="256"/>
      <c r="AZ3" s="257"/>
      <c r="BA3" s="258" t="s">
        <v>49</v>
      </c>
      <c r="BB3" s="256"/>
      <c r="BC3" s="259"/>
      <c r="BD3" s="260" t="s">
        <v>34</v>
      </c>
      <c r="BE3" s="256"/>
      <c r="BF3" s="257"/>
      <c r="BG3" s="261" t="s">
        <v>52</v>
      </c>
      <c r="BH3" s="262"/>
      <c r="BI3" s="262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f>'[1]IPCA (Var)'!B330/100</f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f>'[1]IPCA (Var)'!B331/100</f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f>'[1]IPCA (Var)'!B332/100</f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f>'[1]IPCA (Var)'!B333/100</f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f>'[1]IPCA (Var)'!B334/100</f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f>'[1]IPCA (Var)'!B335/100</f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f>'[1]IPCA (Var)'!B336/100</f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f>'[1]IPCA (Var)'!B337/100</f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f>'[1]IPCA (Var)'!B338/100</f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f>'[1]IPCA (Var)'!B339/100</f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2.8000000000000004E-3</v>
      </c>
      <c r="F195" s="43">
        <f>'[1]IPCA (Var)'!B340/100</f>
        <v>2.8000000000000004E-3</v>
      </c>
      <c r="G195" s="43">
        <f>F195</f>
        <v>2.8000000000000004E-3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f>'[1]IPCA (Var)'!B341/100</f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f>'[1]IPCA (Var)'!B342/100</f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f>'[1]IPCA (Var)'!B343/100</f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f>'[1]IPCA (Var)'!B344/100</f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f>'[1]IPCA (Var)'!B345/100</f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f>'[1]IPCA (Var)'!B346/100</f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f>'[1]IPCA (Var)'!B347/100</f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f>'[1]IPCA (Var)'!B348/100</f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5">
        <f t="shared" ref="E204" si="275">F204</f>
        <v>-2.0000000000000001E-4</v>
      </c>
      <c r="F204" s="43">
        <f>'[1]IPCA (Var)'!B349/100</f>
        <v>-2.0000000000000001E-4</v>
      </c>
      <c r="G204" s="43">
        <f t="shared" ref="G204" si="276">F204</f>
        <v>-2.0000000000000001E-4</v>
      </c>
      <c r="H204" s="65">
        <f t="shared" ref="H204:J204" si="277">(1+(K204))^(21/252)-1</f>
        <v>8.355155683635207E-3</v>
      </c>
      <c r="I204" s="43">
        <f t="shared" si="277"/>
        <v>8.355155683635207E-3</v>
      </c>
      <c r="J204" s="43">
        <f t="shared" si="277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8">O204</f>
        <v>150.22999999999999</v>
      </c>
      <c r="O204" s="102">
        <v>150.22999999999999</v>
      </c>
      <c r="P204" s="124">
        <f t="shared" ref="P204" si="279">O204</f>
        <v>150.22999999999999</v>
      </c>
      <c r="Q204" s="73">
        <f t="shared" ref="Q204" si="280">R204</f>
        <v>5.66</v>
      </c>
      <c r="R204" s="42">
        <v>5.66</v>
      </c>
      <c r="S204" s="42">
        <f t="shared" ref="S204" si="281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5.706798404000013E-3</v>
      </c>
      <c r="X204" s="162">
        <f t="shared" si="199"/>
        <v>5.706798404000013E-3</v>
      </c>
      <c r="Y204" s="162">
        <f t="shared" si="200"/>
        <v>5.706798404000013E-3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4.2375990160564925E-2</v>
      </c>
      <c r="AP204" s="154">
        <f t="shared" si="193"/>
        <v>4.2375990160564925E-2</v>
      </c>
      <c r="AQ204" s="154">
        <f t="shared" si="194"/>
        <v>4.2375990160564925E-2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6.4242615429869736E-3</v>
      </c>
      <c r="C205" s="10">
        <v>4.924261542986974E-3</v>
      </c>
      <c r="D205" s="10">
        <v>4.1742615429869743E-3</v>
      </c>
      <c r="E205" s="67">
        <v>6.9563854305538589E-3</v>
      </c>
      <c r="F205" s="10">
        <v>5.9563854305538589E-3</v>
      </c>
      <c r="G205" s="10">
        <v>5.4563854305538593E-3</v>
      </c>
      <c r="H205" s="67">
        <f t="shared" ref="H205:H232" si="282">(1+(K205))^(21/252)-1</f>
        <v>8.5450710394860963E-3</v>
      </c>
      <c r="I205" s="10">
        <f t="shared" ref="I205:I232" si="283">(1+(L205))^(21/252)-1</f>
        <v>8.5450710394860963E-3</v>
      </c>
      <c r="J205" s="10">
        <f t="shared" ref="J205:J232" si="284">(1+(M205))^(21/252)-1</f>
        <v>8.5450710394860963E-3</v>
      </c>
      <c r="K205" s="67">
        <v>0.1075</v>
      </c>
      <c r="L205" s="10">
        <v>0.1075</v>
      </c>
      <c r="M205" s="10">
        <v>0.1075</v>
      </c>
      <c r="N205" s="78">
        <f t="shared" ref="N205:N207" si="285">N204+(N$208-N$196)/12</f>
        <v>147.56333333333333</v>
      </c>
      <c r="O205" s="40">
        <f t="shared" ref="O205:O207" si="286">O204+(O$208-O$196)/12</f>
        <v>154.22999999999999</v>
      </c>
      <c r="P205" s="40">
        <f t="shared" ref="P205:P207" si="287">P204+(P$208-P$196)/12</f>
        <v>157.97999999999999</v>
      </c>
      <c r="Q205" s="81">
        <v>5.71</v>
      </c>
      <c r="R205" s="47">
        <v>5.64</v>
      </c>
      <c r="S205" s="47">
        <v>5.88</v>
      </c>
      <c r="T205" s="161">
        <f t="shared" si="248"/>
        <v>1.5499883542060555E-2</v>
      </c>
      <c r="U205" s="162">
        <f t="shared" si="248"/>
        <v>1.3986357007060413E-2</v>
      </c>
      <c r="V205" s="162">
        <f t="shared" si="248"/>
        <v>1.3229593739560341E-2</v>
      </c>
      <c r="W205" s="163">
        <f t="shared" si="198"/>
        <v>1.0580663131251056E-2</v>
      </c>
      <c r="X205" s="162">
        <f t="shared" si="199"/>
        <v>9.5770638912509032E-3</v>
      </c>
      <c r="Y205" s="162">
        <f t="shared" si="200"/>
        <v>9.0752642712508269E-3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147.56333333333333</v>
      </c>
      <c r="AG205" s="160">
        <f t="shared" si="250"/>
        <v>154.22999999999999</v>
      </c>
      <c r="AH205" s="160">
        <f t="shared" si="251"/>
        <v>157.97999999999999</v>
      </c>
      <c r="AI205" s="159">
        <f t="shared" si="252"/>
        <v>5.71</v>
      </c>
      <c r="AJ205" s="160">
        <f t="shared" si="253"/>
        <v>5.64</v>
      </c>
      <c r="AK205" s="160">
        <f t="shared" si="254"/>
        <v>5.88</v>
      </c>
      <c r="AL205" s="170">
        <f t="shared" si="171"/>
        <v>4.5505908030465836E-2</v>
      </c>
      <c r="AM205" s="127">
        <f t="shared" si="190"/>
        <v>4.3947659762840319E-2</v>
      </c>
      <c r="AN205" s="127">
        <f t="shared" si="191"/>
        <v>4.3168535629027449E-2</v>
      </c>
      <c r="AO205" s="155">
        <f t="shared" si="192"/>
        <v>4.6905205776657466E-2</v>
      </c>
      <c r="AP205" s="154">
        <f t="shared" si="193"/>
        <v>4.5865532935882802E-2</v>
      </c>
      <c r="AQ205" s="154">
        <f t="shared" si="194"/>
        <v>4.5345696515495471E-2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147.56333333333333</v>
      </c>
      <c r="AY205" s="160">
        <f t="shared" si="176"/>
        <v>154.22999999999999</v>
      </c>
      <c r="AZ205" s="160">
        <f t="shared" si="177"/>
        <v>157.97999999999999</v>
      </c>
      <c r="BA205" s="159">
        <f t="shared" si="178"/>
        <v>5.71</v>
      </c>
      <c r="BB205" s="160">
        <f t="shared" si="179"/>
        <v>5.64</v>
      </c>
      <c r="BC205" s="160">
        <f t="shared" si="180"/>
        <v>5.88</v>
      </c>
      <c r="BD205" s="171">
        <f t="shared" si="181"/>
        <v>148.07694444444442</v>
      </c>
      <c r="BE205" s="172">
        <f t="shared" si="182"/>
        <v>148.63249999999999</v>
      </c>
      <c r="BF205" s="172">
        <f t="shared" si="183"/>
        <v>148.94499999999999</v>
      </c>
      <c r="BG205" s="159">
        <f t="shared" si="184"/>
        <v>5.2306250000000007</v>
      </c>
      <c r="BH205" s="160">
        <f t="shared" si="185"/>
        <v>5.2247916666666674</v>
      </c>
      <c r="BI205" s="160">
        <f t="shared" si="186"/>
        <v>5.244791666666667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7">
        <v>5.0115159027895144E-3</v>
      </c>
      <c r="F206" s="10">
        <v>4.0115159027895144E-3</v>
      </c>
      <c r="G206" s="10">
        <v>3.5115159027895144E-3</v>
      </c>
      <c r="H206" s="67">
        <f t="shared" si="282"/>
        <v>8.5450710394860963E-3</v>
      </c>
      <c r="I206" s="10">
        <f t="shared" si="283"/>
        <v>8.5450710394860963E-3</v>
      </c>
      <c r="J206" s="10">
        <f t="shared" si="284"/>
        <v>8.5450710394860963E-3</v>
      </c>
      <c r="K206" s="67">
        <v>0.1075</v>
      </c>
      <c r="L206" s="10">
        <v>0.1075</v>
      </c>
      <c r="M206" s="10">
        <v>0.1075</v>
      </c>
      <c r="N206" s="78">
        <f t="shared" si="285"/>
        <v>144.89666666666668</v>
      </c>
      <c r="O206" s="40">
        <f t="shared" si="286"/>
        <v>158.22999999999999</v>
      </c>
      <c r="P206" s="40">
        <f t="shared" si="287"/>
        <v>165.73</v>
      </c>
      <c r="Q206" s="81">
        <v>5.71</v>
      </c>
      <c r="R206" s="47">
        <v>5.61</v>
      </c>
      <c r="S206" s="47">
        <v>5.98</v>
      </c>
      <c r="T206" s="161">
        <f t="shared" si="248"/>
        <v>1.388037778549589E-2</v>
      </c>
      <c r="U206" s="162">
        <f t="shared" si="248"/>
        <v>1.0857507189703908E-2</v>
      </c>
      <c r="V206" s="162">
        <f t="shared" si="248"/>
        <v>9.3477642855579468E-3</v>
      </c>
      <c r="W206" s="163">
        <f t="shared" si="198"/>
        <v>1.1800362816880572E-2</v>
      </c>
      <c r="X206" s="162">
        <f t="shared" si="199"/>
        <v>9.7897971091276403E-3</v>
      </c>
      <c r="Y206" s="162">
        <f t="shared" si="200"/>
        <v>8.785264105251045E-3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144.89666666666668</v>
      </c>
      <c r="AG206" s="160">
        <f t="shared" si="250"/>
        <v>158.22999999999999</v>
      </c>
      <c r="AH206" s="160">
        <f t="shared" si="251"/>
        <v>165.73</v>
      </c>
      <c r="AI206" s="159">
        <f t="shared" si="252"/>
        <v>5.71</v>
      </c>
      <c r="AJ206" s="160">
        <f t="shared" si="253"/>
        <v>5.61</v>
      </c>
      <c r="AK206" s="160">
        <f t="shared" si="254"/>
        <v>5.98</v>
      </c>
      <c r="AL206" s="170">
        <f t="shared" si="171"/>
        <v>4.4981058918392991E-2</v>
      </c>
      <c r="AM206" s="127">
        <f t="shared" si="190"/>
        <v>4.1865462063600756E-2</v>
      </c>
      <c r="AN206" s="127">
        <f t="shared" si="191"/>
        <v>4.0309407943966979E-2</v>
      </c>
      <c r="AO206" s="155">
        <f t="shared" si="192"/>
        <v>4.9632669457422729E-2</v>
      </c>
      <c r="AP206" s="154">
        <f t="shared" si="193"/>
        <v>4.7546926529763445E-2</v>
      </c>
      <c r="AQ206" s="154">
        <f t="shared" si="194"/>
        <v>4.6504832953633723E-2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144.89666666666668</v>
      </c>
      <c r="AY206" s="160">
        <f t="shared" si="176"/>
        <v>158.22999999999999</v>
      </c>
      <c r="AZ206" s="160">
        <f t="shared" si="177"/>
        <v>165.73</v>
      </c>
      <c r="BA206" s="159">
        <f t="shared" si="178"/>
        <v>5.71</v>
      </c>
      <c r="BB206" s="160">
        <f t="shared" si="179"/>
        <v>5.61</v>
      </c>
      <c r="BC206" s="160">
        <f t="shared" si="180"/>
        <v>5.98</v>
      </c>
      <c r="BD206" s="171">
        <f t="shared" si="181"/>
        <v>145.03666666666666</v>
      </c>
      <c r="BE206" s="172">
        <f t="shared" si="182"/>
        <v>146.70333333333332</v>
      </c>
      <c r="BF206" s="172">
        <f t="shared" si="183"/>
        <v>147.64083333333332</v>
      </c>
      <c r="BG206" s="159">
        <f t="shared" si="184"/>
        <v>5.2850000000000001</v>
      </c>
      <c r="BH206" s="160">
        <f t="shared" si="185"/>
        <v>5.270833333333333</v>
      </c>
      <c r="BI206" s="160">
        <f t="shared" si="186"/>
        <v>5.3216666666666663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7">
        <v>2.0297883483494689E-3</v>
      </c>
      <c r="F207" s="10">
        <v>1.0297883483494689E-3</v>
      </c>
      <c r="G207" s="10">
        <v>5.2978834834946885E-4</v>
      </c>
      <c r="H207" s="67">
        <f t="shared" si="282"/>
        <v>8.9237257287477778E-3</v>
      </c>
      <c r="I207" s="10">
        <f t="shared" si="283"/>
        <v>8.7345938235519061E-3</v>
      </c>
      <c r="J207" s="10">
        <f t="shared" si="284"/>
        <v>8.5450710394860963E-3</v>
      </c>
      <c r="K207" s="67">
        <v>0.1125</v>
      </c>
      <c r="L207" s="10">
        <v>0.11</v>
      </c>
      <c r="M207" s="10">
        <v>0.1075</v>
      </c>
      <c r="N207" s="78">
        <f t="shared" si="285"/>
        <v>142.23000000000002</v>
      </c>
      <c r="O207" s="40">
        <f t="shared" si="286"/>
        <v>162.22999999999999</v>
      </c>
      <c r="P207" s="40">
        <f t="shared" si="287"/>
        <v>173.48</v>
      </c>
      <c r="Q207" s="81">
        <v>5.71</v>
      </c>
      <c r="R207" s="47">
        <v>5.58</v>
      </c>
      <c r="S207" s="47">
        <v>6.05</v>
      </c>
      <c r="T207" s="161">
        <f t="shared" si="248"/>
        <v>1.5519871293434573E-2</v>
      </c>
      <c r="U207" s="162">
        <f t="shared" si="248"/>
        <v>1.0980210824262038E-2</v>
      </c>
      <c r="V207" s="162">
        <f t="shared" si="248"/>
        <v>8.7154628190555528E-3</v>
      </c>
      <c r="W207" s="163">
        <f t="shared" si="198"/>
        <v>1.4056914787139663E-2</v>
      </c>
      <c r="X207" s="162">
        <f t="shared" si="199"/>
        <v>1.1031873251122759E-2</v>
      </c>
      <c r="Y207" s="162">
        <f t="shared" si="200"/>
        <v>9.5216111063818332E-3</v>
      </c>
      <c r="Z207" s="163">
        <f t="shared" si="201"/>
        <v>2.6240045382106558E-2</v>
      </c>
      <c r="AA207" s="162">
        <f t="shared" si="202"/>
        <v>2.6047667375700412E-2</v>
      </c>
      <c r="AB207" s="162">
        <f t="shared" si="203"/>
        <v>2.5854891781707856E-2</v>
      </c>
      <c r="AC207" s="128">
        <f t="shared" si="234"/>
        <v>0.1125</v>
      </c>
      <c r="AD207" s="127">
        <f t="shared" si="235"/>
        <v>0.11</v>
      </c>
      <c r="AE207" s="127">
        <f t="shared" si="236"/>
        <v>0.1075</v>
      </c>
      <c r="AF207" s="159">
        <f t="shared" si="249"/>
        <v>142.23000000000002</v>
      </c>
      <c r="AG207" s="160">
        <f t="shared" si="250"/>
        <v>162.22999999999999</v>
      </c>
      <c r="AH207" s="160">
        <f t="shared" si="251"/>
        <v>173.48</v>
      </c>
      <c r="AI207" s="159">
        <f t="shared" si="252"/>
        <v>5.71</v>
      </c>
      <c r="AJ207" s="160">
        <f t="shared" si="253"/>
        <v>5.58</v>
      </c>
      <c r="AK207" s="160">
        <f t="shared" si="254"/>
        <v>6.05</v>
      </c>
      <c r="AL207" s="170">
        <f t="shared" si="171"/>
        <v>4.3549248608884206E-2</v>
      </c>
      <c r="AM207" s="127">
        <f t="shared" si="190"/>
        <v>3.888428891143314E-2</v>
      </c>
      <c r="AN207" s="127">
        <f t="shared" si="191"/>
        <v>3.6557031566767373E-2</v>
      </c>
      <c r="AO207" s="155">
        <f t="shared" si="192"/>
        <v>4.8826487455060574E-2</v>
      </c>
      <c r="AP207" s="154">
        <f t="shared" si="193"/>
        <v>4.5697724520395999E-2</v>
      </c>
      <c r="AQ207" s="154">
        <f t="shared" si="194"/>
        <v>4.4135679119090554E-2</v>
      </c>
      <c r="AR207" s="128">
        <f t="shared" si="195"/>
        <v>0.1087432023307664</v>
      </c>
      <c r="AS207" s="127">
        <f t="shared" si="196"/>
        <v>0.10853535835913375</v>
      </c>
      <c r="AT207" s="127">
        <f t="shared" si="197"/>
        <v>0.10832708483640752</v>
      </c>
      <c r="AU207" s="128">
        <f t="shared" si="237"/>
        <v>0.1125</v>
      </c>
      <c r="AV207" s="127">
        <f t="shared" si="238"/>
        <v>0.11</v>
      </c>
      <c r="AW207" s="127">
        <f t="shared" si="239"/>
        <v>0.1075</v>
      </c>
      <c r="AX207" s="159">
        <f t="shared" si="175"/>
        <v>142.23000000000002</v>
      </c>
      <c r="AY207" s="160">
        <f t="shared" si="176"/>
        <v>162.22999999999999</v>
      </c>
      <c r="AZ207" s="160">
        <f t="shared" si="177"/>
        <v>173.48</v>
      </c>
      <c r="BA207" s="159">
        <f t="shared" si="178"/>
        <v>5.71</v>
      </c>
      <c r="BB207" s="160">
        <f t="shared" si="179"/>
        <v>5.58</v>
      </c>
      <c r="BC207" s="160">
        <f t="shared" si="180"/>
        <v>6.05</v>
      </c>
      <c r="BD207" s="171">
        <f t="shared" si="181"/>
        <v>144.61166666666668</v>
      </c>
      <c r="BE207" s="172">
        <f t="shared" si="182"/>
        <v>147.94500000000002</v>
      </c>
      <c r="BF207" s="172">
        <f t="shared" si="183"/>
        <v>149.82000000000002</v>
      </c>
      <c r="BG207" s="159">
        <f t="shared" si="184"/>
        <v>5.3491666666666662</v>
      </c>
      <c r="BH207" s="160">
        <f t="shared" si="185"/>
        <v>5.3241666666666667</v>
      </c>
      <c r="BI207" s="160">
        <f t="shared" si="186"/>
        <v>5.4141666666666666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7">
        <v>4.7473884414697826E-3</v>
      </c>
      <c r="F208" s="10">
        <v>3.7473884414697821E-3</v>
      </c>
      <c r="G208" s="10">
        <v>3.2473884414697821E-3</v>
      </c>
      <c r="H208" s="67">
        <f t="shared" si="282"/>
        <v>9.300823618865417E-3</v>
      </c>
      <c r="I208" s="10">
        <f t="shared" si="283"/>
        <v>8.9237257287477778E-3</v>
      </c>
      <c r="J208" s="10">
        <f t="shared" si="284"/>
        <v>8.5450710394860963E-3</v>
      </c>
      <c r="K208" s="225">
        <v>0.11749999999999999</v>
      </c>
      <c r="L208" s="222">
        <v>0.1125</v>
      </c>
      <c r="M208" s="222">
        <v>0.1075</v>
      </c>
      <c r="N208" s="78">
        <v>100</v>
      </c>
      <c r="O208" s="40">
        <v>180</v>
      </c>
      <c r="P208" s="40">
        <v>225</v>
      </c>
      <c r="Q208" s="81">
        <v>5.72</v>
      </c>
      <c r="R208" s="47">
        <v>5.53</v>
      </c>
      <c r="S208" s="47">
        <v>6.23</v>
      </c>
      <c r="T208" s="161">
        <f t="shared" si="248"/>
        <v>1.5368799597080152E-2</v>
      </c>
      <c r="U208" s="162">
        <f t="shared" si="248"/>
        <v>1.082958997193062E-2</v>
      </c>
      <c r="V208" s="162">
        <f t="shared" si="248"/>
        <v>8.5650671360855135E-3</v>
      </c>
      <c r="W208" s="163">
        <f t="shared" si="198"/>
        <v>1.1832341107548716E-2</v>
      </c>
      <c r="X208" s="162">
        <f t="shared" si="199"/>
        <v>8.8117309107333952E-3</v>
      </c>
      <c r="Y208" s="162">
        <f t="shared" si="200"/>
        <v>7.3036827788450776E-3</v>
      </c>
      <c r="Z208" s="163">
        <f t="shared" si="201"/>
        <v>2.7009057678761161E-2</v>
      </c>
      <c r="AA208" s="162">
        <f t="shared" si="202"/>
        <v>2.6432893353016018E-2</v>
      </c>
      <c r="AB208" s="162">
        <f t="shared" si="203"/>
        <v>2.5854891781707856E-2</v>
      </c>
      <c r="AC208" s="128">
        <f t="shared" si="234"/>
        <v>0.11749999999999999</v>
      </c>
      <c r="AD208" s="127">
        <f t="shared" si="235"/>
        <v>0.1125</v>
      </c>
      <c r="AE208" s="127">
        <f t="shared" si="236"/>
        <v>0.1075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5.72</v>
      </c>
      <c r="AJ208" s="160">
        <f t="shared" si="253"/>
        <v>5.53</v>
      </c>
      <c r="AK208" s="160">
        <f t="shared" si="254"/>
        <v>6.23</v>
      </c>
      <c r="AL208" s="170">
        <f t="shared" si="171"/>
        <v>4.2383431287046358E-2</v>
      </c>
      <c r="AM208" s="127">
        <f t="shared" si="190"/>
        <v>3.6176803559640369E-2</v>
      </c>
      <c r="AN208" s="127">
        <f t="shared" si="191"/>
        <v>3.3083904230547301E-2</v>
      </c>
      <c r="AO208" s="155">
        <f t="shared" si="192"/>
        <v>4.7937225734597577E-2</v>
      </c>
      <c r="AP208" s="154">
        <f t="shared" si="193"/>
        <v>4.3771241136172145E-2</v>
      </c>
      <c r="AQ208" s="154">
        <f t="shared" si="194"/>
        <v>4.16929129423107E-2</v>
      </c>
      <c r="AR208" s="128">
        <f t="shared" si="195"/>
        <v>0.1087432023307664</v>
      </c>
      <c r="AS208" s="127">
        <f>FVSCHEDULE(1,I197:I208)-1</f>
        <v>0.10812118417540595</v>
      </c>
      <c r="AT208" s="127">
        <f t="shared" si="197"/>
        <v>0.10749718255795915</v>
      </c>
      <c r="AU208" s="128">
        <f t="shared" si="237"/>
        <v>0.11749999999999999</v>
      </c>
      <c r="AV208" s="127">
        <f t="shared" si="238"/>
        <v>0.1125</v>
      </c>
      <c r="AW208" s="127">
        <f t="shared" si="239"/>
        <v>0.1075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5.72</v>
      </c>
      <c r="BB208" s="160">
        <f t="shared" si="179"/>
        <v>5.53</v>
      </c>
      <c r="BC208" s="160">
        <f t="shared" si="180"/>
        <v>6.23</v>
      </c>
      <c r="BD208" s="171">
        <f t="shared" si="181"/>
        <v>141.94499999999999</v>
      </c>
      <c r="BE208" s="172">
        <f t="shared" si="182"/>
        <v>151.94499999999999</v>
      </c>
      <c r="BF208" s="172">
        <f t="shared" si="183"/>
        <v>157.57</v>
      </c>
      <c r="BG208" s="159">
        <f t="shared" si="184"/>
        <v>5.4225000000000003</v>
      </c>
      <c r="BH208" s="160">
        <f t="shared" si="185"/>
        <v>5.3816666666666668</v>
      </c>
      <c r="BI208" s="160">
        <f t="shared" si="186"/>
        <v>5.53</v>
      </c>
      <c r="BK208" s="160">
        <f>AVERAGE(L197:L208)*100</f>
        <v>10.812500000000002</v>
      </c>
    </row>
    <row r="209" spans="1:63">
      <c r="A209" s="53">
        <v>45658</v>
      </c>
      <c r="B209" s="12">
        <v>6.1413213421739037E-3</v>
      </c>
      <c r="C209" s="12">
        <v>5.1337309438599854E-3</v>
      </c>
      <c r="D209" s="12">
        <v>5.03526282764732E-3</v>
      </c>
      <c r="E209" s="66">
        <v>4.1724223043812904E-3</v>
      </c>
      <c r="F209" s="12">
        <v>3.5966563624876234E-3</v>
      </c>
      <c r="G209" s="12">
        <v>3.5474223043812907E-3</v>
      </c>
      <c r="H209" s="66">
        <f t="shared" si="282"/>
        <v>9.6763780332134175E-3</v>
      </c>
      <c r="I209" s="12">
        <f t="shared" si="283"/>
        <v>9.1124684369046083E-3</v>
      </c>
      <c r="J209" s="12">
        <f t="shared" si="284"/>
        <v>8.5450710394860963E-3</v>
      </c>
      <c r="K209" s="226">
        <v>0.1225</v>
      </c>
      <c r="L209" s="223">
        <v>0.115</v>
      </c>
      <c r="M209" s="223">
        <v>0.1075</v>
      </c>
      <c r="N209" s="79">
        <f t="shared" ref="N209:P219" si="288">N208+(N$220-N$208)/12</f>
        <v>100</v>
      </c>
      <c r="O209" s="41">
        <f t="shared" si="288"/>
        <v>180</v>
      </c>
      <c r="P209" s="41">
        <f t="shared" si="288"/>
        <v>225</v>
      </c>
      <c r="Q209" s="80">
        <v>5.73</v>
      </c>
      <c r="R209" s="46">
        <v>5.52</v>
      </c>
      <c r="S209" s="46">
        <v>6.12</v>
      </c>
      <c r="T209" s="164">
        <f t="shared" ref="T209:T220" si="289">FVSCHEDULE(1,B207:B209)-1</f>
        <v>1.7032451491984624E-2</v>
      </c>
      <c r="U209" s="165">
        <f t="shared" ref="U209:U220" si="290">FVSCHEDULE(1,C207:C209)-1</f>
        <v>1.2984537077064484E-2</v>
      </c>
      <c r="V209" s="165">
        <f t="shared" ref="V209:V220" si="291">FVSCHEDULE(1,D207:D209)-1</f>
        <v>1.1372435640512712E-2</v>
      </c>
      <c r="W209" s="166">
        <f t="shared" si="198"/>
        <v>1.0987552737812489E-2</v>
      </c>
      <c r="X209" s="165">
        <f t="shared" ref="X209:X220" si="292">FVSCHEDULE(1,F207:F209)-1</f>
        <v>8.3948879121142905E-3</v>
      </c>
      <c r="Y209" s="165">
        <f t="shared" si="200"/>
        <v>7.3397248670379334E-3</v>
      </c>
      <c r="Z209" s="166">
        <f t="shared" ref="Z209:Z232" si="293">FVSCHEDULE(1,H207:H209)-1</f>
        <v>2.8161076128839779E-2</v>
      </c>
      <c r="AA209" s="165">
        <f t="shared" si="202"/>
        <v>2.7010354260849301E-2</v>
      </c>
      <c r="AB209" s="165">
        <f t="shared" ref="AB209:AB232" si="294">FVSCHEDULE(1,J207:J209)-1</f>
        <v>2.5854891781707856E-2</v>
      </c>
      <c r="AC209" s="177">
        <f t="shared" si="234"/>
        <v>0.1225</v>
      </c>
      <c r="AD209" s="174">
        <f t="shared" si="235"/>
        <v>0.115</v>
      </c>
      <c r="AE209" s="174">
        <f t="shared" si="236"/>
        <v>0.1075</v>
      </c>
      <c r="AF209" s="167">
        <f t="shared" ref="AF209:AF220" si="295">N209</f>
        <v>100</v>
      </c>
      <c r="AG209" s="168">
        <f t="shared" ref="AG209:AG220" si="296">O209</f>
        <v>180</v>
      </c>
      <c r="AH209" s="168">
        <f t="shared" ref="AH209:AH220" si="297">P209</f>
        <v>225</v>
      </c>
      <c r="AI209" s="167">
        <f t="shared" si="252"/>
        <v>5.73</v>
      </c>
      <c r="AJ209" s="168">
        <f t="shared" si="253"/>
        <v>5.52</v>
      </c>
      <c r="AK209" s="168">
        <f t="shared" si="254"/>
        <v>6.12</v>
      </c>
      <c r="AL209" s="173">
        <f t="shared" ref="AL209:AL220" si="298">FVSCHEDULE(1,B198:B209)-1</f>
        <v>4.8032446832309672E-2</v>
      </c>
      <c r="AM209" s="174">
        <f t="shared" ref="AM209:AM220" si="299">FVSCHEDULE(1,C198:C209)-1</f>
        <v>4.0748890760547551E-2</v>
      </c>
      <c r="AN209" s="174">
        <f t="shared" ref="AN209:AN220" si="300">FVSCHEDULE(1,D198:D209)-1</f>
        <v>3.754069131269322E-2</v>
      </c>
      <c r="AO209" s="175">
        <f t="shared" ref="AO209:AO220" si="301">FVSCHEDULE(1,E198:E209)-1</f>
        <v>4.7908446911814506E-2</v>
      </c>
      <c r="AP209" s="176">
        <f t="shared" ref="AP209:AP220" si="302">FVSCHEDULE(1,F198:F209)-1</f>
        <v>4.3144122297934961E-2</v>
      </c>
      <c r="AQ209" s="176">
        <f t="shared" ref="AQ209:AQ220" si="303">FVSCHEDULE(1,G198:G209)-1</f>
        <v>4.1015970539731494E-2</v>
      </c>
      <c r="AR209" s="177">
        <f t="shared" ref="AR209:AR232" si="304">FVSCHEDULE(1,H198:H209)-1</f>
        <v>0.10957031949038343</v>
      </c>
      <c r="AS209" s="174">
        <f t="shared" ref="AS209:AS231" si="305">FVSCHEDULE(1,I198:I209)-1</f>
        <v>0.10832848408117113</v>
      </c>
      <c r="AT209" s="174">
        <f t="shared" ref="AT209:AT232" si="306">FVSCHEDULE(1,J198:J209)-1</f>
        <v>0.10708153270175558</v>
      </c>
      <c r="AU209" s="177">
        <f t="shared" si="237"/>
        <v>0.1225</v>
      </c>
      <c r="AV209" s="174">
        <f t="shared" si="238"/>
        <v>0.115</v>
      </c>
      <c r="AW209" s="174">
        <f t="shared" si="239"/>
        <v>0.1075</v>
      </c>
      <c r="AX209" s="167">
        <f t="shared" ref="AX209:AX231" si="307">N209</f>
        <v>100</v>
      </c>
      <c r="AY209" s="168">
        <f t="shared" ref="AY209:AY232" si="308">O209</f>
        <v>180</v>
      </c>
      <c r="AZ209" s="168">
        <f t="shared" ref="AZ209:AZ232" si="309">P209</f>
        <v>225</v>
      </c>
      <c r="BA209" s="167">
        <f t="shared" ref="BA209:BA232" si="310">Q209</f>
        <v>5.73</v>
      </c>
      <c r="BB209" s="168">
        <f t="shared" ref="BB209:BB232" si="311">R209</f>
        <v>5.52</v>
      </c>
      <c r="BC209" s="168">
        <f t="shared" ref="BC209:BC232" si="312">S209</f>
        <v>6.12</v>
      </c>
      <c r="BD209" s="178">
        <f t="shared" ref="BD209:BD231" si="313">AVERAGE(N198:N209)</f>
        <v>138.76166666666666</v>
      </c>
      <c r="BE209" s="179">
        <f t="shared" ref="BE209:BE232" si="314">AVERAGE(O198:O209)</f>
        <v>155.42833333333331</v>
      </c>
      <c r="BF209" s="179">
        <f t="shared" ref="BF209:BF232" si="315">AVERAGE(P198:P209)</f>
        <v>164.80333333333331</v>
      </c>
      <c r="BG209" s="167">
        <f t="shared" ref="BG209:BG232" si="316">AVERAGE(Q198:Q209)</f>
        <v>5.4874999999999998</v>
      </c>
      <c r="BH209" s="168">
        <f t="shared" ref="BH209:BH232" si="317">AVERAGE(R198:R209)</f>
        <v>5.4291666666666663</v>
      </c>
      <c r="BI209" s="168">
        <f t="shared" ref="BI209:BI232" si="318">AVERAGE(S198:S209)</f>
        <v>5.6275000000000004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7">
        <v>6.3677291178726699E-3</v>
      </c>
      <c r="F210" s="10">
        <v>5.7919631759790029E-3</v>
      </c>
      <c r="G210" s="10">
        <v>5.7427291178726702E-3</v>
      </c>
      <c r="H210" s="67">
        <f t="shared" si="282"/>
        <v>9.6763780332134175E-3</v>
      </c>
      <c r="I210" s="10">
        <f t="shared" si="283"/>
        <v>9.1124684369046083E-3</v>
      </c>
      <c r="J210" s="10">
        <f t="shared" si="284"/>
        <v>8.5450710394860963E-3</v>
      </c>
      <c r="K210" s="225">
        <v>0.1225</v>
      </c>
      <c r="L210" s="222">
        <v>0.115</v>
      </c>
      <c r="M210" s="222">
        <v>0.1075</v>
      </c>
      <c r="N210" s="78">
        <f t="shared" si="288"/>
        <v>100</v>
      </c>
      <c r="O210" s="40">
        <f t="shared" si="288"/>
        <v>180</v>
      </c>
      <c r="P210" s="40">
        <f t="shared" si="288"/>
        <v>225</v>
      </c>
      <c r="Q210" s="81">
        <v>5.75</v>
      </c>
      <c r="R210" s="47">
        <v>5.54</v>
      </c>
      <c r="S210" s="47">
        <v>6.05</v>
      </c>
      <c r="T210" s="161">
        <f t="shared" si="289"/>
        <v>1.6755079630345504E-2</v>
      </c>
      <c r="U210" s="162">
        <f t="shared" si="290"/>
        <v>1.3205156636645787E-2</v>
      </c>
      <c r="V210" s="162">
        <f t="shared" si="291"/>
        <v>1.2250316763941393E-2</v>
      </c>
      <c r="W210" s="163">
        <f t="shared" si="198"/>
        <v>1.5364273044431886E-2</v>
      </c>
      <c r="X210" s="162">
        <f t="shared" si="292"/>
        <v>1.3192100549960672E-2</v>
      </c>
      <c r="Y210" s="162">
        <f t="shared" si="200"/>
        <v>1.2588146634857633E-2</v>
      </c>
      <c r="Z210" s="163">
        <f t="shared" si="293"/>
        <v>2.8928079405278195E-2</v>
      </c>
      <c r="AA210" s="162">
        <f t="shared" ref="AA210:AA232" si="319">FVSCHEDULE(1,I208:I210)-1</f>
        <v>2.7395075021792392E-2</v>
      </c>
      <c r="AB210" s="162">
        <f t="shared" si="294"/>
        <v>2.5854891781707856E-2</v>
      </c>
      <c r="AC210" s="128">
        <f t="shared" si="234"/>
        <v>0.1225</v>
      </c>
      <c r="AD210" s="127">
        <f t="shared" si="235"/>
        <v>0.115</v>
      </c>
      <c r="AE210" s="127">
        <f t="shared" si="236"/>
        <v>0.1075</v>
      </c>
      <c r="AF210" s="159">
        <f t="shared" si="295"/>
        <v>100</v>
      </c>
      <c r="AG210" s="160">
        <f t="shared" si="296"/>
        <v>180</v>
      </c>
      <c r="AH210" s="160">
        <f t="shared" si="297"/>
        <v>225</v>
      </c>
      <c r="AI210" s="159">
        <f t="shared" si="252"/>
        <v>5.75</v>
      </c>
      <c r="AJ210" s="160">
        <f t="shared" si="253"/>
        <v>5.54</v>
      </c>
      <c r="AK210" s="160">
        <f t="shared" si="254"/>
        <v>6.05</v>
      </c>
      <c r="AL210" s="170">
        <f t="shared" si="298"/>
        <v>5.7955462932830937E-2</v>
      </c>
      <c r="AM210" s="127">
        <f t="shared" si="299"/>
        <v>4.9548844592989028E-2</v>
      </c>
      <c r="AN210" s="127">
        <f t="shared" si="300"/>
        <v>4.6210822750472724E-2</v>
      </c>
      <c r="AO210" s="155">
        <f t="shared" si="301"/>
        <v>4.5900271786253777E-2</v>
      </c>
      <c r="AP210" s="154">
        <f t="shared" si="302"/>
        <v>4.0549414501164005E-2</v>
      </c>
      <c r="AQ210" s="154">
        <f t="shared" si="303"/>
        <v>3.8375724750491669E-2</v>
      </c>
      <c r="AR210" s="128">
        <f t="shared" si="304"/>
        <v>0.11039805367547073</v>
      </c>
      <c r="AS210" s="127">
        <f t="shared" si="305"/>
        <v>0.10853582276721641</v>
      </c>
      <c r="AT210" s="127">
        <f t="shared" si="306"/>
        <v>0.10666603884125614</v>
      </c>
      <c r="AU210" s="128">
        <f t="shared" si="237"/>
        <v>0.1225</v>
      </c>
      <c r="AV210" s="127">
        <f t="shared" si="238"/>
        <v>0.115</v>
      </c>
      <c r="AW210" s="127">
        <f t="shared" si="239"/>
        <v>0.1075</v>
      </c>
      <c r="AX210" s="159">
        <f t="shared" si="307"/>
        <v>100</v>
      </c>
      <c r="AY210" s="160">
        <f t="shared" si="308"/>
        <v>180</v>
      </c>
      <c r="AZ210" s="160">
        <f t="shared" si="309"/>
        <v>225</v>
      </c>
      <c r="BA210" s="159">
        <f t="shared" si="310"/>
        <v>5.75</v>
      </c>
      <c r="BB210" s="160">
        <f t="shared" si="311"/>
        <v>5.54</v>
      </c>
      <c r="BC210" s="160">
        <f t="shared" si="312"/>
        <v>6.05</v>
      </c>
      <c r="BD210" s="171">
        <f t="shared" si="313"/>
        <v>136.71166666666667</v>
      </c>
      <c r="BE210" s="172">
        <f t="shared" si="314"/>
        <v>160.04499999999999</v>
      </c>
      <c r="BF210" s="172">
        <f t="shared" si="315"/>
        <v>173.17</v>
      </c>
      <c r="BG210" s="159">
        <f t="shared" si="316"/>
        <v>5.5516666666666667</v>
      </c>
      <c r="BH210" s="160">
        <f t="shared" si="317"/>
        <v>5.475833333333334</v>
      </c>
      <c r="BI210" s="160">
        <f t="shared" si="318"/>
        <v>5.7166666666666677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7">
        <v>2.8362424906075616E-3</v>
      </c>
      <c r="F211" s="10">
        <v>2.2604765487138942E-3</v>
      </c>
      <c r="G211" s="10">
        <v>2.2112424906075615E-3</v>
      </c>
      <c r="H211" s="67">
        <f t="shared" si="282"/>
        <v>9.6763780332134175E-3</v>
      </c>
      <c r="I211" s="10">
        <f t="shared" si="283"/>
        <v>9.1124684369046083E-3</v>
      </c>
      <c r="J211" s="10">
        <f t="shared" si="284"/>
        <v>8.5450710394860963E-3</v>
      </c>
      <c r="K211" s="225">
        <v>0.1225</v>
      </c>
      <c r="L211" s="222">
        <v>0.115</v>
      </c>
      <c r="M211" s="222">
        <v>0.1075</v>
      </c>
      <c r="N211" s="78">
        <f t="shared" si="288"/>
        <v>100</v>
      </c>
      <c r="O211" s="40">
        <f t="shared" si="288"/>
        <v>180</v>
      </c>
      <c r="P211" s="40">
        <f t="shared" si="288"/>
        <v>225</v>
      </c>
      <c r="Q211" s="81">
        <v>5.75</v>
      </c>
      <c r="R211" s="47">
        <v>5.53</v>
      </c>
      <c r="S211" s="47">
        <v>5.95</v>
      </c>
      <c r="T211" s="161">
        <f t="shared" si="289"/>
        <v>1.6122057810123103E-2</v>
      </c>
      <c r="U211" s="162">
        <f t="shared" si="290"/>
        <v>1.3069944433093061E-2</v>
      </c>
      <c r="V211" s="162">
        <f t="shared" si="291"/>
        <v>1.2772000831480224E-2</v>
      </c>
      <c r="W211" s="163">
        <f t="shared" si="198"/>
        <v>1.3432932548897991E-2</v>
      </c>
      <c r="X211" s="162">
        <f t="shared" si="292"/>
        <v>1.1691197632252459E-2</v>
      </c>
      <c r="Y211" s="162">
        <f t="shared" si="200"/>
        <v>1.1542353622969959E-2</v>
      </c>
      <c r="Z211" s="163">
        <f t="shared" si="293"/>
        <v>2.9310936996617132E-2</v>
      </c>
      <c r="AA211" s="162">
        <f t="shared" si="319"/>
        <v>2.7587273226534537E-2</v>
      </c>
      <c r="AB211" s="162">
        <f t="shared" si="294"/>
        <v>2.5854891781707856E-2</v>
      </c>
      <c r="AC211" s="128">
        <f t="shared" si="234"/>
        <v>0.1225</v>
      </c>
      <c r="AD211" s="127">
        <f t="shared" si="235"/>
        <v>0.115</v>
      </c>
      <c r="AE211" s="127">
        <f t="shared" si="236"/>
        <v>0.1075</v>
      </c>
      <c r="AF211" s="159">
        <f t="shared" si="295"/>
        <v>100</v>
      </c>
      <c r="AG211" s="160">
        <f t="shared" si="296"/>
        <v>180</v>
      </c>
      <c r="AH211" s="160">
        <f t="shared" si="297"/>
        <v>225</v>
      </c>
      <c r="AI211" s="159">
        <f t="shared" si="252"/>
        <v>5.75</v>
      </c>
      <c r="AJ211" s="160">
        <f t="shared" si="253"/>
        <v>5.53</v>
      </c>
      <c r="AK211" s="160">
        <f t="shared" si="254"/>
        <v>5.95</v>
      </c>
      <c r="AL211" s="170">
        <f t="shared" si="298"/>
        <v>6.8954932443278327E-2</v>
      </c>
      <c r="AM211" s="127">
        <f t="shared" si="299"/>
        <v>5.9398402103731485E-2</v>
      </c>
      <c r="AN211" s="127">
        <f t="shared" si="300"/>
        <v>5.5925549502298777E-2</v>
      </c>
      <c r="AO211" s="155">
        <f t="shared" si="301"/>
        <v>4.7191192669760573E-2</v>
      </c>
      <c r="AP211" s="154">
        <f t="shared" si="302"/>
        <v>4.1235575130213586E-2</v>
      </c>
      <c r="AQ211" s="154">
        <f t="shared" si="303"/>
        <v>3.9009410217927032E-2</v>
      </c>
      <c r="AR211" s="128">
        <f t="shared" si="304"/>
        <v>0.11164361138034296</v>
      </c>
      <c r="AS211" s="127">
        <f t="shared" si="305"/>
        <v>0.10915947396421766</v>
      </c>
      <c r="AT211" s="127">
        <f t="shared" si="306"/>
        <v>0.10666603884125614</v>
      </c>
      <c r="AU211" s="128">
        <f t="shared" si="237"/>
        <v>0.1225</v>
      </c>
      <c r="AV211" s="127">
        <f t="shared" si="238"/>
        <v>0.115</v>
      </c>
      <c r="AW211" s="127">
        <f t="shared" si="239"/>
        <v>0.1075</v>
      </c>
      <c r="AX211" s="159">
        <f t="shared" si="307"/>
        <v>100</v>
      </c>
      <c r="AY211" s="160">
        <f t="shared" si="308"/>
        <v>180</v>
      </c>
      <c r="AZ211" s="160">
        <f t="shared" si="309"/>
        <v>225</v>
      </c>
      <c r="BA211" s="159">
        <f t="shared" si="310"/>
        <v>5.75</v>
      </c>
      <c r="BB211" s="160">
        <f t="shared" si="311"/>
        <v>5.53</v>
      </c>
      <c r="BC211" s="160">
        <f t="shared" si="312"/>
        <v>5.95</v>
      </c>
      <c r="BD211" s="171">
        <f t="shared" si="313"/>
        <v>133.65333333333334</v>
      </c>
      <c r="BE211" s="172">
        <f t="shared" si="314"/>
        <v>163.65333333333334</v>
      </c>
      <c r="BF211" s="172">
        <f t="shared" si="315"/>
        <v>180.52833333333334</v>
      </c>
      <c r="BG211" s="159">
        <f t="shared" si="316"/>
        <v>5.6141666666666667</v>
      </c>
      <c r="BH211" s="160">
        <f t="shared" si="317"/>
        <v>5.52</v>
      </c>
      <c r="BI211" s="160">
        <f t="shared" si="318"/>
        <v>5.7958333333333334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7">
        <v>4.551683389772459E-3</v>
      </c>
      <c r="F212" s="10">
        <v>3.975917447878792E-3</v>
      </c>
      <c r="G212" s="10">
        <v>3.9266833897724594E-3</v>
      </c>
      <c r="H212" s="67">
        <f t="shared" si="282"/>
        <v>9.6763780332134175E-3</v>
      </c>
      <c r="I212" s="10">
        <f t="shared" si="283"/>
        <v>9.1124684369046083E-3</v>
      </c>
      <c r="J212" s="10">
        <f t="shared" si="284"/>
        <v>8.5450710394860963E-3</v>
      </c>
      <c r="K212" s="225">
        <v>0.1225</v>
      </c>
      <c r="L212" s="222">
        <v>0.115</v>
      </c>
      <c r="M212" s="222">
        <v>0.1075</v>
      </c>
      <c r="N212" s="78">
        <f t="shared" si="288"/>
        <v>100</v>
      </c>
      <c r="O212" s="40">
        <f t="shared" si="288"/>
        <v>180</v>
      </c>
      <c r="P212" s="40">
        <f t="shared" si="288"/>
        <v>225</v>
      </c>
      <c r="Q212" s="81">
        <v>5.77</v>
      </c>
      <c r="R212" s="47">
        <v>5.54</v>
      </c>
      <c r="S212" s="47">
        <v>5.85</v>
      </c>
      <c r="T212" s="161">
        <f t="shared" si="289"/>
        <v>1.2454625053280211E-2</v>
      </c>
      <c r="U212" s="162">
        <f t="shared" si="290"/>
        <v>9.4098621454388187E-3</v>
      </c>
      <c r="V212" s="162">
        <f t="shared" si="291"/>
        <v>9.112636482733194E-3</v>
      </c>
      <c r="W212" s="163">
        <f t="shared" si="198"/>
        <v>1.3815691192167412E-2</v>
      </c>
      <c r="X212" s="162">
        <f t="shared" si="292"/>
        <v>1.2073517660186273E-2</v>
      </c>
      <c r="Y212" s="162">
        <f t="shared" si="200"/>
        <v>1.1924636156338542E-2</v>
      </c>
      <c r="Z212" s="163">
        <f t="shared" si="293"/>
        <v>2.9310936996617132E-2</v>
      </c>
      <c r="AA212" s="162">
        <f t="shared" si="319"/>
        <v>2.7587273226534537E-2</v>
      </c>
      <c r="AB212" s="162">
        <f t="shared" si="294"/>
        <v>2.5854891781707856E-2</v>
      </c>
      <c r="AC212" s="128">
        <f t="shared" si="234"/>
        <v>0.1225</v>
      </c>
      <c r="AD212" s="127">
        <f t="shared" si="235"/>
        <v>0.115</v>
      </c>
      <c r="AE212" s="127">
        <f t="shared" si="236"/>
        <v>0.1075</v>
      </c>
      <c r="AF212" s="159">
        <f t="shared" si="295"/>
        <v>100</v>
      </c>
      <c r="AG212" s="160">
        <f t="shared" si="296"/>
        <v>180</v>
      </c>
      <c r="AH212" s="160">
        <f t="shared" si="297"/>
        <v>225</v>
      </c>
      <c r="AI212" s="159">
        <f t="shared" ref="AI212:AI232" si="320">Q212</f>
        <v>5.77</v>
      </c>
      <c r="AJ212" s="160">
        <f t="shared" ref="AJ212:AJ232" si="321">R212</f>
        <v>5.54</v>
      </c>
      <c r="AK212" s="160">
        <f t="shared" ref="AK212:AK232" si="322">S212</f>
        <v>5.85</v>
      </c>
      <c r="AL212" s="170">
        <f t="shared" si="298"/>
        <v>6.8335181598516703E-2</v>
      </c>
      <c r="AM212" s="127">
        <f t="shared" si="299"/>
        <v>5.7720042010350303E-2</v>
      </c>
      <c r="AN212" s="127">
        <f t="shared" si="300"/>
        <v>5.4149036748349033E-2</v>
      </c>
      <c r="AO212" s="155">
        <f t="shared" si="301"/>
        <v>4.7975369025056169E-2</v>
      </c>
      <c r="AP212" s="154">
        <f t="shared" si="302"/>
        <v>4.1418053218495787E-2</v>
      </c>
      <c r="AQ212" s="154">
        <f t="shared" si="303"/>
        <v>3.9140537169602085E-2</v>
      </c>
      <c r="AR212" s="128">
        <f t="shared" si="304"/>
        <v>0.11289056625444793</v>
      </c>
      <c r="AS212" s="127">
        <f t="shared" si="305"/>
        <v>0.10978347602116134</v>
      </c>
      <c r="AT212" s="127">
        <f t="shared" si="306"/>
        <v>0.10666603884125614</v>
      </c>
      <c r="AU212" s="128">
        <f t="shared" si="237"/>
        <v>0.1225</v>
      </c>
      <c r="AV212" s="127">
        <f t="shared" si="238"/>
        <v>0.115</v>
      </c>
      <c r="AW212" s="127">
        <f t="shared" si="239"/>
        <v>0.1075</v>
      </c>
      <c r="AX212" s="159">
        <f t="shared" si="307"/>
        <v>100</v>
      </c>
      <c r="AY212" s="160">
        <f t="shared" si="308"/>
        <v>180</v>
      </c>
      <c r="AZ212" s="160">
        <f t="shared" si="309"/>
        <v>225</v>
      </c>
      <c r="BA212" s="159">
        <f t="shared" si="310"/>
        <v>5.77</v>
      </c>
      <c r="BB212" s="160">
        <f t="shared" si="311"/>
        <v>5.54</v>
      </c>
      <c r="BC212" s="160">
        <f t="shared" si="312"/>
        <v>5.85</v>
      </c>
      <c r="BD212" s="171">
        <f t="shared" si="313"/>
        <v>129.52833333333334</v>
      </c>
      <c r="BE212" s="172">
        <f t="shared" si="314"/>
        <v>166.19499999999999</v>
      </c>
      <c r="BF212" s="172">
        <f t="shared" si="315"/>
        <v>186.82000000000002</v>
      </c>
      <c r="BG212" s="159">
        <f t="shared" si="316"/>
        <v>5.6641666666666666</v>
      </c>
      <c r="BH212" s="160">
        <f t="shared" si="317"/>
        <v>5.5508333333333333</v>
      </c>
      <c r="BI212" s="160">
        <f t="shared" si="318"/>
        <v>5.8524999999999991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7">
        <v>2.2189814000864133E-3</v>
      </c>
      <c r="F213" s="10">
        <v>1.6432154581927461E-3</v>
      </c>
      <c r="G213" s="10">
        <v>1.5939814000864134E-3</v>
      </c>
      <c r="H213" s="67">
        <f t="shared" si="282"/>
        <v>9.6763780332134175E-3</v>
      </c>
      <c r="I213" s="10">
        <f t="shared" si="283"/>
        <v>9.1124684369046083E-3</v>
      </c>
      <c r="J213" s="10">
        <f t="shared" si="284"/>
        <v>8.5450710394860963E-3</v>
      </c>
      <c r="K213" s="225">
        <v>0.1225</v>
      </c>
      <c r="L213" s="222">
        <v>0.115</v>
      </c>
      <c r="M213" s="222">
        <v>0.1075</v>
      </c>
      <c r="N213" s="78">
        <f t="shared" si="288"/>
        <v>100</v>
      </c>
      <c r="O213" s="40">
        <f t="shared" si="288"/>
        <v>180</v>
      </c>
      <c r="P213" s="40">
        <f t="shared" si="288"/>
        <v>225</v>
      </c>
      <c r="Q213" s="81">
        <v>5.77</v>
      </c>
      <c r="R213" s="47">
        <v>5.53</v>
      </c>
      <c r="S213" s="47">
        <v>5.73</v>
      </c>
      <c r="T213" s="161">
        <f t="shared" si="289"/>
        <v>1.0959766235819846E-2</v>
      </c>
      <c r="U213" s="162">
        <f t="shared" si="290"/>
        <v>7.9180020031084375E-3</v>
      </c>
      <c r="V213" s="162">
        <f t="shared" si="291"/>
        <v>7.6210692284437442E-3</v>
      </c>
      <c r="W213" s="163">
        <f t="shared" si="198"/>
        <v>9.6362392747491032E-3</v>
      </c>
      <c r="X213" s="162">
        <f t="shared" si="292"/>
        <v>7.8988594303013304E-3</v>
      </c>
      <c r="Y213" s="162">
        <f t="shared" si="200"/>
        <v>7.7503877096134488E-3</v>
      </c>
      <c r="Z213" s="163">
        <f t="shared" si="293"/>
        <v>2.9310936996617132E-2</v>
      </c>
      <c r="AA213" s="162">
        <f t="shared" si="319"/>
        <v>2.7587273226534537E-2</v>
      </c>
      <c r="AB213" s="162">
        <f t="shared" si="294"/>
        <v>2.5854891781707856E-2</v>
      </c>
      <c r="AC213" s="128">
        <f t="shared" si="234"/>
        <v>0.1225</v>
      </c>
      <c r="AD213" s="127">
        <f t="shared" si="235"/>
        <v>0.115</v>
      </c>
      <c r="AE213" s="127">
        <f t="shared" si="236"/>
        <v>0.1075</v>
      </c>
      <c r="AF213" s="159">
        <f t="shared" si="295"/>
        <v>100</v>
      </c>
      <c r="AG213" s="160">
        <f t="shared" si="296"/>
        <v>180</v>
      </c>
      <c r="AH213" s="160">
        <f t="shared" si="297"/>
        <v>225</v>
      </c>
      <c r="AI213" s="159">
        <f t="shared" si="320"/>
        <v>5.77</v>
      </c>
      <c r="AJ213" s="160">
        <f t="shared" si="321"/>
        <v>5.53</v>
      </c>
      <c r="AK213" s="160">
        <f t="shared" si="322"/>
        <v>5.73</v>
      </c>
      <c r="AL213" s="170">
        <f t="shared" si="298"/>
        <v>6.1838801710206948E-2</v>
      </c>
      <c r="AM213" s="127">
        <f t="shared" si="299"/>
        <v>5.0231864063472464E-2</v>
      </c>
      <c r="AN213" s="127">
        <f t="shared" si="300"/>
        <v>4.6583255499641041E-2</v>
      </c>
      <c r="AO213" s="155">
        <f t="shared" si="301"/>
        <v>4.5491545766147778E-2</v>
      </c>
      <c r="AP213" s="154">
        <f t="shared" si="302"/>
        <v>3.8352904103110763E-2</v>
      </c>
      <c r="AQ213" s="154">
        <f t="shared" si="303"/>
        <v>3.6031164501220569E-2</v>
      </c>
      <c r="AR213" s="128">
        <f t="shared" si="304"/>
        <v>0.11434875871816685</v>
      </c>
      <c r="AS213" s="127">
        <f t="shared" si="305"/>
        <v>0.11061696526849785</v>
      </c>
      <c r="AT213" s="127">
        <f t="shared" si="306"/>
        <v>0.10687447023905272</v>
      </c>
      <c r="AU213" s="128">
        <f t="shared" si="237"/>
        <v>0.1225</v>
      </c>
      <c r="AV213" s="127">
        <f t="shared" si="238"/>
        <v>0.115</v>
      </c>
      <c r="AW213" s="127">
        <f t="shared" si="239"/>
        <v>0.1075</v>
      </c>
      <c r="AX213" s="159">
        <f t="shared" si="307"/>
        <v>100</v>
      </c>
      <c r="AY213" s="160">
        <f t="shared" si="308"/>
        <v>180</v>
      </c>
      <c r="AZ213" s="160">
        <f t="shared" si="309"/>
        <v>225</v>
      </c>
      <c r="BA213" s="159">
        <f t="shared" si="310"/>
        <v>5.77</v>
      </c>
      <c r="BB213" s="160">
        <f t="shared" si="311"/>
        <v>5.53</v>
      </c>
      <c r="BC213" s="160">
        <f t="shared" si="312"/>
        <v>5.73</v>
      </c>
      <c r="BD213" s="171">
        <f t="shared" si="313"/>
        <v>126.02833333333335</v>
      </c>
      <c r="BE213" s="172">
        <f t="shared" si="314"/>
        <v>169.36166666666668</v>
      </c>
      <c r="BF213" s="172">
        <f t="shared" si="315"/>
        <v>193.73666666666668</v>
      </c>
      <c r="BG213" s="159">
        <f t="shared" si="316"/>
        <v>5.7083333333333321</v>
      </c>
      <c r="BH213" s="160">
        <f t="shared" si="317"/>
        <v>5.5750000000000002</v>
      </c>
      <c r="BI213" s="160">
        <f t="shared" si="318"/>
        <v>5.8933333333333335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7">
        <v>3.3015113871443188E-3</v>
      </c>
      <c r="F214" s="10">
        <v>2.7257454452506514E-3</v>
      </c>
      <c r="G214" s="10">
        <v>2.6765113871443187E-3</v>
      </c>
      <c r="H214" s="67">
        <f t="shared" si="282"/>
        <v>9.6763780332134175E-3</v>
      </c>
      <c r="I214" s="10">
        <f t="shared" si="283"/>
        <v>9.1124684369046083E-3</v>
      </c>
      <c r="J214" s="10">
        <f t="shared" si="284"/>
        <v>8.5450710394860963E-3</v>
      </c>
      <c r="K214" s="225">
        <v>0.1225</v>
      </c>
      <c r="L214" s="222">
        <v>0.115</v>
      </c>
      <c r="M214" s="222">
        <v>0.1075</v>
      </c>
      <c r="N214" s="78">
        <f t="shared" si="288"/>
        <v>100</v>
      </c>
      <c r="O214" s="40">
        <f t="shared" si="288"/>
        <v>180</v>
      </c>
      <c r="P214" s="40">
        <f t="shared" si="288"/>
        <v>225</v>
      </c>
      <c r="Q214" s="81">
        <v>5.78</v>
      </c>
      <c r="R214" s="47">
        <v>5.52</v>
      </c>
      <c r="S214" s="47">
        <v>5.6</v>
      </c>
      <c r="T214" s="161">
        <f t="shared" si="289"/>
        <v>1.0769659587387403E-2</v>
      </c>
      <c r="U214" s="162">
        <f t="shared" si="290"/>
        <v>7.7282772542037748E-3</v>
      </c>
      <c r="V214" s="162">
        <f t="shared" si="291"/>
        <v>7.431381780584001E-3</v>
      </c>
      <c r="W214" s="163">
        <f t="shared" si="198"/>
        <v>1.0104663050284346E-2</v>
      </c>
      <c r="X214" s="162">
        <f t="shared" si="292"/>
        <v>8.3667457743408225E-3</v>
      </c>
      <c r="Y214" s="162">
        <f t="shared" si="200"/>
        <v>8.2182281119114187E-3</v>
      </c>
      <c r="Z214" s="163">
        <f t="shared" si="293"/>
        <v>2.9310936996617132E-2</v>
      </c>
      <c r="AA214" s="162">
        <f t="shared" si="319"/>
        <v>2.7587273226534537E-2</v>
      </c>
      <c r="AB214" s="162">
        <f t="shared" si="294"/>
        <v>2.5854891781707856E-2</v>
      </c>
      <c r="AC214" s="128">
        <f t="shared" si="234"/>
        <v>0.1225</v>
      </c>
      <c r="AD214" s="127">
        <f t="shared" si="235"/>
        <v>0.115</v>
      </c>
      <c r="AE214" s="127">
        <f t="shared" si="236"/>
        <v>0.1075</v>
      </c>
      <c r="AF214" s="159">
        <f t="shared" si="295"/>
        <v>100</v>
      </c>
      <c r="AG214" s="160">
        <f t="shared" si="296"/>
        <v>180</v>
      </c>
      <c r="AH214" s="160">
        <f t="shared" si="297"/>
        <v>225</v>
      </c>
      <c r="AI214" s="159">
        <f t="shared" si="320"/>
        <v>5.78</v>
      </c>
      <c r="AJ214" s="160">
        <f t="shared" si="321"/>
        <v>5.52</v>
      </c>
      <c r="AK214" s="160">
        <f t="shared" si="322"/>
        <v>5.6</v>
      </c>
      <c r="AL214" s="170">
        <f t="shared" si="298"/>
        <v>5.9014163180135082E-2</v>
      </c>
      <c r="AM214" s="127">
        <f t="shared" si="299"/>
        <v>4.638844304524059E-2</v>
      </c>
      <c r="AN214" s="127">
        <f t="shared" si="300"/>
        <v>4.2650963990979562E-2</v>
      </c>
      <c r="AO214" s="155">
        <f t="shared" si="301"/>
        <v>4.6745083334654769E-2</v>
      </c>
      <c r="AP214" s="154">
        <f t="shared" si="302"/>
        <v>3.900128709912476E-2</v>
      </c>
      <c r="AQ214" s="154">
        <f t="shared" si="303"/>
        <v>3.6627196597589728E-2</v>
      </c>
      <c r="AR214" s="128">
        <f t="shared" si="304"/>
        <v>0.11580886181472416</v>
      </c>
      <c r="AS214" s="127">
        <f t="shared" si="305"/>
        <v>0.11145108049769514</v>
      </c>
      <c r="AT214" s="127">
        <f t="shared" si="306"/>
        <v>0.10708294089317993</v>
      </c>
      <c r="AU214" s="128">
        <f t="shared" si="237"/>
        <v>0.1225</v>
      </c>
      <c r="AV214" s="127">
        <f t="shared" si="238"/>
        <v>0.115</v>
      </c>
      <c r="AW214" s="127">
        <f t="shared" si="239"/>
        <v>0.1075</v>
      </c>
      <c r="AX214" s="159">
        <f t="shared" si="307"/>
        <v>100</v>
      </c>
      <c r="AY214" s="160">
        <f t="shared" si="308"/>
        <v>180</v>
      </c>
      <c r="AZ214" s="160">
        <f t="shared" si="309"/>
        <v>225</v>
      </c>
      <c r="BA214" s="159">
        <f t="shared" si="310"/>
        <v>5.78</v>
      </c>
      <c r="BB214" s="160">
        <f t="shared" si="311"/>
        <v>5.52</v>
      </c>
      <c r="BC214" s="160">
        <f t="shared" si="312"/>
        <v>5.6</v>
      </c>
      <c r="BD214" s="171">
        <f t="shared" si="313"/>
        <v>120.22500000000001</v>
      </c>
      <c r="BE214" s="172">
        <f t="shared" si="314"/>
        <v>170.22499999999999</v>
      </c>
      <c r="BF214" s="172">
        <f t="shared" si="315"/>
        <v>198.35</v>
      </c>
      <c r="BG214" s="159">
        <f t="shared" si="316"/>
        <v>5.7266666666666666</v>
      </c>
      <c r="BH214" s="160">
        <f>AVERAGE(R203:R214)</f>
        <v>5.5716666666666663</v>
      </c>
      <c r="BI214" s="160">
        <f t="shared" si="318"/>
        <v>5.8966666666666656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7">
        <v>3.5163707007752646E-3</v>
      </c>
      <c r="F215" s="10">
        <v>2.9406047588815972E-3</v>
      </c>
      <c r="G215" s="10">
        <v>2.8913707007752645E-3</v>
      </c>
      <c r="H215" s="67">
        <f t="shared" si="282"/>
        <v>9.6763780332134175E-3</v>
      </c>
      <c r="I215" s="10">
        <f t="shared" si="283"/>
        <v>9.1124684369046083E-3</v>
      </c>
      <c r="J215" s="10">
        <f t="shared" si="284"/>
        <v>8.5450710394860963E-3</v>
      </c>
      <c r="K215" s="225">
        <v>0.1225</v>
      </c>
      <c r="L215" s="222">
        <v>0.115</v>
      </c>
      <c r="M215" s="222">
        <v>0.1075</v>
      </c>
      <c r="N215" s="78">
        <f t="shared" si="288"/>
        <v>100</v>
      </c>
      <c r="O215" s="40">
        <f t="shared" si="288"/>
        <v>180</v>
      </c>
      <c r="P215" s="40">
        <f t="shared" si="288"/>
        <v>225</v>
      </c>
      <c r="Q215" s="81">
        <v>5.77</v>
      </c>
      <c r="R215" s="47">
        <v>5.52</v>
      </c>
      <c r="S215" s="47">
        <v>5.54</v>
      </c>
      <c r="T215" s="161">
        <f t="shared" si="289"/>
        <v>9.9491961928690476E-3</v>
      </c>
      <c r="U215" s="162">
        <f t="shared" si="290"/>
        <v>6.9094596477214942E-3</v>
      </c>
      <c r="V215" s="162">
        <f t="shared" si="291"/>
        <v>6.6127249223062456E-3</v>
      </c>
      <c r="W215" s="163">
        <f t="shared" si="198"/>
        <v>9.0636273403621459E-3</v>
      </c>
      <c r="X215" s="162">
        <f t="shared" si="292"/>
        <v>7.326905207530432E-3</v>
      </c>
      <c r="Y215" s="162">
        <f t="shared" si="200"/>
        <v>7.1784897105788836E-3</v>
      </c>
      <c r="Z215" s="163">
        <f t="shared" si="293"/>
        <v>2.9310936996617132E-2</v>
      </c>
      <c r="AA215" s="162">
        <f t="shared" si="319"/>
        <v>2.7587273226534537E-2</v>
      </c>
      <c r="AB215" s="162">
        <f t="shared" si="294"/>
        <v>2.5854891781707856E-2</v>
      </c>
      <c r="AC215" s="128">
        <f t="shared" si="234"/>
        <v>0.1225</v>
      </c>
      <c r="AD215" s="127">
        <f t="shared" si="235"/>
        <v>0.115</v>
      </c>
      <c r="AE215" s="127">
        <f t="shared" si="236"/>
        <v>0.1075</v>
      </c>
      <c r="AF215" s="159">
        <f t="shared" si="295"/>
        <v>100</v>
      </c>
      <c r="AG215" s="160">
        <f t="shared" si="296"/>
        <v>180</v>
      </c>
      <c r="AH215" s="160">
        <f t="shared" si="297"/>
        <v>225</v>
      </c>
      <c r="AI215" s="159">
        <f t="shared" si="320"/>
        <v>5.77</v>
      </c>
      <c r="AJ215" s="160">
        <f t="shared" si="321"/>
        <v>5.52</v>
      </c>
      <c r="AK215" s="160">
        <f t="shared" si="322"/>
        <v>5.54</v>
      </c>
      <c r="AL215" s="170">
        <f t="shared" si="298"/>
        <v>5.4378702847927229E-2</v>
      </c>
      <c r="AM215" s="127">
        <f t="shared" si="299"/>
        <v>4.0760308818920565E-2</v>
      </c>
      <c r="AN215" s="127">
        <f t="shared" si="300"/>
        <v>3.6940886874965218E-2</v>
      </c>
      <c r="AO215" s="155">
        <f t="shared" si="301"/>
        <v>4.6449319662157373E-2</v>
      </c>
      <c r="AP215" s="154">
        <f t="shared" si="302"/>
        <v>3.8111754561120481E-2</v>
      </c>
      <c r="AQ215" s="154">
        <f t="shared" si="303"/>
        <v>3.5688852462102627E-2</v>
      </c>
      <c r="AR215" s="128">
        <f t="shared" si="304"/>
        <v>0.1172708780475733</v>
      </c>
      <c r="AS215" s="127">
        <f t="shared" si="305"/>
        <v>0.11228582217888872</v>
      </c>
      <c r="AT215" s="127">
        <f t="shared" si="306"/>
        <v>0.10729145081103053</v>
      </c>
      <c r="AU215" s="128">
        <f t="shared" si="237"/>
        <v>0.1225</v>
      </c>
      <c r="AV215" s="127">
        <f t="shared" si="238"/>
        <v>0.115</v>
      </c>
      <c r="AW215" s="127">
        <f t="shared" si="239"/>
        <v>0.1075</v>
      </c>
      <c r="AX215" s="159">
        <f t="shared" si="307"/>
        <v>100</v>
      </c>
      <c r="AY215" s="160">
        <f t="shared" si="308"/>
        <v>180</v>
      </c>
      <c r="AZ215" s="160">
        <f t="shared" si="309"/>
        <v>225</v>
      </c>
      <c r="BA215" s="159">
        <f t="shared" si="310"/>
        <v>5.77</v>
      </c>
      <c r="BB215" s="160">
        <f t="shared" si="311"/>
        <v>5.52</v>
      </c>
      <c r="BC215" s="160">
        <f t="shared" si="312"/>
        <v>5.54</v>
      </c>
      <c r="BD215" s="171">
        <f t="shared" si="313"/>
        <v>115.41000000000001</v>
      </c>
      <c r="BE215" s="172">
        <f t="shared" si="314"/>
        <v>172.07666666666668</v>
      </c>
      <c r="BF215" s="172">
        <f t="shared" si="315"/>
        <v>203.95166666666668</v>
      </c>
      <c r="BG215" s="159">
        <f t="shared" si="316"/>
        <v>5.7358333333333329</v>
      </c>
      <c r="BH215" s="160">
        <f t="shared" si="317"/>
        <v>5.56</v>
      </c>
      <c r="BI215" s="160">
        <f t="shared" si="318"/>
        <v>5.8866666666666667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7">
        <v>1.7494070970062599E-3</v>
      </c>
      <c r="F216" s="10">
        <v>1.1736411551125927E-3</v>
      </c>
      <c r="G216" s="10">
        <v>1.12440709700626E-3</v>
      </c>
      <c r="H216" s="67">
        <f t="shared" si="282"/>
        <v>9.6763780332134175E-3</v>
      </c>
      <c r="I216" s="10">
        <f t="shared" si="283"/>
        <v>8.9237257287477778E-3</v>
      </c>
      <c r="J216" s="10">
        <f t="shared" si="284"/>
        <v>8.355155683635207E-3</v>
      </c>
      <c r="K216" s="225">
        <v>0.1225</v>
      </c>
      <c r="L216" s="222">
        <v>0.1125</v>
      </c>
      <c r="M216" s="222">
        <v>0.105</v>
      </c>
      <c r="N216" s="78">
        <f>N215+(N$220-N$208)/12</f>
        <v>100</v>
      </c>
      <c r="O216" s="40">
        <f t="shared" si="288"/>
        <v>180</v>
      </c>
      <c r="P216" s="40">
        <f t="shared" si="288"/>
        <v>225</v>
      </c>
      <c r="Q216" s="81">
        <v>5.77</v>
      </c>
      <c r="R216" s="47">
        <v>5.52</v>
      </c>
      <c r="S216" s="47">
        <v>5.52</v>
      </c>
      <c r="T216" s="161">
        <f t="shared" si="289"/>
        <v>8.0354943987048788E-3</v>
      </c>
      <c r="U216" s="162">
        <f t="shared" si="290"/>
        <v>4.9995986456639052E-3</v>
      </c>
      <c r="V216" s="162">
        <f t="shared" si="291"/>
        <v>4.7032390598407137E-3</v>
      </c>
      <c r="W216" s="163">
        <f t="shared" si="198"/>
        <v>8.5908460836054967E-3</v>
      </c>
      <c r="X216" s="162">
        <f t="shared" si="292"/>
        <v>6.8546663682045317E-3</v>
      </c>
      <c r="Y216" s="162">
        <f t="shared" si="200"/>
        <v>6.7062972392122333E-3</v>
      </c>
      <c r="Z216" s="163">
        <f t="shared" si="293"/>
        <v>2.9310936996617132E-2</v>
      </c>
      <c r="AA216" s="162">
        <f t="shared" si="319"/>
        <v>2.7395075021792614E-2</v>
      </c>
      <c r="AB216" s="162">
        <f t="shared" si="294"/>
        <v>2.5661716878157659E-2</v>
      </c>
      <c r="AC216" s="128">
        <f t="shared" si="234"/>
        <v>0.1225</v>
      </c>
      <c r="AD216" s="127">
        <f t="shared" si="235"/>
        <v>0.1125</v>
      </c>
      <c r="AE216" s="127">
        <f t="shared" si="236"/>
        <v>0.105</v>
      </c>
      <c r="AF216" s="159">
        <f t="shared" si="295"/>
        <v>100</v>
      </c>
      <c r="AG216" s="160">
        <f t="shared" si="296"/>
        <v>180</v>
      </c>
      <c r="AH216" s="160">
        <f t="shared" si="297"/>
        <v>225</v>
      </c>
      <c r="AI216" s="159">
        <f t="shared" si="320"/>
        <v>5.77</v>
      </c>
      <c r="AJ216" s="160">
        <f t="shared" si="321"/>
        <v>5.52</v>
      </c>
      <c r="AK216" s="160">
        <f t="shared" si="322"/>
        <v>5.52</v>
      </c>
      <c r="AL216" s="170">
        <f t="shared" si="298"/>
        <v>5.223919121045606E-2</v>
      </c>
      <c r="AM216" s="127">
        <f t="shared" si="299"/>
        <v>3.7602803418725017E-2</v>
      </c>
      <c r="AN216" s="127">
        <f t="shared" si="300"/>
        <v>3.3693158643027354E-2</v>
      </c>
      <c r="AO216" s="155">
        <f t="shared" si="301"/>
        <v>4.8489683465324784E-2</v>
      </c>
      <c r="AP216" s="154">
        <f t="shared" si="302"/>
        <v>3.9538032846448745E-2</v>
      </c>
      <c r="AQ216" s="154">
        <f t="shared" si="303"/>
        <v>3.706080051820515E-2</v>
      </c>
      <c r="AR216" s="128">
        <f t="shared" si="304"/>
        <v>0.11873480992344954</v>
      </c>
      <c r="AS216" s="127">
        <f t="shared" si="305"/>
        <v>0.11291299445695935</v>
      </c>
      <c r="AT216" s="127">
        <f t="shared" si="306"/>
        <v>0.10729145081103075</v>
      </c>
      <c r="AU216" s="128">
        <f t="shared" si="237"/>
        <v>0.1225</v>
      </c>
      <c r="AV216" s="127">
        <f t="shared" si="238"/>
        <v>0.1125</v>
      </c>
      <c r="AW216" s="127">
        <f t="shared" si="239"/>
        <v>0.105</v>
      </c>
      <c r="AX216" s="159">
        <f t="shared" si="307"/>
        <v>100</v>
      </c>
      <c r="AY216" s="160">
        <f t="shared" si="308"/>
        <v>180</v>
      </c>
      <c r="AZ216" s="160">
        <f t="shared" si="309"/>
        <v>225</v>
      </c>
      <c r="BA216" s="159">
        <f t="shared" si="310"/>
        <v>5.77</v>
      </c>
      <c r="BB216" s="160">
        <f t="shared" si="311"/>
        <v>5.52</v>
      </c>
      <c r="BC216" s="160">
        <f t="shared" si="312"/>
        <v>5.52</v>
      </c>
      <c r="BD216" s="171">
        <f t="shared" si="313"/>
        <v>111.22416666666668</v>
      </c>
      <c r="BE216" s="172">
        <f t="shared" si="314"/>
        <v>174.5575</v>
      </c>
      <c r="BF216" s="172">
        <f t="shared" si="315"/>
        <v>210.1825</v>
      </c>
      <c r="BG216" s="159">
        <f t="shared" si="316"/>
        <v>5.7449999999999983</v>
      </c>
      <c r="BH216" s="160">
        <f t="shared" si="317"/>
        <v>5.5483333333333329</v>
      </c>
      <c r="BI216" s="160">
        <f t="shared" si="318"/>
        <v>5.875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7">
        <v>3.4408614340570194E-3</v>
      </c>
      <c r="F217" s="10">
        <v>2.865095492163352E-3</v>
      </c>
      <c r="G217" s="10">
        <v>2.8158614340570193E-3</v>
      </c>
      <c r="H217" s="67">
        <f t="shared" si="282"/>
        <v>9.6763780332134175E-3</v>
      </c>
      <c r="I217" s="10">
        <f t="shared" si="283"/>
        <v>8.7345938235519061E-3</v>
      </c>
      <c r="J217" s="10">
        <f t="shared" si="284"/>
        <v>8.1648460519010424E-3</v>
      </c>
      <c r="K217" s="225">
        <v>0.1225</v>
      </c>
      <c r="L217" s="222">
        <v>0.11</v>
      </c>
      <c r="M217" s="222">
        <v>0.10249999999999999</v>
      </c>
      <c r="N217" s="78">
        <f t="shared" si="288"/>
        <v>100</v>
      </c>
      <c r="O217" s="40">
        <f t="shared" si="288"/>
        <v>180</v>
      </c>
      <c r="P217" s="40">
        <f t="shared" si="288"/>
        <v>225</v>
      </c>
      <c r="Q217" s="81">
        <v>5.77</v>
      </c>
      <c r="R217" s="47">
        <v>5.5</v>
      </c>
      <c r="S217" s="47">
        <v>5.51</v>
      </c>
      <c r="T217" s="161">
        <f t="shared" si="289"/>
        <v>8.515486778548409E-3</v>
      </c>
      <c r="U217" s="162">
        <f t="shared" si="290"/>
        <v>5.4786254770307075E-3</v>
      </c>
      <c r="V217" s="162">
        <f t="shared" si="291"/>
        <v>5.1821715838373805E-3</v>
      </c>
      <c r="W217" s="163">
        <f t="shared" si="198"/>
        <v>8.7309307741219033E-3</v>
      </c>
      <c r="X217" s="162">
        <f t="shared" si="292"/>
        <v>6.9945902164052498E-3</v>
      </c>
      <c r="Y217" s="162">
        <f t="shared" si="200"/>
        <v>6.8462073379873534E-3</v>
      </c>
      <c r="Z217" s="163">
        <f t="shared" si="293"/>
        <v>2.9310936996617132E-2</v>
      </c>
      <c r="AA217" s="162">
        <f t="shared" si="319"/>
        <v>2.7010354260849301E-2</v>
      </c>
      <c r="AB217" s="162">
        <f t="shared" si="294"/>
        <v>2.52750388557621E-2</v>
      </c>
      <c r="AC217" s="128">
        <f t="shared" si="234"/>
        <v>0.1225</v>
      </c>
      <c r="AD217" s="127">
        <f t="shared" si="235"/>
        <v>0.11</v>
      </c>
      <c r="AE217" s="127">
        <f t="shared" si="236"/>
        <v>0.10249999999999999</v>
      </c>
      <c r="AF217" s="159">
        <f t="shared" si="295"/>
        <v>100</v>
      </c>
      <c r="AG217" s="160">
        <f t="shared" si="296"/>
        <v>180</v>
      </c>
      <c r="AH217" s="160">
        <f t="shared" si="297"/>
        <v>225</v>
      </c>
      <c r="AI217" s="159">
        <f t="shared" si="320"/>
        <v>5.77</v>
      </c>
      <c r="AJ217" s="160">
        <f t="shared" si="321"/>
        <v>5.5</v>
      </c>
      <c r="AK217" s="160">
        <f t="shared" si="322"/>
        <v>5.51</v>
      </c>
      <c r="AL217" s="170">
        <f t="shared" si="298"/>
        <v>5.1730484261305998E-2</v>
      </c>
      <c r="AM217" s="127">
        <f t="shared" si="299"/>
        <v>3.7608845678830383E-2</v>
      </c>
      <c r="AN217" s="127">
        <f t="shared" si="300"/>
        <v>3.4369867070646709E-2</v>
      </c>
      <c r="AO217" s="155">
        <f t="shared" si="301"/>
        <v>4.4829156856989627E-2</v>
      </c>
      <c r="AP217" s="154">
        <f t="shared" si="302"/>
        <v>3.634354697404496E-2</v>
      </c>
      <c r="AQ217" s="154">
        <f t="shared" si="303"/>
        <v>3.4337277181663906E-2</v>
      </c>
      <c r="AR217" s="128">
        <f t="shared" si="304"/>
        <v>0.11998971914955714</v>
      </c>
      <c r="AS217" s="127">
        <f t="shared" si="305"/>
        <v>0.11312212975015479</v>
      </c>
      <c r="AT217" s="127">
        <f t="shared" si="306"/>
        <v>0.10687399809599851</v>
      </c>
      <c r="AU217" s="128">
        <f t="shared" si="237"/>
        <v>0.1225</v>
      </c>
      <c r="AV217" s="127">
        <f t="shared" si="238"/>
        <v>0.11</v>
      </c>
      <c r="AW217" s="127">
        <f t="shared" si="239"/>
        <v>0.10249999999999999</v>
      </c>
      <c r="AX217" s="159">
        <f t="shared" si="307"/>
        <v>100</v>
      </c>
      <c r="AY217" s="160">
        <f t="shared" si="308"/>
        <v>180</v>
      </c>
      <c r="AZ217" s="160">
        <f t="shared" si="309"/>
        <v>225</v>
      </c>
      <c r="BA217" s="159">
        <f t="shared" si="310"/>
        <v>5.77</v>
      </c>
      <c r="BB217" s="160">
        <f t="shared" si="311"/>
        <v>5.5</v>
      </c>
      <c r="BC217" s="160">
        <f t="shared" si="312"/>
        <v>5.51</v>
      </c>
      <c r="BD217" s="171">
        <f t="shared" si="313"/>
        <v>107.26055555555554</v>
      </c>
      <c r="BE217" s="172">
        <f t="shared" si="314"/>
        <v>176.70500000000001</v>
      </c>
      <c r="BF217" s="172">
        <f t="shared" si="315"/>
        <v>215.76750000000001</v>
      </c>
      <c r="BG217" s="159">
        <f t="shared" si="316"/>
        <v>5.7499999999999991</v>
      </c>
      <c r="BH217" s="160">
        <f t="shared" si="317"/>
        <v>5.5366666666666662</v>
      </c>
      <c r="BI217" s="160">
        <f t="shared" si="318"/>
        <v>5.8441666666666672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7">
        <v>4.7912536617771119E-3</v>
      </c>
      <c r="F218" s="10">
        <v>4.2154877198834449E-3</v>
      </c>
      <c r="G218" s="10">
        <v>4.1662536617771122E-3</v>
      </c>
      <c r="H218" s="67">
        <f t="shared" si="282"/>
        <v>9.6763780332134175E-3</v>
      </c>
      <c r="I218" s="10">
        <f t="shared" si="283"/>
        <v>8.7345938235519061E-3</v>
      </c>
      <c r="J218" s="10">
        <f t="shared" si="284"/>
        <v>8.1648460519010424E-3</v>
      </c>
      <c r="K218" s="225">
        <v>0.1225</v>
      </c>
      <c r="L218" s="222">
        <v>0.11</v>
      </c>
      <c r="M218" s="222">
        <v>0.10249999999999999</v>
      </c>
      <c r="N218" s="78">
        <f t="shared" si="288"/>
        <v>100</v>
      </c>
      <c r="O218" s="40">
        <f t="shared" si="288"/>
        <v>180</v>
      </c>
      <c r="P218" s="40">
        <f t="shared" si="288"/>
        <v>225</v>
      </c>
      <c r="Q218" s="81">
        <v>5.79</v>
      </c>
      <c r="R218" s="47">
        <v>5.5</v>
      </c>
      <c r="S218" s="47">
        <v>5.51</v>
      </c>
      <c r="T218" s="161">
        <f t="shared" si="289"/>
        <v>1.1265966275591177E-2</v>
      </c>
      <c r="U218" s="162">
        <f t="shared" si="290"/>
        <v>8.2235837874911066E-3</v>
      </c>
      <c r="V218" s="162">
        <f t="shared" si="291"/>
        <v>7.9265906265049146E-3</v>
      </c>
      <c r="W218" s="163">
        <f t="shared" si="198"/>
        <v>1.0012438394153333E-2</v>
      </c>
      <c r="X218" s="162">
        <f t="shared" si="292"/>
        <v>8.2746263808566312E-3</v>
      </c>
      <c r="Y218" s="162">
        <f t="shared" si="200"/>
        <v>8.1261177167033516E-3</v>
      </c>
      <c r="Z218" s="163">
        <f t="shared" si="293"/>
        <v>2.9310936996617132E-2</v>
      </c>
      <c r="AA218" s="162">
        <f t="shared" si="319"/>
        <v>2.6625777563341169E-2</v>
      </c>
      <c r="AB218" s="162">
        <f t="shared" si="294"/>
        <v>2.4888506612321004E-2</v>
      </c>
      <c r="AC218" s="128">
        <f t="shared" si="234"/>
        <v>0.1225</v>
      </c>
      <c r="AD218" s="127">
        <f t="shared" si="235"/>
        <v>0.11</v>
      </c>
      <c r="AE218" s="127">
        <f t="shared" si="236"/>
        <v>0.10249999999999999</v>
      </c>
      <c r="AF218" s="159">
        <f t="shared" si="295"/>
        <v>100</v>
      </c>
      <c r="AG218" s="160">
        <f t="shared" si="296"/>
        <v>180</v>
      </c>
      <c r="AH218" s="160">
        <f t="shared" si="297"/>
        <v>225</v>
      </c>
      <c r="AI218" s="159">
        <f t="shared" si="320"/>
        <v>5.79</v>
      </c>
      <c r="AJ218" s="160">
        <f t="shared" si="321"/>
        <v>5.5</v>
      </c>
      <c r="AK218" s="160">
        <f t="shared" si="322"/>
        <v>5.51</v>
      </c>
      <c r="AL218" s="170">
        <f t="shared" si="298"/>
        <v>5.165986157540492E-2</v>
      </c>
      <c r="AM218" s="127">
        <f t="shared" si="299"/>
        <v>3.8048469698179321E-2</v>
      </c>
      <c r="AN218" s="127">
        <f t="shared" si="300"/>
        <v>3.5480861771066241E-2</v>
      </c>
      <c r="AO218" s="155">
        <f t="shared" si="301"/>
        <v>4.4600168026590392E-2</v>
      </c>
      <c r="AP218" s="154">
        <f t="shared" si="302"/>
        <v>3.6554087264730306E-2</v>
      </c>
      <c r="AQ218" s="154">
        <f t="shared" si="303"/>
        <v>3.5012127106320845E-2</v>
      </c>
      <c r="AR218" s="128">
        <f t="shared" si="304"/>
        <v>0.12124603603470141</v>
      </c>
      <c r="AS218" s="127">
        <f t="shared" si="305"/>
        <v>0.11333130434343119</v>
      </c>
      <c r="AT218" s="127">
        <f t="shared" si="306"/>
        <v>0.1064567027620873</v>
      </c>
      <c r="AU218" s="128">
        <f t="shared" si="237"/>
        <v>0.1225</v>
      </c>
      <c r="AV218" s="127">
        <f t="shared" si="238"/>
        <v>0.11</v>
      </c>
      <c r="AW218" s="127">
        <f t="shared" si="239"/>
        <v>0.10249999999999999</v>
      </c>
      <c r="AX218" s="159">
        <f t="shared" si="307"/>
        <v>100</v>
      </c>
      <c r="AY218" s="160">
        <f t="shared" si="308"/>
        <v>180</v>
      </c>
      <c r="AZ218" s="160">
        <f t="shared" si="309"/>
        <v>225</v>
      </c>
      <c r="BA218" s="159">
        <f t="shared" si="310"/>
        <v>5.79</v>
      </c>
      <c r="BB218" s="160">
        <f t="shared" si="311"/>
        <v>5.5</v>
      </c>
      <c r="BC218" s="160">
        <f t="shared" si="312"/>
        <v>5.51</v>
      </c>
      <c r="BD218" s="171">
        <f t="shared" si="313"/>
        <v>103.51916666666666</v>
      </c>
      <c r="BE218" s="172">
        <f t="shared" si="314"/>
        <v>178.51916666666668</v>
      </c>
      <c r="BF218" s="172">
        <f t="shared" si="315"/>
        <v>220.70666666666668</v>
      </c>
      <c r="BG218" s="159">
        <f t="shared" si="316"/>
        <v>5.7566666666666668</v>
      </c>
      <c r="BH218" s="160">
        <f t="shared" si="317"/>
        <v>5.5274999999999999</v>
      </c>
      <c r="BI218" s="160">
        <f t="shared" si="318"/>
        <v>5.8050000000000006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7">
        <v>1.9894241369467726E-3</v>
      </c>
      <c r="F219" s="10">
        <v>1.4136581950531051E-3</v>
      </c>
      <c r="G219" s="10">
        <v>1.3644241369467724E-3</v>
      </c>
      <c r="H219" s="67">
        <f t="shared" si="282"/>
        <v>9.6763780332134175E-3</v>
      </c>
      <c r="I219" s="10">
        <f t="shared" si="283"/>
        <v>8.5450710394860963E-3</v>
      </c>
      <c r="J219" s="10">
        <f t="shared" si="284"/>
        <v>7.9741404289037643E-3</v>
      </c>
      <c r="K219" s="225">
        <v>0.1225</v>
      </c>
      <c r="L219" s="222">
        <v>0.1075</v>
      </c>
      <c r="M219" s="222">
        <v>0.1</v>
      </c>
      <c r="N219" s="78">
        <f t="shared" si="288"/>
        <v>100</v>
      </c>
      <c r="O219" s="40">
        <f t="shared" si="288"/>
        <v>180</v>
      </c>
      <c r="P219" s="40">
        <f t="shared" si="288"/>
        <v>225</v>
      </c>
      <c r="Q219" s="81">
        <v>5.79</v>
      </c>
      <c r="R219" s="47">
        <v>5.5</v>
      </c>
      <c r="S219" s="47">
        <v>5.51</v>
      </c>
      <c r="T219" s="161">
        <f t="shared" si="289"/>
        <v>1.364165207610224E-2</v>
      </c>
      <c r="U219" s="162">
        <f t="shared" si="290"/>
        <v>1.0594509220711368E-2</v>
      </c>
      <c r="V219" s="162">
        <f t="shared" si="291"/>
        <v>1.029705110255752E-2</v>
      </c>
      <c r="W219" s="163">
        <f t="shared" si="198"/>
        <v>1.0254435238922222E-2</v>
      </c>
      <c r="X219" s="162">
        <f t="shared" si="292"/>
        <v>8.516345780292367E-3</v>
      </c>
      <c r="Y219" s="162">
        <f t="shared" si="200"/>
        <v>8.3678133990237047E-3</v>
      </c>
      <c r="Z219" s="163">
        <f t="shared" si="293"/>
        <v>2.9310936996617132E-2</v>
      </c>
      <c r="AA219" s="162">
        <f t="shared" si="319"/>
        <v>2.6240479195508204E-2</v>
      </c>
      <c r="AB219" s="162">
        <f t="shared" si="294"/>
        <v>2.4501244095521013E-2</v>
      </c>
      <c r="AC219" s="128">
        <f t="shared" si="234"/>
        <v>0.1225</v>
      </c>
      <c r="AD219" s="127">
        <f t="shared" si="235"/>
        <v>0.1075</v>
      </c>
      <c r="AE219" s="127">
        <f t="shared" si="236"/>
        <v>0.1</v>
      </c>
      <c r="AF219" s="159">
        <f t="shared" si="295"/>
        <v>100</v>
      </c>
      <c r="AG219" s="160">
        <f t="shared" si="296"/>
        <v>180</v>
      </c>
      <c r="AH219" s="160">
        <f t="shared" si="297"/>
        <v>225</v>
      </c>
      <c r="AI219" s="159">
        <f t="shared" si="320"/>
        <v>5.79</v>
      </c>
      <c r="AJ219" s="160">
        <f t="shared" si="321"/>
        <v>5.5</v>
      </c>
      <c r="AK219" s="160">
        <f t="shared" si="322"/>
        <v>5.51</v>
      </c>
      <c r="AL219" s="170">
        <f t="shared" si="298"/>
        <v>5.0293059060776635E-2</v>
      </c>
      <c r="AM219" s="127">
        <f t="shared" si="299"/>
        <v>3.7206944962898447E-2</v>
      </c>
      <c r="AN219" s="127">
        <f t="shared" si="300"/>
        <v>3.5313910032994889E-2</v>
      </c>
      <c r="AO219" s="155">
        <f t="shared" si="301"/>
        <v>4.4558088976142329E-2</v>
      </c>
      <c r="AP219" s="154">
        <f t="shared" si="302"/>
        <v>3.6951579790136968E-2</v>
      </c>
      <c r="AQ219" s="154">
        <f t="shared" si="303"/>
        <v>3.5875527849581701E-2</v>
      </c>
      <c r="AR219" s="128">
        <f t="shared" si="304"/>
        <v>0.12208248024884205</v>
      </c>
      <c r="AS219" s="127">
        <f t="shared" si="305"/>
        <v>0.11312212975015434</v>
      </c>
      <c r="AT219" s="127">
        <f t="shared" si="306"/>
        <v>0.10583034503249156</v>
      </c>
      <c r="AU219" s="128">
        <f t="shared" si="237"/>
        <v>0.1225</v>
      </c>
      <c r="AV219" s="127">
        <f t="shared" si="238"/>
        <v>0.1075</v>
      </c>
      <c r="AW219" s="127">
        <f t="shared" si="239"/>
        <v>0.1</v>
      </c>
      <c r="AX219" s="159">
        <f t="shared" si="307"/>
        <v>100</v>
      </c>
      <c r="AY219" s="160">
        <f t="shared" si="308"/>
        <v>180</v>
      </c>
      <c r="AZ219" s="160">
        <f t="shared" si="309"/>
        <v>225</v>
      </c>
      <c r="BA219" s="159">
        <f t="shared" si="310"/>
        <v>5.79</v>
      </c>
      <c r="BB219" s="160">
        <f t="shared" si="311"/>
        <v>5.5</v>
      </c>
      <c r="BC219" s="160">
        <f t="shared" si="312"/>
        <v>5.51</v>
      </c>
      <c r="BD219" s="171">
        <f t="shared" si="313"/>
        <v>100</v>
      </c>
      <c r="BE219" s="172">
        <f t="shared" si="314"/>
        <v>180</v>
      </c>
      <c r="BF219" s="172">
        <f t="shared" si="315"/>
        <v>225</v>
      </c>
      <c r="BG219" s="159">
        <f t="shared" si="316"/>
        <v>5.7633333333333319</v>
      </c>
      <c r="BH219" s="160">
        <f t="shared" si="317"/>
        <v>5.5208333333333321</v>
      </c>
      <c r="BI219" s="160">
        <f t="shared" si="318"/>
        <v>5.7600000000000007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7">
        <v>5.4259040803247022E-3</v>
      </c>
      <c r="F220" s="10">
        <v>4.8501381384310352E-3</v>
      </c>
      <c r="G220" s="10">
        <v>4.8009040803247026E-3</v>
      </c>
      <c r="H220" s="67">
        <f t="shared" si="282"/>
        <v>9.6763780332134175E-3</v>
      </c>
      <c r="I220" s="10">
        <f t="shared" si="283"/>
        <v>8.355155683635207E-3</v>
      </c>
      <c r="J220" s="10">
        <f t="shared" si="284"/>
        <v>7.7830370878799737E-3</v>
      </c>
      <c r="K220" s="225">
        <v>0.1225</v>
      </c>
      <c r="L220" s="222">
        <v>0.105</v>
      </c>
      <c r="M220" s="222">
        <v>9.7500000000000003E-2</v>
      </c>
      <c r="N220" s="78">
        <v>100</v>
      </c>
      <c r="O220" s="40">
        <v>180</v>
      </c>
      <c r="P220" s="40">
        <v>225</v>
      </c>
      <c r="Q220" s="81">
        <v>5.81</v>
      </c>
      <c r="R220" s="47">
        <v>5.5</v>
      </c>
      <c r="S220" s="47">
        <v>5.51</v>
      </c>
      <c r="T220" s="161">
        <f t="shared" si="289"/>
        <v>1.288093788517819E-2</v>
      </c>
      <c r="U220" s="162">
        <f t="shared" si="290"/>
        <v>9.8353214036306369E-3</v>
      </c>
      <c r="V220" s="162">
        <f t="shared" si="291"/>
        <v>9.5380123701767072E-3</v>
      </c>
      <c r="W220" s="163">
        <f t="shared" si="198"/>
        <v>1.2252956740890886E-2</v>
      </c>
      <c r="X220" s="162">
        <f t="shared" si="292"/>
        <v>1.0512574350645787E-2</v>
      </c>
      <c r="Y220" s="162">
        <f t="shared" si="200"/>
        <v>1.0363845960633444E-2</v>
      </c>
      <c r="Z220" s="163">
        <f t="shared" si="293"/>
        <v>2.9310936996617132E-2</v>
      </c>
      <c r="AA220" s="162">
        <f t="shared" si="319"/>
        <v>2.5854456171298335E-2</v>
      </c>
      <c r="AB220" s="162">
        <f t="shared" si="294"/>
        <v>2.4113248263115006E-2</v>
      </c>
      <c r="AC220" s="128">
        <f t="shared" si="234"/>
        <v>0.1225</v>
      </c>
      <c r="AD220" s="127">
        <f t="shared" si="235"/>
        <v>0.105</v>
      </c>
      <c r="AE220" s="127">
        <f t="shared" si="236"/>
        <v>9.7500000000000003E-2</v>
      </c>
      <c r="AF220" s="159">
        <f t="shared" si="295"/>
        <v>100</v>
      </c>
      <c r="AG220" s="160">
        <f t="shared" si="296"/>
        <v>180</v>
      </c>
      <c r="AH220" s="160">
        <f t="shared" si="297"/>
        <v>225</v>
      </c>
      <c r="AI220" s="159">
        <f t="shared" si="320"/>
        <v>5.81</v>
      </c>
      <c r="AJ220" s="160">
        <f t="shared" si="321"/>
        <v>5.5</v>
      </c>
      <c r="AK220" s="160">
        <f t="shared" si="322"/>
        <v>5.51</v>
      </c>
      <c r="AL220" s="170">
        <f t="shared" si="298"/>
        <v>4.9153528967749605E-2</v>
      </c>
      <c r="AM220" s="127">
        <f t="shared" si="299"/>
        <v>3.6588236595278989E-2</v>
      </c>
      <c r="AN220" s="127">
        <f t="shared" si="300"/>
        <v>3.5367705747840317E-2</v>
      </c>
      <c r="AO220" s="155">
        <f t="shared" si="301"/>
        <v>4.5263489166494697E-2</v>
      </c>
      <c r="AP220" s="154">
        <f t="shared" si="302"/>
        <v>3.8090808697275991E-2</v>
      </c>
      <c r="AQ220" s="154">
        <f t="shared" si="303"/>
        <v>3.7479567741399045E-2</v>
      </c>
      <c r="AR220" s="128">
        <f t="shared" si="304"/>
        <v>0.12249999999999917</v>
      </c>
      <c r="AS220" s="127">
        <f t="shared" si="305"/>
        <v>0.11249483961573903</v>
      </c>
      <c r="AT220" s="127">
        <f t="shared" si="306"/>
        <v>0.10499480451791388</v>
      </c>
      <c r="AU220" s="128">
        <f t="shared" si="237"/>
        <v>0.1225</v>
      </c>
      <c r="AV220" s="127">
        <f t="shared" si="238"/>
        <v>0.105</v>
      </c>
      <c r="AW220" s="127">
        <f t="shared" si="239"/>
        <v>9.7500000000000003E-2</v>
      </c>
      <c r="AX220" s="159">
        <f t="shared" si="307"/>
        <v>100</v>
      </c>
      <c r="AY220" s="160">
        <f t="shared" si="308"/>
        <v>180</v>
      </c>
      <c r="AZ220" s="160">
        <f t="shared" si="309"/>
        <v>225</v>
      </c>
      <c r="BA220" s="159">
        <f t="shared" si="310"/>
        <v>5.81</v>
      </c>
      <c r="BB220" s="160">
        <f t="shared" si="311"/>
        <v>5.5</v>
      </c>
      <c r="BC220" s="160">
        <f t="shared" si="312"/>
        <v>5.51</v>
      </c>
      <c r="BD220" s="171">
        <f t="shared" si="313"/>
        <v>100</v>
      </c>
      <c r="BE220" s="172">
        <f t="shared" si="314"/>
        <v>180</v>
      </c>
      <c r="BF220" s="172">
        <f t="shared" si="315"/>
        <v>225</v>
      </c>
      <c r="BG220" s="159">
        <f t="shared" si="316"/>
        <v>5.7708333333333321</v>
      </c>
      <c r="BH220" s="160">
        <f t="shared" si="317"/>
        <v>5.5183333333333335</v>
      </c>
      <c r="BI220" s="160">
        <f t="shared" si="318"/>
        <v>5.6999999999999993</v>
      </c>
      <c r="BK220" s="160">
        <f>AVERAGE(L209:L220)*100</f>
        <v>11.25</v>
      </c>
    </row>
    <row r="221" spans="1:63">
      <c r="A221" s="53">
        <v>46023</v>
      </c>
      <c r="B221" s="12">
        <v>5.9867802550158146E-3</v>
      </c>
      <c r="C221" s="12">
        <v>4.8636268500021141E-3</v>
      </c>
      <c r="D221" s="12">
        <v>4.8888297685852865E-3</v>
      </c>
      <c r="E221" s="66">
        <v>5.1023638453490628E-3</v>
      </c>
      <c r="F221" s="12">
        <v>4.4605618996269476E-3</v>
      </c>
      <c r="G221" s="12">
        <v>4.4773638453490623E-3</v>
      </c>
      <c r="H221" s="66">
        <f t="shared" si="282"/>
        <v>9.4887929345830457E-3</v>
      </c>
      <c r="I221" s="12">
        <f t="shared" si="283"/>
        <v>8.1648460519010424E-3</v>
      </c>
      <c r="J221" s="12">
        <f t="shared" si="284"/>
        <v>7.5915342905825689E-3</v>
      </c>
      <c r="K221" s="226">
        <v>0.12</v>
      </c>
      <c r="L221" s="223">
        <v>0.10249999999999999</v>
      </c>
      <c r="M221" s="223">
        <v>9.5000000000000001E-2</v>
      </c>
      <c r="N221" s="79">
        <f>N232+(N$232-N$220)/12</f>
        <v>100</v>
      </c>
      <c r="O221" s="41">
        <f t="shared" ref="O221:P221" si="323">O232+(O$232-O$220)/12</f>
        <v>180</v>
      </c>
      <c r="P221" s="41">
        <f t="shared" si="323"/>
        <v>225</v>
      </c>
      <c r="Q221" s="80">
        <f>Q220+(Q$232-Q$220)/12</f>
        <v>5.81</v>
      </c>
      <c r="R221" s="46">
        <f>R220+(R$232-R$220)/COUNTA($A$221:$A$232)</f>
        <v>5.5</v>
      </c>
      <c r="S221" s="46">
        <f>S220+(S$232-S$220)/12</f>
        <v>5.51</v>
      </c>
      <c r="T221" s="164"/>
      <c r="U221" s="165"/>
      <c r="V221" s="165"/>
      <c r="W221" s="166"/>
      <c r="X221" s="165"/>
      <c r="Y221" s="165"/>
      <c r="Z221" s="166">
        <f t="shared" si="293"/>
        <v>2.9119704045308614E-2</v>
      </c>
      <c r="AA221" s="165">
        <f t="shared" si="319"/>
        <v>2.52750388557621E-2</v>
      </c>
      <c r="AB221" s="165">
        <f t="shared" si="294"/>
        <v>2.3530867145135748E-2</v>
      </c>
      <c r="AC221" s="177">
        <f t="shared" si="234"/>
        <v>0.12</v>
      </c>
      <c r="AD221" s="174">
        <f t="shared" si="235"/>
        <v>0.10249999999999999</v>
      </c>
      <c r="AE221" s="174">
        <f t="shared" si="236"/>
        <v>9.5000000000000001E-2</v>
      </c>
      <c r="AF221" s="167">
        <f t="shared" ref="AF221:AF231" si="324">N221</f>
        <v>100</v>
      </c>
      <c r="AG221" s="168">
        <f t="shared" ref="AG221:AG232" si="325">O221</f>
        <v>180</v>
      </c>
      <c r="AH221" s="168">
        <f t="shared" ref="AH221:AH232" si="326">P221</f>
        <v>225</v>
      </c>
      <c r="AI221" s="167">
        <f t="shared" si="320"/>
        <v>5.81</v>
      </c>
      <c r="AJ221" s="168">
        <f t="shared" si="321"/>
        <v>5.5</v>
      </c>
      <c r="AK221" s="168">
        <f t="shared" si="322"/>
        <v>5.51</v>
      </c>
      <c r="AL221" s="173"/>
      <c r="AM221" s="174"/>
      <c r="AN221" s="174"/>
      <c r="AO221" s="175"/>
      <c r="AP221" s="176"/>
      <c r="AQ221" s="176"/>
      <c r="AR221" s="177">
        <f t="shared" si="304"/>
        <v>0.12229145369962646</v>
      </c>
      <c r="AS221" s="174">
        <f t="shared" si="305"/>
        <v>0.11145013444540841</v>
      </c>
      <c r="AT221" s="174">
        <f t="shared" si="306"/>
        <v>0.10395007862146066</v>
      </c>
      <c r="AU221" s="177">
        <f t="shared" si="237"/>
        <v>0.12</v>
      </c>
      <c r="AV221" s="174">
        <f t="shared" si="238"/>
        <v>0.10249999999999999</v>
      </c>
      <c r="AW221" s="174">
        <f t="shared" si="239"/>
        <v>9.5000000000000001E-2</v>
      </c>
      <c r="AX221" s="167">
        <f t="shared" si="307"/>
        <v>100</v>
      </c>
      <c r="AY221" s="168">
        <f t="shared" si="308"/>
        <v>180</v>
      </c>
      <c r="AZ221" s="168">
        <f t="shared" si="309"/>
        <v>225</v>
      </c>
      <c r="BA221" s="167">
        <f t="shared" si="310"/>
        <v>5.81</v>
      </c>
      <c r="BB221" s="168">
        <f t="shared" si="311"/>
        <v>5.5</v>
      </c>
      <c r="BC221" s="168">
        <f t="shared" si="312"/>
        <v>5.51</v>
      </c>
      <c r="BD221" s="178">
        <f t="shared" si="313"/>
        <v>100</v>
      </c>
      <c r="BE221" s="179">
        <f t="shared" si="314"/>
        <v>180</v>
      </c>
      <c r="BF221" s="179">
        <f t="shared" si="315"/>
        <v>225</v>
      </c>
      <c r="BG221" s="167">
        <f t="shared" si="316"/>
        <v>5.7774999999999999</v>
      </c>
      <c r="BH221" s="168">
        <f t="shared" si="317"/>
        <v>5.5166666666666666</v>
      </c>
      <c r="BI221" s="168">
        <f t="shared" si="318"/>
        <v>5.649166666666666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7">
        <v>6.1480630854337231E-3</v>
      </c>
      <c r="F222" s="10">
        <v>5.5062611397116079E-3</v>
      </c>
      <c r="G222" s="10">
        <v>5.5230630854337225E-3</v>
      </c>
      <c r="H222" s="67">
        <f t="shared" si="282"/>
        <v>9.4887929345830457E-3</v>
      </c>
      <c r="I222" s="10">
        <f t="shared" si="283"/>
        <v>8.1648460519010424E-3</v>
      </c>
      <c r="J222" s="10">
        <f t="shared" si="284"/>
        <v>7.5915342905825689E-3</v>
      </c>
      <c r="K222" s="225">
        <v>0.12</v>
      </c>
      <c r="L222" s="222">
        <v>0.10249999999999999</v>
      </c>
      <c r="M222" s="222">
        <v>9.5000000000000001E-2</v>
      </c>
      <c r="N222" s="78">
        <f t="shared" ref="N222:N231" si="327">N221+(N$232-N$220)/12</f>
        <v>100</v>
      </c>
      <c r="O222" s="40">
        <f t="shared" ref="O222:O231" si="328">O221+(O$232-O$220)/12</f>
        <v>180</v>
      </c>
      <c r="P222" s="40">
        <f t="shared" ref="P222:P231" si="329">P221+(P$232-P$220)/12</f>
        <v>225</v>
      </c>
      <c r="Q222" s="81">
        <f t="shared" ref="Q222:Q231" si="330">Q221+(Q$232-Q$220)/12</f>
        <v>5.81</v>
      </c>
      <c r="R222" s="47">
        <f t="shared" ref="R222:R231" si="331">R221+(R$232-R$220)/COUNTA($A$221:$A$232)</f>
        <v>5.5</v>
      </c>
      <c r="S222" s="47">
        <f t="shared" ref="S222:S231" si="332">S221+(S$232-S$220)/12</f>
        <v>5.51</v>
      </c>
      <c r="T222" s="161"/>
      <c r="U222" s="162"/>
      <c r="V222" s="162"/>
      <c r="W222" s="163"/>
      <c r="X222" s="162"/>
      <c r="Y222" s="162"/>
      <c r="Z222" s="163">
        <f t="shared" si="293"/>
        <v>2.8928506622663441E-2</v>
      </c>
      <c r="AA222" s="162">
        <f t="shared" si="319"/>
        <v>2.4888506612321004E-2</v>
      </c>
      <c r="AB222" s="162">
        <f t="shared" si="294"/>
        <v>2.3142355995073638E-2</v>
      </c>
      <c r="AC222" s="128">
        <f t="shared" si="234"/>
        <v>0.12</v>
      </c>
      <c r="AD222" s="127">
        <f t="shared" si="235"/>
        <v>0.10249999999999999</v>
      </c>
      <c r="AE222" s="127">
        <f t="shared" si="236"/>
        <v>9.5000000000000001E-2</v>
      </c>
      <c r="AF222" s="159">
        <f t="shared" si="324"/>
        <v>100</v>
      </c>
      <c r="AG222" s="160">
        <f t="shared" si="325"/>
        <v>180</v>
      </c>
      <c r="AH222" s="160">
        <f t="shared" si="326"/>
        <v>225</v>
      </c>
      <c r="AI222" s="159">
        <f t="shared" si="320"/>
        <v>5.81</v>
      </c>
      <c r="AJ222" s="160">
        <f t="shared" si="321"/>
        <v>5.5</v>
      </c>
      <c r="AK222" s="160">
        <f t="shared" si="322"/>
        <v>5.51</v>
      </c>
      <c r="AL222" s="170"/>
      <c r="AM222" s="127"/>
      <c r="AN222" s="127"/>
      <c r="AO222" s="155"/>
      <c r="AP222" s="154"/>
      <c r="AQ222" s="154"/>
      <c r="AR222" s="128">
        <f t="shared" si="304"/>
        <v>0.12208294614451809</v>
      </c>
      <c r="AS222" s="127">
        <f t="shared" si="305"/>
        <v>0.11040641032133069</v>
      </c>
      <c r="AT222" s="127">
        <f t="shared" si="306"/>
        <v>0.10290634046919767</v>
      </c>
      <c r="AU222" s="128">
        <f t="shared" si="237"/>
        <v>0.12</v>
      </c>
      <c r="AV222" s="127">
        <f t="shared" si="238"/>
        <v>0.10249999999999999</v>
      </c>
      <c r="AW222" s="127">
        <f t="shared" si="239"/>
        <v>9.5000000000000001E-2</v>
      </c>
      <c r="AX222" s="159">
        <f t="shared" si="307"/>
        <v>100</v>
      </c>
      <c r="AY222" s="160">
        <f t="shared" si="308"/>
        <v>180</v>
      </c>
      <c r="AZ222" s="160">
        <f t="shared" si="309"/>
        <v>225</v>
      </c>
      <c r="BA222" s="159">
        <f t="shared" si="310"/>
        <v>5.81</v>
      </c>
      <c r="BB222" s="160">
        <f t="shared" si="311"/>
        <v>5.5</v>
      </c>
      <c r="BC222" s="160">
        <f t="shared" si="312"/>
        <v>5.51</v>
      </c>
      <c r="BD222" s="171">
        <f t="shared" si="313"/>
        <v>100</v>
      </c>
      <c r="BE222" s="172">
        <f t="shared" si="314"/>
        <v>180</v>
      </c>
      <c r="BF222" s="172">
        <f t="shared" si="315"/>
        <v>225</v>
      </c>
      <c r="BG222" s="159">
        <f t="shared" si="316"/>
        <v>5.7824999999999998</v>
      </c>
      <c r="BH222" s="160">
        <f t="shared" si="317"/>
        <v>5.5133333333333328</v>
      </c>
      <c r="BI222" s="160">
        <f t="shared" si="318"/>
        <v>5.6041666666666652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7">
        <v>2.8433944940990954E-3</v>
      </c>
      <c r="F223" s="10">
        <v>2.2015925483769806E-3</v>
      </c>
      <c r="G223" s="10">
        <v>2.2183944940990957E-3</v>
      </c>
      <c r="H223" s="67">
        <f t="shared" si="282"/>
        <v>9.300823618865417E-3</v>
      </c>
      <c r="I223" s="10">
        <f t="shared" si="283"/>
        <v>7.9741404289037643E-3</v>
      </c>
      <c r="J223" s="10">
        <f t="shared" si="284"/>
        <v>7.3996302871768282E-3</v>
      </c>
      <c r="K223" s="225">
        <v>0.11749999999999999</v>
      </c>
      <c r="L223" s="222">
        <v>0.1</v>
      </c>
      <c r="M223" s="222">
        <v>9.2499999999999999E-2</v>
      </c>
      <c r="N223" s="78">
        <f t="shared" si="327"/>
        <v>100</v>
      </c>
      <c r="O223" s="40">
        <f t="shared" si="328"/>
        <v>180</v>
      </c>
      <c r="P223" s="40">
        <f t="shared" si="329"/>
        <v>225</v>
      </c>
      <c r="Q223" s="81">
        <f t="shared" si="330"/>
        <v>5.81</v>
      </c>
      <c r="R223" s="47">
        <f t="shared" si="331"/>
        <v>5.5</v>
      </c>
      <c r="S223" s="47">
        <f t="shared" si="332"/>
        <v>5.51</v>
      </c>
      <c r="T223" s="161"/>
      <c r="U223" s="162"/>
      <c r="V223" s="162"/>
      <c r="W223" s="163"/>
      <c r="X223" s="162"/>
      <c r="Y223" s="162"/>
      <c r="Z223" s="163">
        <f t="shared" si="293"/>
        <v>2.8545791278303811E-2</v>
      </c>
      <c r="AA223" s="162">
        <f t="shared" si="319"/>
        <v>2.4501244095521013E-2</v>
      </c>
      <c r="AB223" s="162">
        <f t="shared" si="294"/>
        <v>2.2753105806352814E-2</v>
      </c>
      <c r="AC223" s="128">
        <f t="shared" si="234"/>
        <v>0.11749999999999999</v>
      </c>
      <c r="AD223" s="127">
        <f t="shared" si="235"/>
        <v>0.1</v>
      </c>
      <c r="AE223" s="127">
        <f t="shared" si="236"/>
        <v>9.2499999999999999E-2</v>
      </c>
      <c r="AF223" s="159">
        <f t="shared" si="324"/>
        <v>100</v>
      </c>
      <c r="AG223" s="160">
        <f t="shared" si="325"/>
        <v>180</v>
      </c>
      <c r="AH223" s="160">
        <f t="shared" si="326"/>
        <v>225</v>
      </c>
      <c r="AI223" s="159">
        <f t="shared" si="320"/>
        <v>5.81</v>
      </c>
      <c r="AJ223" s="160">
        <f t="shared" si="321"/>
        <v>5.5</v>
      </c>
      <c r="AK223" s="160">
        <f t="shared" si="322"/>
        <v>5.51</v>
      </c>
      <c r="AL223" s="170"/>
      <c r="AM223" s="127"/>
      <c r="AN223" s="127"/>
      <c r="AO223" s="155"/>
      <c r="AP223" s="154"/>
      <c r="AQ223" s="154"/>
      <c r="AR223" s="128">
        <f t="shared" si="304"/>
        <v>0.12166558151872553</v>
      </c>
      <c r="AS223" s="127">
        <f t="shared" si="305"/>
        <v>0.10915381781388667</v>
      </c>
      <c r="AT223" s="127">
        <f t="shared" si="306"/>
        <v>0.10165373024420132</v>
      </c>
      <c r="AU223" s="128">
        <f t="shared" si="237"/>
        <v>0.11749999999999999</v>
      </c>
      <c r="AV223" s="127">
        <f t="shared" si="238"/>
        <v>0.1</v>
      </c>
      <c r="AW223" s="127">
        <f t="shared" si="239"/>
        <v>9.2499999999999999E-2</v>
      </c>
      <c r="AX223" s="159">
        <f t="shared" si="307"/>
        <v>100</v>
      </c>
      <c r="AY223" s="160">
        <f t="shared" si="308"/>
        <v>180</v>
      </c>
      <c r="AZ223" s="160">
        <f t="shared" si="309"/>
        <v>225</v>
      </c>
      <c r="BA223" s="159">
        <f t="shared" si="310"/>
        <v>5.81</v>
      </c>
      <c r="BB223" s="160">
        <f t="shared" si="311"/>
        <v>5.5</v>
      </c>
      <c r="BC223" s="160">
        <f t="shared" si="312"/>
        <v>5.51</v>
      </c>
      <c r="BD223" s="171">
        <f t="shared" si="313"/>
        <v>100</v>
      </c>
      <c r="BE223" s="172">
        <f t="shared" si="314"/>
        <v>180</v>
      </c>
      <c r="BF223" s="172">
        <f t="shared" si="315"/>
        <v>225</v>
      </c>
      <c r="BG223" s="159">
        <f t="shared" si="316"/>
        <v>5.7875000000000005</v>
      </c>
      <c r="BH223" s="160">
        <f t="shared" si="317"/>
        <v>5.5108333333333333</v>
      </c>
      <c r="BI223" s="160">
        <f t="shared" si="318"/>
        <v>5.567499999999999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7">
        <v>4.5170466727393731E-3</v>
      </c>
      <c r="F224" s="10">
        <v>3.8752447270172584E-3</v>
      </c>
      <c r="G224" s="10">
        <v>3.8920466727393735E-3</v>
      </c>
      <c r="H224" s="67">
        <f t="shared" si="282"/>
        <v>9.300823618865417E-3</v>
      </c>
      <c r="I224" s="10">
        <f t="shared" si="283"/>
        <v>7.9741404289037643E-3</v>
      </c>
      <c r="J224" s="10">
        <f t="shared" si="284"/>
        <v>7.3996302871768282E-3</v>
      </c>
      <c r="K224" s="225">
        <v>0.11749999999999999</v>
      </c>
      <c r="L224" s="222">
        <v>0.1</v>
      </c>
      <c r="M224" s="222">
        <v>9.2499999999999999E-2</v>
      </c>
      <c r="N224" s="78">
        <f t="shared" si="327"/>
        <v>100</v>
      </c>
      <c r="O224" s="40">
        <f t="shared" si="328"/>
        <v>180</v>
      </c>
      <c r="P224" s="40">
        <f t="shared" si="329"/>
        <v>225</v>
      </c>
      <c r="Q224" s="81">
        <f t="shared" si="330"/>
        <v>5.81</v>
      </c>
      <c r="R224" s="47">
        <f t="shared" si="331"/>
        <v>5.5</v>
      </c>
      <c r="S224" s="47">
        <f t="shared" si="332"/>
        <v>5.51</v>
      </c>
      <c r="T224" s="161"/>
      <c r="U224" s="162"/>
      <c r="V224" s="162"/>
      <c r="W224" s="163"/>
      <c r="X224" s="162"/>
      <c r="Y224" s="162"/>
      <c r="Z224" s="163">
        <f t="shared" si="293"/>
        <v>2.8354273502253058E-2</v>
      </c>
      <c r="AA224" s="162">
        <f t="shared" si="319"/>
        <v>2.4307448260661557E-2</v>
      </c>
      <c r="AB224" s="162">
        <f t="shared" si="294"/>
        <v>2.2558314158328319E-2</v>
      </c>
      <c r="AC224" s="128">
        <f t="shared" si="234"/>
        <v>0.11749999999999999</v>
      </c>
      <c r="AD224" s="127">
        <f t="shared" si="235"/>
        <v>0.1</v>
      </c>
      <c r="AE224" s="127">
        <f t="shared" si="236"/>
        <v>9.2499999999999999E-2</v>
      </c>
      <c r="AF224" s="159">
        <f t="shared" si="324"/>
        <v>100</v>
      </c>
      <c r="AG224" s="160">
        <f t="shared" si="325"/>
        <v>180</v>
      </c>
      <c r="AH224" s="160">
        <f t="shared" si="326"/>
        <v>225</v>
      </c>
      <c r="AI224" s="159">
        <f t="shared" si="320"/>
        <v>5.81</v>
      </c>
      <c r="AJ224" s="160">
        <f t="shared" si="321"/>
        <v>5.5</v>
      </c>
      <c r="AK224" s="160">
        <f t="shared" si="322"/>
        <v>5.51</v>
      </c>
      <c r="AL224" s="170"/>
      <c r="AM224" s="127"/>
      <c r="AN224" s="127"/>
      <c r="AO224" s="155"/>
      <c r="AP224" s="154"/>
      <c r="AQ224" s="154"/>
      <c r="AR224" s="128">
        <f t="shared" si="304"/>
        <v>0.12124837213389061</v>
      </c>
      <c r="AS224" s="127">
        <f t="shared" si="305"/>
        <v>0.10790263829179203</v>
      </c>
      <c r="AT224" s="127">
        <f t="shared" si="306"/>
        <v>0.10040254265349269</v>
      </c>
      <c r="AU224" s="128">
        <f t="shared" si="237"/>
        <v>0.11749999999999999</v>
      </c>
      <c r="AV224" s="127">
        <f t="shared" si="238"/>
        <v>0.1</v>
      </c>
      <c r="AW224" s="127">
        <f t="shared" si="239"/>
        <v>9.2499999999999999E-2</v>
      </c>
      <c r="AX224" s="159">
        <f t="shared" si="307"/>
        <v>100</v>
      </c>
      <c r="AY224" s="160">
        <f t="shared" si="308"/>
        <v>180</v>
      </c>
      <c r="AZ224" s="160">
        <f t="shared" si="309"/>
        <v>225</v>
      </c>
      <c r="BA224" s="159">
        <f t="shared" si="310"/>
        <v>5.81</v>
      </c>
      <c r="BB224" s="160">
        <f t="shared" si="311"/>
        <v>5.5</v>
      </c>
      <c r="BC224" s="160">
        <f t="shared" si="312"/>
        <v>5.51</v>
      </c>
      <c r="BD224" s="171">
        <f t="shared" si="313"/>
        <v>100</v>
      </c>
      <c r="BE224" s="172">
        <f t="shared" si="314"/>
        <v>180</v>
      </c>
      <c r="BF224" s="172">
        <f t="shared" si="315"/>
        <v>225</v>
      </c>
      <c r="BG224" s="159">
        <f t="shared" si="316"/>
        <v>5.7908333333333344</v>
      </c>
      <c r="BH224" s="160">
        <f t="shared" si="317"/>
        <v>5.5075000000000003</v>
      </c>
      <c r="BI224" s="160">
        <f t="shared" si="318"/>
        <v>5.5391666666666657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7">
        <v>2.2456197666610119E-3</v>
      </c>
      <c r="F225" s="10">
        <v>1.6038178209388969E-3</v>
      </c>
      <c r="G225" s="10">
        <v>1.6206197666610118E-3</v>
      </c>
      <c r="H225" s="67">
        <f t="shared" si="282"/>
        <v>9.1124684369046083E-3</v>
      </c>
      <c r="I225" s="10">
        <f t="shared" si="283"/>
        <v>7.7830370878799737E-3</v>
      </c>
      <c r="J225" s="10">
        <f t="shared" si="284"/>
        <v>7.2073233161367156E-3</v>
      </c>
      <c r="K225" s="225">
        <v>0.115</v>
      </c>
      <c r="L225" s="222">
        <v>9.7500000000000003E-2</v>
      </c>
      <c r="M225" s="222">
        <v>0.09</v>
      </c>
      <c r="N225" s="78">
        <f t="shared" si="327"/>
        <v>100</v>
      </c>
      <c r="O225" s="40">
        <f t="shared" si="328"/>
        <v>180</v>
      </c>
      <c r="P225" s="40">
        <f t="shared" si="329"/>
        <v>225</v>
      </c>
      <c r="Q225" s="81">
        <f t="shared" si="330"/>
        <v>5.81</v>
      </c>
      <c r="R225" s="47">
        <f t="shared" si="331"/>
        <v>5.5</v>
      </c>
      <c r="S225" s="47">
        <f t="shared" si="332"/>
        <v>5.51</v>
      </c>
      <c r="T225" s="161"/>
      <c r="U225" s="162"/>
      <c r="V225" s="162"/>
      <c r="W225" s="163"/>
      <c r="X225" s="162"/>
      <c r="Y225" s="162"/>
      <c r="Z225" s="163">
        <f t="shared" si="293"/>
        <v>2.7970916194950846E-2</v>
      </c>
      <c r="AA225" s="162">
        <f t="shared" si="319"/>
        <v>2.3919525821993748E-2</v>
      </c>
      <c r="AB225" s="162">
        <f t="shared" si="294"/>
        <v>2.2168396108265487E-2</v>
      </c>
      <c r="AC225" s="128">
        <f t="shared" si="234"/>
        <v>0.115</v>
      </c>
      <c r="AD225" s="127">
        <f t="shared" si="235"/>
        <v>9.7500000000000003E-2</v>
      </c>
      <c r="AE225" s="127">
        <f t="shared" si="236"/>
        <v>0.09</v>
      </c>
      <c r="AF225" s="159">
        <f t="shared" si="324"/>
        <v>100</v>
      </c>
      <c r="AG225" s="160">
        <f t="shared" si="325"/>
        <v>180</v>
      </c>
      <c r="AH225" s="160">
        <f t="shared" si="326"/>
        <v>225</v>
      </c>
      <c r="AI225" s="159">
        <f t="shared" si="320"/>
        <v>5.81</v>
      </c>
      <c r="AJ225" s="160">
        <f t="shared" si="321"/>
        <v>5.5</v>
      </c>
      <c r="AK225" s="160">
        <f t="shared" si="322"/>
        <v>5.51</v>
      </c>
      <c r="AL225" s="170"/>
      <c r="AM225" s="127"/>
      <c r="AN225" s="127"/>
      <c r="AO225" s="155"/>
      <c r="AP225" s="154"/>
      <c r="AQ225" s="154"/>
      <c r="AR225" s="128">
        <f t="shared" si="304"/>
        <v>0.12062214898888302</v>
      </c>
      <c r="AS225" s="127">
        <f t="shared" si="305"/>
        <v>0.1064430581705651</v>
      </c>
      <c r="AT225" s="127">
        <f t="shared" si="306"/>
        <v>9.8942953946479673E-2</v>
      </c>
      <c r="AU225" s="128">
        <f t="shared" si="237"/>
        <v>0.115</v>
      </c>
      <c r="AV225" s="127">
        <f t="shared" si="238"/>
        <v>9.7500000000000003E-2</v>
      </c>
      <c r="AW225" s="127">
        <f t="shared" si="239"/>
        <v>0.09</v>
      </c>
      <c r="AX225" s="159">
        <f t="shared" si="307"/>
        <v>100</v>
      </c>
      <c r="AY225" s="160">
        <f t="shared" si="308"/>
        <v>180</v>
      </c>
      <c r="AZ225" s="160">
        <f t="shared" si="309"/>
        <v>225</v>
      </c>
      <c r="BA225" s="159">
        <f t="shared" si="310"/>
        <v>5.81</v>
      </c>
      <c r="BB225" s="160">
        <f t="shared" si="311"/>
        <v>5.5</v>
      </c>
      <c r="BC225" s="160">
        <f t="shared" si="312"/>
        <v>5.51</v>
      </c>
      <c r="BD225" s="171">
        <f t="shared" si="313"/>
        <v>100</v>
      </c>
      <c r="BE225" s="172">
        <f t="shared" si="314"/>
        <v>180</v>
      </c>
      <c r="BF225" s="172">
        <f t="shared" si="315"/>
        <v>225</v>
      </c>
      <c r="BG225" s="159">
        <f t="shared" si="316"/>
        <v>5.7941666666666682</v>
      </c>
      <c r="BH225" s="160">
        <f t="shared" si="317"/>
        <v>5.5049999999999999</v>
      </c>
      <c r="BI225" s="160">
        <f t="shared" si="318"/>
        <v>5.5208333333333321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7">
        <v>3.1136340674153707E-3</v>
      </c>
      <c r="F226" s="10">
        <v>2.4718321216932559E-3</v>
      </c>
      <c r="G226" s="10">
        <v>2.488634067415371E-3</v>
      </c>
      <c r="H226" s="67">
        <f t="shared" si="282"/>
        <v>8.9237257287477778E-3</v>
      </c>
      <c r="I226" s="10">
        <f t="shared" si="283"/>
        <v>7.5915342905825689E-3</v>
      </c>
      <c r="J226" s="10">
        <f t="shared" si="284"/>
        <v>7.0146116041400752E-3</v>
      </c>
      <c r="K226" s="225">
        <v>0.1125</v>
      </c>
      <c r="L226" s="222">
        <v>9.5000000000000001E-2</v>
      </c>
      <c r="M226" s="222">
        <v>8.7499999999999994E-2</v>
      </c>
      <c r="N226" s="78">
        <f t="shared" si="327"/>
        <v>100</v>
      </c>
      <c r="O226" s="40">
        <f t="shared" si="328"/>
        <v>180</v>
      </c>
      <c r="P226" s="40">
        <f t="shared" si="329"/>
        <v>225</v>
      </c>
      <c r="Q226" s="81">
        <f t="shared" si="330"/>
        <v>5.81</v>
      </c>
      <c r="R226" s="47">
        <f t="shared" si="331"/>
        <v>5.5</v>
      </c>
      <c r="S226" s="47">
        <f t="shared" si="332"/>
        <v>5.51</v>
      </c>
      <c r="T226" s="161"/>
      <c r="U226" s="162"/>
      <c r="V226" s="162"/>
      <c r="W226" s="163"/>
      <c r="X226" s="162"/>
      <c r="Y226" s="162"/>
      <c r="Z226" s="163">
        <f t="shared" si="293"/>
        <v>2.7586842730897398E-2</v>
      </c>
      <c r="AA226" s="162">
        <f t="shared" si="319"/>
        <v>2.3530867145135748E-2</v>
      </c>
      <c r="AB226" s="162">
        <f t="shared" si="294"/>
        <v>2.1777732941554717E-2</v>
      </c>
      <c r="AC226" s="128">
        <f t="shared" si="234"/>
        <v>0.1125</v>
      </c>
      <c r="AD226" s="127">
        <f t="shared" si="235"/>
        <v>9.5000000000000001E-2</v>
      </c>
      <c r="AE226" s="127">
        <f t="shared" si="236"/>
        <v>8.7499999999999994E-2</v>
      </c>
      <c r="AF226" s="159">
        <f t="shared" si="324"/>
        <v>100</v>
      </c>
      <c r="AG226" s="160">
        <f t="shared" si="325"/>
        <v>180</v>
      </c>
      <c r="AH226" s="160">
        <f t="shared" si="326"/>
        <v>225</v>
      </c>
      <c r="AI226" s="159">
        <f t="shared" si="320"/>
        <v>5.81</v>
      </c>
      <c r="AJ226" s="160">
        <f t="shared" si="321"/>
        <v>5.5</v>
      </c>
      <c r="AK226" s="160">
        <f t="shared" si="322"/>
        <v>5.51</v>
      </c>
      <c r="AL226" s="170"/>
      <c r="AM226" s="127"/>
      <c r="AN226" s="127"/>
      <c r="AO226" s="155"/>
      <c r="AP226" s="154"/>
      <c r="AQ226" s="154"/>
      <c r="AR226" s="128">
        <f t="shared" si="304"/>
        <v>0.11978679336284093</v>
      </c>
      <c r="AS226" s="127">
        <f t="shared" si="305"/>
        <v>0.10477542737541778</v>
      </c>
      <c r="AT226" s="127">
        <f t="shared" si="306"/>
        <v>9.7275316414881186E-2</v>
      </c>
      <c r="AU226" s="128">
        <f t="shared" si="237"/>
        <v>0.1125</v>
      </c>
      <c r="AV226" s="127">
        <f t="shared" si="238"/>
        <v>9.5000000000000001E-2</v>
      </c>
      <c r="AW226" s="127">
        <f t="shared" si="239"/>
        <v>8.7499999999999994E-2</v>
      </c>
      <c r="AX226" s="159">
        <f t="shared" si="307"/>
        <v>100</v>
      </c>
      <c r="AY226" s="160">
        <f t="shared" si="308"/>
        <v>180</v>
      </c>
      <c r="AZ226" s="160">
        <f t="shared" si="309"/>
        <v>225</v>
      </c>
      <c r="BA226" s="159">
        <f t="shared" si="310"/>
        <v>5.81</v>
      </c>
      <c r="BB226" s="160">
        <f t="shared" si="311"/>
        <v>5.5</v>
      </c>
      <c r="BC226" s="160">
        <f t="shared" si="312"/>
        <v>5.51</v>
      </c>
      <c r="BD226" s="171">
        <f t="shared" si="313"/>
        <v>100</v>
      </c>
      <c r="BE226" s="172">
        <f t="shared" si="314"/>
        <v>180</v>
      </c>
      <c r="BF226" s="172">
        <f t="shared" si="315"/>
        <v>225</v>
      </c>
      <c r="BG226" s="159">
        <f t="shared" si="316"/>
        <v>5.7966666666666669</v>
      </c>
      <c r="BH226" s="160">
        <f t="shared" si="317"/>
        <v>5.503333333333333</v>
      </c>
      <c r="BI226" s="160">
        <f t="shared" si="318"/>
        <v>5.5133333333333319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7">
        <v>3.3692030500716091E-3</v>
      </c>
      <c r="F227" s="10">
        <v>2.7274011043494943E-3</v>
      </c>
      <c r="G227" s="10">
        <v>2.7442030500716094E-3</v>
      </c>
      <c r="H227" s="67">
        <f t="shared" si="282"/>
        <v>8.9237257287477778E-3</v>
      </c>
      <c r="I227" s="10">
        <f t="shared" si="283"/>
        <v>7.5915342905825689E-3</v>
      </c>
      <c r="J227" s="10">
        <f t="shared" si="284"/>
        <v>7.0146116041400752E-3</v>
      </c>
      <c r="K227" s="225">
        <v>0.1125</v>
      </c>
      <c r="L227" s="222">
        <v>9.5000000000000001E-2</v>
      </c>
      <c r="M227" s="222">
        <v>8.7499999999999994E-2</v>
      </c>
      <c r="N227" s="78">
        <f t="shared" si="327"/>
        <v>100</v>
      </c>
      <c r="O227" s="40">
        <f t="shared" si="328"/>
        <v>180</v>
      </c>
      <c r="P227" s="40">
        <f t="shared" si="329"/>
        <v>225</v>
      </c>
      <c r="Q227" s="81">
        <f t="shared" si="330"/>
        <v>5.81</v>
      </c>
      <c r="R227" s="47">
        <f t="shared" si="331"/>
        <v>5.5</v>
      </c>
      <c r="S227" s="47">
        <f t="shared" si="332"/>
        <v>5.51</v>
      </c>
      <c r="T227" s="161"/>
      <c r="U227" s="162"/>
      <c r="V227" s="162"/>
      <c r="W227" s="163"/>
      <c r="X227" s="162"/>
      <c r="Y227" s="162"/>
      <c r="Z227" s="163">
        <f t="shared" si="293"/>
        <v>2.7202912765481368E-2</v>
      </c>
      <c r="AA227" s="162">
        <f t="shared" si="319"/>
        <v>2.3142355995073638E-2</v>
      </c>
      <c r="AB227" s="162">
        <f t="shared" si="294"/>
        <v>2.1387219082638964E-2</v>
      </c>
      <c r="AC227" s="128">
        <f t="shared" si="234"/>
        <v>0.1125</v>
      </c>
      <c r="AD227" s="127">
        <f t="shared" si="235"/>
        <v>9.5000000000000001E-2</v>
      </c>
      <c r="AE227" s="127">
        <f t="shared" si="236"/>
        <v>8.7499999999999994E-2</v>
      </c>
      <c r="AF227" s="159">
        <f t="shared" si="324"/>
        <v>100</v>
      </c>
      <c r="AG227" s="160">
        <f t="shared" si="325"/>
        <v>180</v>
      </c>
      <c r="AH227" s="160">
        <f t="shared" si="326"/>
        <v>225</v>
      </c>
      <c r="AI227" s="159">
        <f t="shared" si="320"/>
        <v>5.81</v>
      </c>
      <c r="AJ227" s="160">
        <f t="shared" si="321"/>
        <v>5.5</v>
      </c>
      <c r="AK227" s="160">
        <f t="shared" si="322"/>
        <v>5.51</v>
      </c>
      <c r="AL227" s="170"/>
      <c r="AM227" s="127"/>
      <c r="AN227" s="127"/>
      <c r="AO227" s="155"/>
      <c r="AP227" s="154"/>
      <c r="AQ227" s="154"/>
      <c r="AR227" s="128">
        <f t="shared" si="304"/>
        <v>0.11895206044358986</v>
      </c>
      <c r="AS227" s="127">
        <f t="shared" si="305"/>
        <v>0.10311031003313009</v>
      </c>
      <c r="AT227" s="127">
        <f t="shared" si="306"/>
        <v>9.561020951048782E-2</v>
      </c>
      <c r="AU227" s="128">
        <f t="shared" si="237"/>
        <v>0.1125</v>
      </c>
      <c r="AV227" s="127">
        <f t="shared" si="238"/>
        <v>9.5000000000000001E-2</v>
      </c>
      <c r="AW227" s="127">
        <f t="shared" si="239"/>
        <v>8.7499999999999994E-2</v>
      </c>
      <c r="AX227" s="159">
        <f t="shared" si="307"/>
        <v>100</v>
      </c>
      <c r="AY227" s="160">
        <f t="shared" si="308"/>
        <v>180</v>
      </c>
      <c r="AZ227" s="160">
        <f t="shared" si="309"/>
        <v>225</v>
      </c>
      <c r="BA227" s="159">
        <f t="shared" si="310"/>
        <v>5.81</v>
      </c>
      <c r="BB227" s="160">
        <f t="shared" si="311"/>
        <v>5.5</v>
      </c>
      <c r="BC227" s="160">
        <f t="shared" si="312"/>
        <v>5.51</v>
      </c>
      <c r="BD227" s="171">
        <f t="shared" si="313"/>
        <v>100</v>
      </c>
      <c r="BE227" s="172">
        <f t="shared" si="314"/>
        <v>180</v>
      </c>
      <c r="BF227" s="172">
        <f t="shared" si="315"/>
        <v>225</v>
      </c>
      <c r="BG227" s="159">
        <f t="shared" si="316"/>
        <v>5.8000000000000007</v>
      </c>
      <c r="BH227" s="160">
        <f t="shared" si="317"/>
        <v>5.501666666666666</v>
      </c>
      <c r="BI227" s="160">
        <f t="shared" si="318"/>
        <v>5.5108333333333315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7">
        <v>1.677323310667252E-3</v>
      </c>
      <c r="F228" s="10">
        <v>1.0355213649451372E-3</v>
      </c>
      <c r="G228" s="10">
        <v>1.0523233106672521E-3</v>
      </c>
      <c r="H228" s="67">
        <f t="shared" si="282"/>
        <v>8.7345938235519061E-3</v>
      </c>
      <c r="I228" s="10">
        <f t="shared" si="283"/>
        <v>7.3996302871768282E-3</v>
      </c>
      <c r="J228" s="10">
        <f t="shared" si="284"/>
        <v>6.8214933659622723E-3</v>
      </c>
      <c r="K228" s="225">
        <v>0.11</v>
      </c>
      <c r="L228" s="222">
        <v>9.2499999999999999E-2</v>
      </c>
      <c r="M228" s="222">
        <v>8.5000000000000006E-2</v>
      </c>
      <c r="N228" s="78">
        <f t="shared" si="327"/>
        <v>100</v>
      </c>
      <c r="O228" s="40">
        <f t="shared" si="328"/>
        <v>180</v>
      </c>
      <c r="P228" s="40">
        <f t="shared" si="329"/>
        <v>225</v>
      </c>
      <c r="Q228" s="81">
        <f t="shared" si="330"/>
        <v>5.81</v>
      </c>
      <c r="R228" s="47">
        <f t="shared" si="331"/>
        <v>5.5</v>
      </c>
      <c r="S228" s="47">
        <f t="shared" si="332"/>
        <v>5.51</v>
      </c>
      <c r="T228" s="161"/>
      <c r="U228" s="162"/>
      <c r="V228" s="162"/>
      <c r="W228" s="163"/>
      <c r="X228" s="162"/>
      <c r="Y228" s="162"/>
      <c r="Z228" s="163">
        <f t="shared" si="293"/>
        <v>2.6818263962065547E-2</v>
      </c>
      <c r="AA228" s="162">
        <f t="shared" si="319"/>
        <v>2.2753105806352814E-2</v>
      </c>
      <c r="AB228" s="162">
        <f t="shared" si="294"/>
        <v>2.0995957253297171E-2</v>
      </c>
      <c r="AC228" s="128">
        <f t="shared" si="234"/>
        <v>0.11</v>
      </c>
      <c r="AD228" s="127">
        <f t="shared" si="235"/>
        <v>9.2499999999999999E-2</v>
      </c>
      <c r="AE228" s="127">
        <f t="shared" si="236"/>
        <v>8.5000000000000006E-2</v>
      </c>
      <c r="AF228" s="159">
        <f t="shared" si="324"/>
        <v>100</v>
      </c>
      <c r="AG228" s="160">
        <f t="shared" si="325"/>
        <v>180</v>
      </c>
      <c r="AH228" s="160">
        <f t="shared" si="326"/>
        <v>225</v>
      </c>
      <c r="AI228" s="159">
        <f t="shared" si="320"/>
        <v>5.81</v>
      </c>
      <c r="AJ228" s="160">
        <f t="shared" si="321"/>
        <v>5.5</v>
      </c>
      <c r="AK228" s="160">
        <f t="shared" si="322"/>
        <v>5.51</v>
      </c>
      <c r="AL228" s="170"/>
      <c r="AM228" s="127"/>
      <c r="AN228" s="127"/>
      <c r="AO228" s="155"/>
      <c r="AP228" s="154"/>
      <c r="AQ228" s="154"/>
      <c r="AR228" s="128">
        <f t="shared" si="304"/>
        <v>0.11790834841385345</v>
      </c>
      <c r="AS228" s="127">
        <f t="shared" si="305"/>
        <v>0.10144393491259573</v>
      </c>
      <c r="AT228" s="127">
        <f t="shared" si="306"/>
        <v>9.3943836225526933E-2</v>
      </c>
      <c r="AU228" s="128">
        <f t="shared" si="237"/>
        <v>0.11</v>
      </c>
      <c r="AV228" s="127">
        <f t="shared" si="238"/>
        <v>9.2499999999999999E-2</v>
      </c>
      <c r="AW228" s="127">
        <f t="shared" si="239"/>
        <v>8.5000000000000006E-2</v>
      </c>
      <c r="AX228" s="159">
        <f t="shared" si="307"/>
        <v>100</v>
      </c>
      <c r="AY228" s="160">
        <f t="shared" si="308"/>
        <v>180</v>
      </c>
      <c r="AZ228" s="160">
        <f t="shared" si="309"/>
        <v>225</v>
      </c>
      <c r="BA228" s="159">
        <f t="shared" si="310"/>
        <v>5.81</v>
      </c>
      <c r="BB228" s="160">
        <f t="shared" si="311"/>
        <v>5.5</v>
      </c>
      <c r="BC228" s="160">
        <f t="shared" si="312"/>
        <v>5.51</v>
      </c>
      <c r="BD228" s="171">
        <f t="shared" si="313"/>
        <v>100</v>
      </c>
      <c r="BE228" s="172">
        <f t="shared" si="314"/>
        <v>180</v>
      </c>
      <c r="BF228" s="172">
        <f t="shared" si="315"/>
        <v>225</v>
      </c>
      <c r="BG228" s="159">
        <f t="shared" si="316"/>
        <v>5.8033333333333337</v>
      </c>
      <c r="BH228" s="160">
        <f t="shared" si="317"/>
        <v>5.5</v>
      </c>
      <c r="BI228" s="160">
        <f t="shared" si="318"/>
        <v>5.5099999999999989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7">
        <v>3.2423747162520691E-3</v>
      </c>
      <c r="F229" s="10">
        <v>2.6005727705299543E-3</v>
      </c>
      <c r="G229" s="10">
        <v>2.6173747162520694E-3</v>
      </c>
      <c r="H229" s="67">
        <f t="shared" si="282"/>
        <v>8.5450710394860963E-3</v>
      </c>
      <c r="I229" s="10">
        <f t="shared" si="283"/>
        <v>7.2073233161367156E-3</v>
      </c>
      <c r="J229" s="10">
        <f t="shared" si="284"/>
        <v>6.8214933659622723E-3</v>
      </c>
      <c r="K229" s="225">
        <v>0.1075</v>
      </c>
      <c r="L229" s="222">
        <v>0.09</v>
      </c>
      <c r="M229" s="222">
        <v>8.5000000000000006E-2</v>
      </c>
      <c r="N229" s="78">
        <f t="shared" si="327"/>
        <v>100</v>
      </c>
      <c r="O229" s="40">
        <f t="shared" si="328"/>
        <v>180</v>
      </c>
      <c r="P229" s="40">
        <f t="shared" si="329"/>
        <v>225</v>
      </c>
      <c r="Q229" s="81">
        <f t="shared" si="330"/>
        <v>5.81</v>
      </c>
      <c r="R229" s="47">
        <f t="shared" si="331"/>
        <v>5.5</v>
      </c>
      <c r="S229" s="47">
        <f t="shared" si="332"/>
        <v>5.51</v>
      </c>
      <c r="T229" s="161"/>
      <c r="U229" s="162"/>
      <c r="V229" s="162"/>
      <c r="W229" s="163"/>
      <c r="X229" s="162"/>
      <c r="Y229" s="162"/>
      <c r="Z229" s="163">
        <f t="shared" si="293"/>
        <v>2.6432893353015796E-2</v>
      </c>
      <c r="AA229" s="162">
        <f t="shared" si="319"/>
        <v>2.2363113479078933E-2</v>
      </c>
      <c r="AB229" s="162">
        <f t="shared" si="294"/>
        <v>2.0800157770171968E-2</v>
      </c>
      <c r="AC229" s="128">
        <f t="shared" si="234"/>
        <v>0.1075</v>
      </c>
      <c r="AD229" s="127">
        <f t="shared" si="235"/>
        <v>0.09</v>
      </c>
      <c r="AE229" s="127">
        <f t="shared" si="236"/>
        <v>8.5000000000000006E-2</v>
      </c>
      <c r="AF229" s="159">
        <f t="shared" si="324"/>
        <v>100</v>
      </c>
      <c r="AG229" s="160">
        <f t="shared" si="325"/>
        <v>180</v>
      </c>
      <c r="AH229" s="160">
        <f t="shared" si="326"/>
        <v>225</v>
      </c>
      <c r="AI229" s="159">
        <f t="shared" si="320"/>
        <v>5.81</v>
      </c>
      <c r="AJ229" s="160">
        <f t="shared" si="321"/>
        <v>5.5</v>
      </c>
      <c r="AK229" s="160">
        <f t="shared" si="322"/>
        <v>5.51</v>
      </c>
      <c r="AL229" s="170"/>
      <c r="AM229" s="127"/>
      <c r="AN229" s="127"/>
      <c r="AO229" s="155"/>
      <c r="AP229" s="154"/>
      <c r="AQ229" s="154"/>
      <c r="AR229" s="128">
        <f t="shared" si="304"/>
        <v>0.1166557712907057</v>
      </c>
      <c r="AS229" s="127">
        <f t="shared" si="305"/>
        <v>9.977629820452294E-2</v>
      </c>
      <c r="AT229" s="127">
        <f t="shared" si="306"/>
        <v>9.2486185330026283E-2</v>
      </c>
      <c r="AU229" s="128">
        <f t="shared" si="237"/>
        <v>0.1075</v>
      </c>
      <c r="AV229" s="127">
        <f t="shared" si="238"/>
        <v>0.09</v>
      </c>
      <c r="AW229" s="127">
        <f t="shared" si="239"/>
        <v>8.5000000000000006E-2</v>
      </c>
      <c r="AX229" s="159">
        <f t="shared" si="307"/>
        <v>100</v>
      </c>
      <c r="AY229" s="160">
        <f t="shared" si="308"/>
        <v>180</v>
      </c>
      <c r="AZ229" s="160">
        <f t="shared" si="309"/>
        <v>225</v>
      </c>
      <c r="BA229" s="159">
        <f t="shared" si="310"/>
        <v>5.81</v>
      </c>
      <c r="BB229" s="160">
        <f t="shared" si="311"/>
        <v>5.5</v>
      </c>
      <c r="BC229" s="160">
        <f t="shared" si="312"/>
        <v>5.51</v>
      </c>
      <c r="BD229" s="171">
        <f t="shared" si="313"/>
        <v>100</v>
      </c>
      <c r="BE229" s="172">
        <f t="shared" si="314"/>
        <v>180</v>
      </c>
      <c r="BF229" s="172">
        <f t="shared" si="315"/>
        <v>225</v>
      </c>
      <c r="BG229" s="159">
        <f t="shared" si="316"/>
        <v>5.8066666666666675</v>
      </c>
      <c r="BH229" s="160">
        <f t="shared" si="317"/>
        <v>5.5</v>
      </c>
      <c r="BI229" s="160">
        <f t="shared" si="318"/>
        <v>5.5099999999999989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7">
        <v>4.7941889644388192E-3</v>
      </c>
      <c r="F230" s="10">
        <v>4.152387018716704E-3</v>
      </c>
      <c r="G230" s="10">
        <v>4.1691889644388186E-3</v>
      </c>
      <c r="H230" s="67">
        <f t="shared" si="282"/>
        <v>8.5450710394860963E-3</v>
      </c>
      <c r="I230" s="10">
        <f t="shared" si="283"/>
        <v>7.2073233161367156E-3</v>
      </c>
      <c r="J230" s="10">
        <f t="shared" si="284"/>
        <v>6.8214933659622723E-3</v>
      </c>
      <c r="K230" s="225">
        <v>0.1075</v>
      </c>
      <c r="L230" s="222">
        <v>0.09</v>
      </c>
      <c r="M230" s="222">
        <v>8.5000000000000006E-2</v>
      </c>
      <c r="N230" s="78">
        <f t="shared" si="327"/>
        <v>100</v>
      </c>
      <c r="O230" s="40">
        <f t="shared" si="328"/>
        <v>180</v>
      </c>
      <c r="P230" s="40">
        <f t="shared" si="329"/>
        <v>225</v>
      </c>
      <c r="Q230" s="81">
        <f t="shared" si="330"/>
        <v>5.81</v>
      </c>
      <c r="R230" s="47">
        <f t="shared" si="331"/>
        <v>5.5</v>
      </c>
      <c r="S230" s="47">
        <f t="shared" si="332"/>
        <v>5.51</v>
      </c>
      <c r="T230" s="161"/>
      <c r="U230" s="162"/>
      <c r="V230" s="162"/>
      <c r="W230" s="163"/>
      <c r="X230" s="162"/>
      <c r="Y230" s="162"/>
      <c r="Z230" s="163">
        <f t="shared" si="293"/>
        <v>2.6047667375700634E-2</v>
      </c>
      <c r="AA230" s="162">
        <f t="shared" si="319"/>
        <v>2.1973269862197276E-2</v>
      </c>
      <c r="AB230" s="162">
        <f t="shared" si="294"/>
        <v>2.0604395836106182E-2</v>
      </c>
      <c r="AC230" s="128">
        <f t="shared" si="234"/>
        <v>0.1075</v>
      </c>
      <c r="AD230" s="127">
        <f t="shared" si="235"/>
        <v>0.09</v>
      </c>
      <c r="AE230" s="127">
        <f t="shared" si="236"/>
        <v>8.5000000000000006E-2</v>
      </c>
      <c r="AF230" s="159">
        <f t="shared" si="324"/>
        <v>100</v>
      </c>
      <c r="AG230" s="160">
        <f t="shared" si="325"/>
        <v>180</v>
      </c>
      <c r="AH230" s="160">
        <f t="shared" si="326"/>
        <v>225</v>
      </c>
      <c r="AI230" s="159">
        <f t="shared" si="320"/>
        <v>5.81</v>
      </c>
      <c r="AJ230" s="160">
        <f t="shared" si="321"/>
        <v>5.5</v>
      </c>
      <c r="AK230" s="160">
        <f t="shared" si="322"/>
        <v>5.51</v>
      </c>
      <c r="AL230" s="170"/>
      <c r="AM230" s="127"/>
      <c r="AN230" s="127"/>
      <c r="AO230" s="155"/>
      <c r="AP230" s="154"/>
      <c r="AQ230" s="154"/>
      <c r="AR230" s="128">
        <f t="shared" si="304"/>
        <v>0.1154045976363236</v>
      </c>
      <c r="AS230" s="127">
        <f t="shared" si="305"/>
        <v>9.8111186375022141E-2</v>
      </c>
      <c r="AT230" s="127">
        <f t="shared" si="306"/>
        <v>9.1030476715347808E-2</v>
      </c>
      <c r="AU230" s="128">
        <f t="shared" si="237"/>
        <v>0.1075</v>
      </c>
      <c r="AV230" s="127">
        <f t="shared" si="238"/>
        <v>0.09</v>
      </c>
      <c r="AW230" s="127">
        <f t="shared" si="239"/>
        <v>8.5000000000000006E-2</v>
      </c>
      <c r="AX230" s="159">
        <f t="shared" si="307"/>
        <v>100</v>
      </c>
      <c r="AY230" s="160">
        <f t="shared" si="308"/>
        <v>180</v>
      </c>
      <c r="AZ230" s="160">
        <f t="shared" si="309"/>
        <v>225</v>
      </c>
      <c r="BA230" s="159">
        <f t="shared" si="310"/>
        <v>5.81</v>
      </c>
      <c r="BB230" s="160">
        <f t="shared" si="311"/>
        <v>5.5</v>
      </c>
      <c r="BC230" s="160">
        <f t="shared" si="312"/>
        <v>5.51</v>
      </c>
      <c r="BD230" s="171">
        <f t="shared" si="313"/>
        <v>100</v>
      </c>
      <c r="BE230" s="172">
        <f t="shared" si="314"/>
        <v>180</v>
      </c>
      <c r="BF230" s="172">
        <f t="shared" si="315"/>
        <v>225</v>
      </c>
      <c r="BG230" s="159">
        <f t="shared" si="316"/>
        <v>5.8083333333333336</v>
      </c>
      <c r="BH230" s="160">
        <f t="shared" si="317"/>
        <v>5.5</v>
      </c>
      <c r="BI230" s="160">
        <f t="shared" si="318"/>
        <v>5.5099999999999989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7">
        <v>1.9581919268104931E-3</v>
      </c>
      <c r="F231" s="10">
        <v>1.3163899810883783E-3</v>
      </c>
      <c r="G231" s="10">
        <v>1.3331919268104932E-3</v>
      </c>
      <c r="H231" s="67">
        <f t="shared" si="282"/>
        <v>8.355155683635207E-3</v>
      </c>
      <c r="I231" s="10">
        <f t="shared" si="283"/>
        <v>7.2073233161367156E-3</v>
      </c>
      <c r="J231" s="10">
        <f t="shared" si="284"/>
        <v>6.8214933659622723E-3</v>
      </c>
      <c r="K231" s="225">
        <v>0.105</v>
      </c>
      <c r="L231" s="222">
        <v>0.09</v>
      </c>
      <c r="M231" s="222">
        <v>8.5000000000000006E-2</v>
      </c>
      <c r="N231" s="78">
        <f t="shared" si="327"/>
        <v>100</v>
      </c>
      <c r="O231" s="40">
        <f t="shared" si="328"/>
        <v>180</v>
      </c>
      <c r="P231" s="40">
        <f t="shared" si="329"/>
        <v>225</v>
      </c>
      <c r="Q231" s="81">
        <f t="shared" si="330"/>
        <v>5.81</v>
      </c>
      <c r="R231" s="47">
        <f t="shared" si="331"/>
        <v>5.5</v>
      </c>
      <c r="S231" s="47">
        <f t="shared" si="332"/>
        <v>5.51</v>
      </c>
      <c r="T231" s="161"/>
      <c r="U231" s="162"/>
      <c r="V231" s="162"/>
      <c r="W231" s="163"/>
      <c r="X231" s="162"/>
      <c r="Y231" s="162"/>
      <c r="Z231" s="163">
        <f t="shared" si="293"/>
        <v>2.5661716878157659E-2</v>
      </c>
      <c r="AA231" s="162">
        <f t="shared" si="319"/>
        <v>2.1778180864640895E-2</v>
      </c>
      <c r="AB231" s="162">
        <f t="shared" si="294"/>
        <v>2.0604395836106182E-2</v>
      </c>
      <c r="AC231" s="128">
        <f t="shared" si="234"/>
        <v>0.105</v>
      </c>
      <c r="AD231" s="127">
        <f t="shared" si="235"/>
        <v>0.09</v>
      </c>
      <c r="AE231" s="127">
        <f t="shared" si="236"/>
        <v>8.5000000000000006E-2</v>
      </c>
      <c r="AF231" s="159">
        <f t="shared" si="324"/>
        <v>100</v>
      </c>
      <c r="AG231" s="160">
        <f t="shared" si="325"/>
        <v>180</v>
      </c>
      <c r="AH231" s="160">
        <f t="shared" si="326"/>
        <v>225</v>
      </c>
      <c r="AI231" s="159">
        <f t="shared" si="320"/>
        <v>5.81</v>
      </c>
      <c r="AJ231" s="160">
        <f t="shared" si="321"/>
        <v>5.5</v>
      </c>
      <c r="AK231" s="160">
        <f t="shared" si="322"/>
        <v>5.51</v>
      </c>
      <c r="AL231" s="170"/>
      <c r="AM231" s="127"/>
      <c r="AN231" s="127"/>
      <c r="AO231" s="155"/>
      <c r="AP231" s="154"/>
      <c r="AQ231" s="154"/>
      <c r="AR231" s="128">
        <f t="shared" si="304"/>
        <v>0.11394502354379132</v>
      </c>
      <c r="AS231" s="127">
        <f t="shared" si="305"/>
        <v>9.6654636953741768E-2</v>
      </c>
      <c r="AT231" s="127">
        <f t="shared" si="306"/>
        <v>8.9782852372494615E-2</v>
      </c>
      <c r="AU231" s="128">
        <f t="shared" si="237"/>
        <v>0.105</v>
      </c>
      <c r="AV231" s="127">
        <f t="shared" si="238"/>
        <v>0.09</v>
      </c>
      <c r="AW231" s="127">
        <f t="shared" si="239"/>
        <v>8.5000000000000006E-2</v>
      </c>
      <c r="AX231" s="159">
        <f t="shared" si="307"/>
        <v>100</v>
      </c>
      <c r="AY231" s="160">
        <f t="shared" si="308"/>
        <v>180</v>
      </c>
      <c r="AZ231" s="160">
        <f t="shared" si="309"/>
        <v>225</v>
      </c>
      <c r="BA231" s="159">
        <f t="shared" si="310"/>
        <v>5.81</v>
      </c>
      <c r="BB231" s="160">
        <f t="shared" si="311"/>
        <v>5.5</v>
      </c>
      <c r="BC231" s="160">
        <f t="shared" si="312"/>
        <v>5.51</v>
      </c>
      <c r="BD231" s="171">
        <f t="shared" si="313"/>
        <v>100</v>
      </c>
      <c r="BE231" s="172">
        <f t="shared" si="314"/>
        <v>180</v>
      </c>
      <c r="BF231" s="172">
        <f t="shared" si="315"/>
        <v>225</v>
      </c>
      <c r="BG231" s="159">
        <f t="shared" si="316"/>
        <v>5.8100000000000014</v>
      </c>
      <c r="BH231" s="160">
        <f t="shared" si="317"/>
        <v>5.5</v>
      </c>
      <c r="BI231" s="160">
        <f t="shared" si="318"/>
        <v>5.5099999999999989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7">
        <v>5.3773694574890431E-3</v>
      </c>
      <c r="F232" s="10">
        <v>4.7355675117669279E-3</v>
      </c>
      <c r="G232" s="10">
        <v>4.7523694574890425E-3</v>
      </c>
      <c r="H232" s="67">
        <f t="shared" si="282"/>
        <v>8.355155683635207E-3</v>
      </c>
      <c r="I232" s="10">
        <f t="shared" si="283"/>
        <v>7.2073233161367156E-3</v>
      </c>
      <c r="J232" s="10">
        <f t="shared" si="284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3">O220</f>
        <v>180</v>
      </c>
      <c r="P232" s="40">
        <f t="shared" si="333"/>
        <v>225</v>
      </c>
      <c r="Q232" s="81">
        <f>Q220</f>
        <v>5.81</v>
      </c>
      <c r="R232" s="47">
        <f>R220</f>
        <v>5.5</v>
      </c>
      <c r="S232" s="47">
        <f>S220</f>
        <v>5.51</v>
      </c>
      <c r="T232" s="161"/>
      <c r="U232" s="162"/>
      <c r="V232" s="162"/>
      <c r="W232" s="163"/>
      <c r="X232" s="162"/>
      <c r="Y232" s="162"/>
      <c r="Z232" s="163">
        <f t="shared" si="293"/>
        <v>2.5468578350652304E-2</v>
      </c>
      <c r="AA232" s="162">
        <f t="shared" si="319"/>
        <v>2.1778180864640895E-2</v>
      </c>
      <c r="AB232" s="162">
        <f t="shared" si="294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5"/>
        <v>180</v>
      </c>
      <c r="AH232" s="160">
        <f t="shared" si="326"/>
        <v>225</v>
      </c>
      <c r="AI232" s="159">
        <f t="shared" si="320"/>
        <v>5.81</v>
      </c>
      <c r="AJ232" s="160">
        <f t="shared" si="321"/>
        <v>5.5</v>
      </c>
      <c r="AK232" s="160">
        <f t="shared" si="322"/>
        <v>5.51</v>
      </c>
      <c r="AL232" s="170"/>
      <c r="AM232" s="127"/>
      <c r="AN232" s="127"/>
      <c r="AO232" s="155"/>
      <c r="AP232" s="154"/>
      <c r="AQ232" s="154"/>
      <c r="AR232" s="128">
        <f t="shared" si="304"/>
        <v>0.11248735939186361</v>
      </c>
      <c r="AS232" s="127">
        <f>FVSCHEDULE(1,I221:I232)-1</f>
        <v>9.5406291387035935E-2</v>
      </c>
      <c r="AT232" s="127">
        <f t="shared" si="306"/>
        <v>8.8743071168218668E-2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8"/>
        <v>180</v>
      </c>
      <c r="AZ232" s="160">
        <f t="shared" si="309"/>
        <v>225</v>
      </c>
      <c r="BA232" s="159">
        <f t="shared" si="310"/>
        <v>5.81</v>
      </c>
      <c r="BB232" s="160">
        <f t="shared" si="311"/>
        <v>5.5</v>
      </c>
      <c r="BC232" s="160">
        <f t="shared" si="312"/>
        <v>5.51</v>
      </c>
      <c r="BD232" s="171">
        <f>AVERAGE(N221:N232)</f>
        <v>100</v>
      </c>
      <c r="BE232" s="172">
        <f t="shared" si="314"/>
        <v>180</v>
      </c>
      <c r="BF232" s="172">
        <f t="shared" si="315"/>
        <v>225</v>
      </c>
      <c r="BG232" s="159">
        <f t="shared" si="316"/>
        <v>5.8100000000000014</v>
      </c>
      <c r="BH232" s="160">
        <f t="shared" si="317"/>
        <v>5.5</v>
      </c>
      <c r="BI232" s="160">
        <f t="shared" si="318"/>
        <v>5.5099999999999989</v>
      </c>
      <c r="BK232" s="160">
        <f>AVERAGE(L221:L232)*100</f>
        <v>9.5416666666666661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4">(1+(K233))^(21/252)-1</f>
        <v>8.355155683635207E-3</v>
      </c>
      <c r="I233" s="12">
        <f t="shared" ref="I233:I244" si="335">(1+(L233))^(21/252)-1</f>
        <v>7.2073233161367156E-3</v>
      </c>
      <c r="J233" s="12">
        <f t="shared" ref="J233:J244" si="336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37">N221</f>
        <v>100</v>
      </c>
      <c r="O233" s="41">
        <f t="shared" si="337"/>
        <v>180</v>
      </c>
      <c r="P233" s="41">
        <f t="shared" si="337"/>
        <v>225</v>
      </c>
      <c r="Q233" s="80">
        <f t="shared" si="337"/>
        <v>5.81</v>
      </c>
      <c r="R233" s="46">
        <f t="shared" si="337"/>
        <v>5.5</v>
      </c>
      <c r="S233" s="46">
        <f t="shared" si="337"/>
        <v>5.51</v>
      </c>
      <c r="T233" s="164"/>
      <c r="U233" s="165"/>
      <c r="V233" s="165"/>
      <c r="W233" s="166"/>
      <c r="X233" s="165"/>
      <c r="Y233" s="165"/>
      <c r="Z233" s="166">
        <f t="shared" ref="Z233:Z244" si="338">FVSCHEDULE(1,H231:H233)-1</f>
        <v>2.5275476192341495E-2</v>
      </c>
      <c r="AA233" s="165">
        <f t="shared" ref="AA233:AA244" si="339">FVSCHEDULE(1,I231:I233)-1</f>
        <v>2.1778180864640895E-2</v>
      </c>
      <c r="AB233" s="165">
        <f t="shared" ref="AB233:AB244" si="340">FVSCHEDULE(1,J231:J233)-1</f>
        <v>2.0604395836106182E-2</v>
      </c>
      <c r="AC233" s="177">
        <f t="shared" ref="AC233:AC244" si="341">K233</f>
        <v>0.105</v>
      </c>
      <c r="AD233" s="174">
        <f t="shared" ref="AD233:AD244" si="342">L233</f>
        <v>0.09</v>
      </c>
      <c r="AE233" s="174">
        <f t="shared" ref="AE233:AE244" si="343">M233</f>
        <v>8.5000000000000006E-2</v>
      </c>
      <c r="AF233" s="167">
        <f t="shared" ref="AF233:AF244" si="344">N233</f>
        <v>100</v>
      </c>
      <c r="AG233" s="168">
        <f t="shared" ref="AG233:AG244" si="345">O233</f>
        <v>180</v>
      </c>
      <c r="AH233" s="168">
        <f t="shared" ref="AH233:AH244" si="346">P233</f>
        <v>225</v>
      </c>
      <c r="AI233" s="167">
        <f t="shared" ref="AI233:AI244" si="347">Q233</f>
        <v>5.81</v>
      </c>
      <c r="AJ233" s="168">
        <f t="shared" ref="AJ233:AJ244" si="348">R233</f>
        <v>5.5</v>
      </c>
      <c r="AK233" s="168">
        <f t="shared" ref="AK233:AK244" si="349">S233</f>
        <v>5.51</v>
      </c>
      <c r="AL233" s="173"/>
      <c r="AM233" s="174"/>
      <c r="AN233" s="174"/>
      <c r="AO233" s="175"/>
      <c r="AP233" s="176"/>
      <c r="AQ233" s="176"/>
      <c r="AR233" s="177">
        <f t="shared" ref="AR233:AR244" si="350">FVSCHEDULE(1,H222:H233)-1</f>
        <v>0.11123805665503017</v>
      </c>
      <c r="AS233" s="174">
        <f t="shared" ref="AS233:AS243" si="351">FVSCHEDULE(1,I222:I233)-1</f>
        <v>9.4365909515946145E-2</v>
      </c>
      <c r="AT233" s="174">
        <f t="shared" ref="AT233:AT244" si="352">FVSCHEDULE(1,J222:J233)-1</f>
        <v>8.7911011059865984E-2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3">N233</f>
        <v>100</v>
      </c>
      <c r="AY233" s="168">
        <f t="shared" ref="AY233:AY244" si="354">O233</f>
        <v>180</v>
      </c>
      <c r="AZ233" s="168">
        <f t="shared" ref="AZ233:AZ244" si="355">P233</f>
        <v>225</v>
      </c>
      <c r="BA233" s="167">
        <f t="shared" ref="BA233:BA244" si="356">Q233</f>
        <v>5.81</v>
      </c>
      <c r="BB233" s="168">
        <f t="shared" ref="BB233:BB244" si="357">R233</f>
        <v>5.5</v>
      </c>
      <c r="BC233" s="168">
        <f t="shared" ref="BC233:BC244" si="358">S233</f>
        <v>5.51</v>
      </c>
      <c r="BD233" s="178">
        <f t="shared" ref="BD233:BD244" si="359">AVERAGE(N222:N233)</f>
        <v>100</v>
      </c>
      <c r="BE233" s="179">
        <f t="shared" ref="BE233:BE244" si="360">AVERAGE(O222:O233)</f>
        <v>180</v>
      </c>
      <c r="BF233" s="179">
        <f t="shared" ref="BF233:BF244" si="361">AVERAGE(P222:P233)</f>
        <v>225</v>
      </c>
      <c r="BG233" s="167">
        <f t="shared" ref="BG233:BG244" si="362">AVERAGE(Q222:Q233)</f>
        <v>5.8100000000000014</v>
      </c>
      <c r="BH233" s="168">
        <f t="shared" ref="BH233:BH244" si="363">AVERAGE(R222:R233)</f>
        <v>5.5</v>
      </c>
      <c r="BI233" s="168">
        <f t="shared" ref="BI233:BI244" si="364">AVERAGE(S222:S233)</f>
        <v>5.5099999999999989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4"/>
        <v>8.355155683635207E-3</v>
      </c>
      <c r="I234" s="10">
        <f t="shared" si="335"/>
        <v>7.2073233161367156E-3</v>
      </c>
      <c r="J234" s="10">
        <f t="shared" si="336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5">N222</f>
        <v>100</v>
      </c>
      <c r="O234" s="40">
        <f t="shared" si="365"/>
        <v>180</v>
      </c>
      <c r="P234" s="40">
        <f t="shared" si="365"/>
        <v>225</v>
      </c>
      <c r="Q234" s="81">
        <f t="shared" si="365"/>
        <v>5.81</v>
      </c>
      <c r="R234" s="47">
        <f t="shared" si="365"/>
        <v>5.5</v>
      </c>
      <c r="S234" s="47">
        <f t="shared" si="365"/>
        <v>5.51</v>
      </c>
      <c r="T234" s="161"/>
      <c r="U234" s="162"/>
      <c r="V234" s="162"/>
      <c r="W234" s="163"/>
      <c r="X234" s="162"/>
      <c r="Y234" s="162"/>
      <c r="Z234" s="163">
        <f t="shared" si="338"/>
        <v>2.5275476192341495E-2</v>
      </c>
      <c r="AA234" s="162">
        <f t="shared" si="339"/>
        <v>2.1778180864640895E-2</v>
      </c>
      <c r="AB234" s="162">
        <f t="shared" si="340"/>
        <v>2.0604395836106182E-2</v>
      </c>
      <c r="AC234" s="128">
        <f t="shared" si="341"/>
        <v>0.105</v>
      </c>
      <c r="AD234" s="127">
        <f t="shared" si="342"/>
        <v>0.09</v>
      </c>
      <c r="AE234" s="127">
        <f t="shared" si="343"/>
        <v>8.5000000000000006E-2</v>
      </c>
      <c r="AF234" s="159">
        <f t="shared" si="344"/>
        <v>100</v>
      </c>
      <c r="AG234" s="160">
        <f t="shared" si="345"/>
        <v>180</v>
      </c>
      <c r="AH234" s="160">
        <f t="shared" si="346"/>
        <v>225</v>
      </c>
      <c r="AI234" s="159">
        <f t="shared" si="347"/>
        <v>5.81</v>
      </c>
      <c r="AJ234" s="160">
        <f t="shared" si="348"/>
        <v>5.5</v>
      </c>
      <c r="AK234" s="160">
        <f t="shared" si="349"/>
        <v>5.51</v>
      </c>
      <c r="AL234" s="170"/>
      <c r="AM234" s="127"/>
      <c r="AN234" s="127"/>
      <c r="AO234" s="155"/>
      <c r="AP234" s="154"/>
      <c r="AQ234" s="154"/>
      <c r="AR234" s="128">
        <f t="shared" si="350"/>
        <v>0.10999015686207403</v>
      </c>
      <c r="AS234" s="127">
        <f t="shared" si="351"/>
        <v>9.3326515766292362E-2</v>
      </c>
      <c r="AT234" s="127">
        <f t="shared" si="352"/>
        <v>8.7079586844446721E-2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3"/>
        <v>100</v>
      </c>
      <c r="AY234" s="160">
        <f t="shared" si="354"/>
        <v>180</v>
      </c>
      <c r="AZ234" s="160">
        <f t="shared" si="355"/>
        <v>225</v>
      </c>
      <c r="BA234" s="159">
        <f t="shared" si="356"/>
        <v>5.81</v>
      </c>
      <c r="BB234" s="160">
        <f t="shared" si="357"/>
        <v>5.5</v>
      </c>
      <c r="BC234" s="160">
        <f t="shared" si="358"/>
        <v>5.51</v>
      </c>
      <c r="BD234" s="171">
        <f t="shared" si="359"/>
        <v>100</v>
      </c>
      <c r="BE234" s="172">
        <f t="shared" si="360"/>
        <v>180</v>
      </c>
      <c r="BF234" s="172">
        <f t="shared" si="361"/>
        <v>225</v>
      </c>
      <c r="BG234" s="159">
        <f t="shared" si="362"/>
        <v>5.8100000000000014</v>
      </c>
      <c r="BH234" s="160">
        <f t="shared" si="363"/>
        <v>5.5</v>
      </c>
      <c r="BI234" s="160">
        <f t="shared" si="364"/>
        <v>5.5099999999999989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4"/>
        <v>8.355155683635207E-3</v>
      </c>
      <c r="I235" s="10">
        <f t="shared" si="335"/>
        <v>7.2073233161367156E-3</v>
      </c>
      <c r="J235" s="10">
        <f t="shared" si="336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66">N223</f>
        <v>100</v>
      </c>
      <c r="O235" s="40">
        <f t="shared" si="366"/>
        <v>180</v>
      </c>
      <c r="P235" s="40">
        <f t="shared" si="366"/>
        <v>225</v>
      </c>
      <c r="Q235" s="81">
        <f t="shared" si="366"/>
        <v>5.81</v>
      </c>
      <c r="R235" s="47">
        <f t="shared" si="366"/>
        <v>5.5</v>
      </c>
      <c r="S235" s="47">
        <f t="shared" si="366"/>
        <v>5.51</v>
      </c>
      <c r="T235" s="161"/>
      <c r="U235" s="162"/>
      <c r="V235" s="162"/>
      <c r="W235" s="163"/>
      <c r="X235" s="162"/>
      <c r="Y235" s="162"/>
      <c r="Z235" s="163">
        <f t="shared" si="338"/>
        <v>2.5275476192341495E-2</v>
      </c>
      <c r="AA235" s="162">
        <f t="shared" si="339"/>
        <v>2.1778180864640895E-2</v>
      </c>
      <c r="AB235" s="162">
        <f t="shared" si="340"/>
        <v>2.0604395836106182E-2</v>
      </c>
      <c r="AC235" s="128">
        <f t="shared" si="341"/>
        <v>0.105</v>
      </c>
      <c r="AD235" s="127">
        <f t="shared" si="342"/>
        <v>0.09</v>
      </c>
      <c r="AE235" s="127">
        <f t="shared" si="343"/>
        <v>8.5000000000000006E-2</v>
      </c>
      <c r="AF235" s="159">
        <f t="shared" si="344"/>
        <v>100</v>
      </c>
      <c r="AG235" s="160">
        <f t="shared" si="345"/>
        <v>180</v>
      </c>
      <c r="AH235" s="160">
        <f t="shared" si="346"/>
        <v>225</v>
      </c>
      <c r="AI235" s="159">
        <f t="shared" si="347"/>
        <v>5.81</v>
      </c>
      <c r="AJ235" s="160">
        <f t="shared" si="348"/>
        <v>5.5</v>
      </c>
      <c r="AK235" s="160">
        <f t="shared" si="349"/>
        <v>5.51</v>
      </c>
      <c r="AL235" s="170"/>
      <c r="AM235" s="127"/>
      <c r="AN235" s="127"/>
      <c r="AO235" s="155"/>
      <c r="AP235" s="154"/>
      <c r="AQ235" s="154"/>
      <c r="AR235" s="128">
        <f t="shared" si="350"/>
        <v>0.10895014770404909</v>
      </c>
      <c r="AS235" s="127">
        <f t="shared" si="351"/>
        <v>9.2494766767479142E-2</v>
      </c>
      <c r="AT235" s="127">
        <f t="shared" si="352"/>
        <v>8.6455722365486709E-2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3"/>
        <v>100</v>
      </c>
      <c r="AY235" s="160">
        <f t="shared" si="354"/>
        <v>180</v>
      </c>
      <c r="AZ235" s="160">
        <f t="shared" si="355"/>
        <v>225</v>
      </c>
      <c r="BA235" s="159">
        <f t="shared" si="356"/>
        <v>5.81</v>
      </c>
      <c r="BB235" s="160">
        <f t="shared" si="357"/>
        <v>5.5</v>
      </c>
      <c r="BC235" s="160">
        <f t="shared" si="358"/>
        <v>5.51</v>
      </c>
      <c r="BD235" s="171">
        <f t="shared" si="359"/>
        <v>100</v>
      </c>
      <c r="BE235" s="172">
        <f t="shared" si="360"/>
        <v>180</v>
      </c>
      <c r="BF235" s="172">
        <f t="shared" si="361"/>
        <v>225</v>
      </c>
      <c r="BG235" s="159">
        <f t="shared" si="362"/>
        <v>5.8100000000000014</v>
      </c>
      <c r="BH235" s="160">
        <f t="shared" si="363"/>
        <v>5.5</v>
      </c>
      <c r="BI235" s="160">
        <f t="shared" si="364"/>
        <v>5.5099999999999989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4"/>
        <v>8.355155683635207E-3</v>
      </c>
      <c r="I236" s="10">
        <f t="shared" si="335"/>
        <v>7.2073233161367156E-3</v>
      </c>
      <c r="J236" s="10">
        <f t="shared" si="336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67">N224</f>
        <v>100</v>
      </c>
      <c r="O236" s="40">
        <f t="shared" si="367"/>
        <v>180</v>
      </c>
      <c r="P236" s="40">
        <f t="shared" si="367"/>
        <v>225</v>
      </c>
      <c r="Q236" s="81">
        <f t="shared" si="367"/>
        <v>5.81</v>
      </c>
      <c r="R236" s="47">
        <f t="shared" si="367"/>
        <v>5.5</v>
      </c>
      <c r="S236" s="47">
        <f t="shared" si="367"/>
        <v>5.51</v>
      </c>
      <c r="T236" s="161"/>
      <c r="U236" s="162"/>
      <c r="V236" s="162"/>
      <c r="W236" s="163"/>
      <c r="X236" s="162"/>
      <c r="Y236" s="162"/>
      <c r="Z236" s="163">
        <f t="shared" si="338"/>
        <v>2.5275476192341495E-2</v>
      </c>
      <c r="AA236" s="162">
        <f t="shared" si="339"/>
        <v>2.1778180864640895E-2</v>
      </c>
      <c r="AB236" s="162">
        <f t="shared" si="340"/>
        <v>2.0604395836106182E-2</v>
      </c>
      <c r="AC236" s="128">
        <f t="shared" si="341"/>
        <v>0.105</v>
      </c>
      <c r="AD236" s="127">
        <f t="shared" si="342"/>
        <v>0.09</v>
      </c>
      <c r="AE236" s="127">
        <f t="shared" si="343"/>
        <v>8.5000000000000006E-2</v>
      </c>
      <c r="AF236" s="159">
        <f t="shared" si="344"/>
        <v>100</v>
      </c>
      <c r="AG236" s="160">
        <f t="shared" si="345"/>
        <v>180</v>
      </c>
      <c r="AH236" s="160">
        <f t="shared" si="346"/>
        <v>225</v>
      </c>
      <c r="AI236" s="159">
        <f t="shared" si="347"/>
        <v>5.81</v>
      </c>
      <c r="AJ236" s="160">
        <f t="shared" si="348"/>
        <v>5.5</v>
      </c>
      <c r="AK236" s="160">
        <f t="shared" si="349"/>
        <v>5.51</v>
      </c>
      <c r="AL236" s="170"/>
      <c r="AM236" s="127"/>
      <c r="AN236" s="127"/>
      <c r="AO236" s="155"/>
      <c r="AP236" s="154"/>
      <c r="AQ236" s="154"/>
      <c r="AR236" s="128">
        <f t="shared" si="350"/>
        <v>0.1079111129862409</v>
      </c>
      <c r="AS236" s="127">
        <f t="shared" si="351"/>
        <v>9.1663650522364692E-2</v>
      </c>
      <c r="AT236" s="127">
        <f t="shared" si="352"/>
        <v>8.5832215916327614E-2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3"/>
        <v>100</v>
      </c>
      <c r="AY236" s="160">
        <f t="shared" si="354"/>
        <v>180</v>
      </c>
      <c r="AZ236" s="160">
        <f t="shared" si="355"/>
        <v>225</v>
      </c>
      <c r="BA236" s="159">
        <f t="shared" si="356"/>
        <v>5.81</v>
      </c>
      <c r="BB236" s="160">
        <f t="shared" si="357"/>
        <v>5.5</v>
      </c>
      <c r="BC236" s="160">
        <f t="shared" si="358"/>
        <v>5.51</v>
      </c>
      <c r="BD236" s="171">
        <f t="shared" si="359"/>
        <v>100</v>
      </c>
      <c r="BE236" s="172">
        <f t="shared" si="360"/>
        <v>180</v>
      </c>
      <c r="BF236" s="172">
        <f t="shared" si="361"/>
        <v>225</v>
      </c>
      <c r="BG236" s="159">
        <f t="shared" si="362"/>
        <v>5.8100000000000014</v>
      </c>
      <c r="BH236" s="160">
        <f t="shared" si="363"/>
        <v>5.5</v>
      </c>
      <c r="BI236" s="160">
        <f t="shared" si="364"/>
        <v>5.5099999999999989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4"/>
        <v>8.355155683635207E-3</v>
      </c>
      <c r="I237" s="10">
        <f t="shared" si="335"/>
        <v>7.2073233161367156E-3</v>
      </c>
      <c r="J237" s="10">
        <f t="shared" si="336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68">N225</f>
        <v>100</v>
      </c>
      <c r="O237" s="40">
        <f t="shared" si="368"/>
        <v>180</v>
      </c>
      <c r="P237" s="40">
        <f t="shared" si="368"/>
        <v>225</v>
      </c>
      <c r="Q237" s="81">
        <f t="shared" si="368"/>
        <v>5.81</v>
      </c>
      <c r="R237" s="47">
        <f t="shared" si="368"/>
        <v>5.5</v>
      </c>
      <c r="S237" s="47">
        <f t="shared" si="368"/>
        <v>5.51</v>
      </c>
      <c r="T237" s="161"/>
      <c r="U237" s="162"/>
      <c r="V237" s="162"/>
      <c r="W237" s="163"/>
      <c r="X237" s="162"/>
      <c r="Y237" s="162"/>
      <c r="Z237" s="163">
        <f t="shared" si="338"/>
        <v>2.5275476192341495E-2</v>
      </c>
      <c r="AA237" s="162">
        <f t="shared" si="339"/>
        <v>2.1778180864640895E-2</v>
      </c>
      <c r="AB237" s="162">
        <f t="shared" si="340"/>
        <v>2.0604395836106182E-2</v>
      </c>
      <c r="AC237" s="128">
        <f t="shared" si="341"/>
        <v>0.105</v>
      </c>
      <c r="AD237" s="127">
        <f t="shared" si="342"/>
        <v>0.09</v>
      </c>
      <c r="AE237" s="127">
        <f t="shared" si="343"/>
        <v>8.5000000000000006E-2</v>
      </c>
      <c r="AF237" s="159">
        <f t="shared" si="344"/>
        <v>100</v>
      </c>
      <c r="AG237" s="160">
        <f t="shared" si="345"/>
        <v>180</v>
      </c>
      <c r="AH237" s="160">
        <f t="shared" si="346"/>
        <v>225</v>
      </c>
      <c r="AI237" s="159">
        <f t="shared" si="347"/>
        <v>5.81</v>
      </c>
      <c r="AJ237" s="160">
        <f t="shared" si="348"/>
        <v>5.5</v>
      </c>
      <c r="AK237" s="160">
        <f t="shared" si="349"/>
        <v>5.51</v>
      </c>
      <c r="AL237" s="170"/>
      <c r="AM237" s="127"/>
      <c r="AN237" s="127"/>
      <c r="AO237" s="155"/>
      <c r="AP237" s="154"/>
      <c r="AQ237" s="154"/>
      <c r="AR237" s="128">
        <f t="shared" si="350"/>
        <v>0.10707965441091138</v>
      </c>
      <c r="AS237" s="127">
        <f t="shared" si="351"/>
        <v>9.1040018475993412E-2</v>
      </c>
      <c r="AT237" s="127">
        <f t="shared" si="352"/>
        <v>8.5416267203419993E-2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3"/>
        <v>100</v>
      </c>
      <c r="AY237" s="160">
        <f t="shared" si="354"/>
        <v>180</v>
      </c>
      <c r="AZ237" s="160">
        <f t="shared" si="355"/>
        <v>225</v>
      </c>
      <c r="BA237" s="159">
        <f t="shared" si="356"/>
        <v>5.81</v>
      </c>
      <c r="BB237" s="160">
        <f t="shared" si="357"/>
        <v>5.5</v>
      </c>
      <c r="BC237" s="160">
        <f t="shared" si="358"/>
        <v>5.51</v>
      </c>
      <c r="BD237" s="171">
        <f t="shared" si="359"/>
        <v>100</v>
      </c>
      <c r="BE237" s="172">
        <f t="shared" si="360"/>
        <v>180</v>
      </c>
      <c r="BF237" s="172">
        <f t="shared" si="361"/>
        <v>225</v>
      </c>
      <c r="BG237" s="159">
        <f t="shared" si="362"/>
        <v>5.8100000000000014</v>
      </c>
      <c r="BH237" s="160">
        <f t="shared" si="363"/>
        <v>5.5</v>
      </c>
      <c r="BI237" s="160">
        <f t="shared" si="364"/>
        <v>5.5099999999999989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4"/>
        <v>8.355155683635207E-3</v>
      </c>
      <c r="I238" s="10">
        <f t="shared" si="335"/>
        <v>7.2073233161367156E-3</v>
      </c>
      <c r="J238" s="10">
        <f t="shared" si="336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9">N226</f>
        <v>100</v>
      </c>
      <c r="O238" s="40">
        <f t="shared" si="369"/>
        <v>180</v>
      </c>
      <c r="P238" s="40">
        <f t="shared" si="369"/>
        <v>225</v>
      </c>
      <c r="Q238" s="81">
        <f t="shared" si="369"/>
        <v>5.81</v>
      </c>
      <c r="R238" s="47">
        <f t="shared" si="369"/>
        <v>5.5</v>
      </c>
      <c r="S238" s="47">
        <f t="shared" si="369"/>
        <v>5.51</v>
      </c>
      <c r="T238" s="161"/>
      <c r="U238" s="162"/>
      <c r="V238" s="162"/>
      <c r="W238" s="163"/>
      <c r="X238" s="162"/>
      <c r="Y238" s="162"/>
      <c r="Z238" s="163">
        <f t="shared" si="338"/>
        <v>2.5275476192341495E-2</v>
      </c>
      <c r="AA238" s="162">
        <f t="shared" si="339"/>
        <v>2.1778180864640895E-2</v>
      </c>
      <c r="AB238" s="162">
        <f t="shared" si="340"/>
        <v>2.0604395836106182E-2</v>
      </c>
      <c r="AC238" s="128">
        <f t="shared" si="341"/>
        <v>0.105</v>
      </c>
      <c r="AD238" s="127">
        <f t="shared" si="342"/>
        <v>0.09</v>
      </c>
      <c r="AE238" s="127">
        <f t="shared" si="343"/>
        <v>8.5000000000000006E-2</v>
      </c>
      <c r="AF238" s="159">
        <f t="shared" si="344"/>
        <v>100</v>
      </c>
      <c r="AG238" s="160">
        <f t="shared" si="345"/>
        <v>180</v>
      </c>
      <c r="AH238" s="160">
        <f t="shared" si="346"/>
        <v>225</v>
      </c>
      <c r="AI238" s="159">
        <f t="shared" si="347"/>
        <v>5.81</v>
      </c>
      <c r="AJ238" s="160">
        <f t="shared" si="348"/>
        <v>5.5</v>
      </c>
      <c r="AK238" s="160">
        <f t="shared" si="349"/>
        <v>5.51</v>
      </c>
      <c r="AL238" s="170"/>
      <c r="AM238" s="127"/>
      <c r="AN238" s="127"/>
      <c r="AO238" s="155"/>
      <c r="AP238" s="154"/>
      <c r="AQ238" s="154"/>
      <c r="AR238" s="128">
        <f t="shared" si="350"/>
        <v>0.10645576946004787</v>
      </c>
      <c r="AS238" s="127">
        <f t="shared" si="351"/>
        <v>9.0623987242708814E-2</v>
      </c>
      <c r="AT238" s="127">
        <f t="shared" si="352"/>
        <v>8.5208113642591066E-2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3"/>
        <v>100</v>
      </c>
      <c r="AY238" s="160">
        <f t="shared" si="354"/>
        <v>180</v>
      </c>
      <c r="AZ238" s="160">
        <f t="shared" si="355"/>
        <v>225</v>
      </c>
      <c r="BA238" s="159">
        <f t="shared" si="356"/>
        <v>5.81</v>
      </c>
      <c r="BB238" s="160">
        <f t="shared" si="357"/>
        <v>5.5</v>
      </c>
      <c r="BC238" s="160">
        <f t="shared" si="358"/>
        <v>5.51</v>
      </c>
      <c r="BD238" s="171">
        <f t="shared" si="359"/>
        <v>100</v>
      </c>
      <c r="BE238" s="172">
        <f t="shared" si="360"/>
        <v>180</v>
      </c>
      <c r="BF238" s="172">
        <f t="shared" si="361"/>
        <v>225</v>
      </c>
      <c r="BG238" s="159">
        <f t="shared" si="362"/>
        <v>5.8100000000000014</v>
      </c>
      <c r="BH238" s="160">
        <f t="shared" si="363"/>
        <v>5.5</v>
      </c>
      <c r="BI238" s="160">
        <f t="shared" si="364"/>
        <v>5.5099999999999989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4"/>
        <v>8.355155683635207E-3</v>
      </c>
      <c r="I239" s="10">
        <f t="shared" si="335"/>
        <v>7.2073233161367156E-3</v>
      </c>
      <c r="J239" s="10">
        <f t="shared" si="336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70">N227</f>
        <v>100</v>
      </c>
      <c r="O239" s="40">
        <f t="shared" si="370"/>
        <v>180</v>
      </c>
      <c r="P239" s="40">
        <f t="shared" si="370"/>
        <v>225</v>
      </c>
      <c r="Q239" s="81">
        <f t="shared" si="370"/>
        <v>5.81</v>
      </c>
      <c r="R239" s="47">
        <f t="shared" si="370"/>
        <v>5.5</v>
      </c>
      <c r="S239" s="47">
        <f t="shared" si="370"/>
        <v>5.51</v>
      </c>
      <c r="T239" s="161"/>
      <c r="U239" s="162"/>
      <c r="V239" s="162"/>
      <c r="W239" s="163"/>
      <c r="X239" s="162"/>
      <c r="Y239" s="162"/>
      <c r="Z239" s="163">
        <f t="shared" si="338"/>
        <v>2.5275476192341495E-2</v>
      </c>
      <c r="AA239" s="162">
        <f t="shared" si="339"/>
        <v>2.1778180864640895E-2</v>
      </c>
      <c r="AB239" s="162">
        <f t="shared" si="340"/>
        <v>2.0604395836106182E-2</v>
      </c>
      <c r="AC239" s="128">
        <f t="shared" si="341"/>
        <v>0.105</v>
      </c>
      <c r="AD239" s="127">
        <f t="shared" si="342"/>
        <v>0.09</v>
      </c>
      <c r="AE239" s="127">
        <f t="shared" si="343"/>
        <v>8.5000000000000006E-2</v>
      </c>
      <c r="AF239" s="159">
        <f t="shared" si="344"/>
        <v>100</v>
      </c>
      <c r="AG239" s="160">
        <f t="shared" si="345"/>
        <v>180</v>
      </c>
      <c r="AH239" s="160">
        <f t="shared" si="346"/>
        <v>225</v>
      </c>
      <c r="AI239" s="159">
        <f t="shared" si="347"/>
        <v>5.81</v>
      </c>
      <c r="AJ239" s="160">
        <f t="shared" si="348"/>
        <v>5.5</v>
      </c>
      <c r="AK239" s="160">
        <f t="shared" si="349"/>
        <v>5.51</v>
      </c>
      <c r="AL239" s="170"/>
      <c r="AM239" s="127"/>
      <c r="AN239" s="127"/>
      <c r="AO239" s="155"/>
      <c r="AP239" s="154"/>
      <c r="AQ239" s="154"/>
      <c r="AR239" s="128">
        <f t="shared" si="350"/>
        <v>0.10583223609403203</v>
      </c>
      <c r="AS239" s="127">
        <f t="shared" si="351"/>
        <v>9.0208114648872684E-2</v>
      </c>
      <c r="AT239" s="127">
        <f t="shared" si="352"/>
        <v>8.5000000000000853E-2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3"/>
        <v>100</v>
      </c>
      <c r="AY239" s="160">
        <f t="shared" si="354"/>
        <v>180</v>
      </c>
      <c r="AZ239" s="160">
        <f t="shared" si="355"/>
        <v>225</v>
      </c>
      <c r="BA239" s="159">
        <f t="shared" si="356"/>
        <v>5.81</v>
      </c>
      <c r="BB239" s="160">
        <f t="shared" si="357"/>
        <v>5.5</v>
      </c>
      <c r="BC239" s="160">
        <f t="shared" si="358"/>
        <v>5.51</v>
      </c>
      <c r="BD239" s="171">
        <f t="shared" si="359"/>
        <v>100</v>
      </c>
      <c r="BE239" s="172">
        <f t="shared" si="360"/>
        <v>180</v>
      </c>
      <c r="BF239" s="172">
        <f t="shared" si="361"/>
        <v>225</v>
      </c>
      <c r="BG239" s="159">
        <f t="shared" si="362"/>
        <v>5.8100000000000014</v>
      </c>
      <c r="BH239" s="160">
        <f t="shared" si="363"/>
        <v>5.5</v>
      </c>
      <c r="BI239" s="160">
        <f t="shared" si="364"/>
        <v>5.5099999999999989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4"/>
        <v>8.355155683635207E-3</v>
      </c>
      <c r="I240" s="10">
        <f t="shared" si="335"/>
        <v>7.2073233161367156E-3</v>
      </c>
      <c r="J240" s="10">
        <f t="shared" si="336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71">N228</f>
        <v>100</v>
      </c>
      <c r="O240" s="40">
        <f t="shared" si="371"/>
        <v>180</v>
      </c>
      <c r="P240" s="40">
        <f t="shared" si="371"/>
        <v>225</v>
      </c>
      <c r="Q240" s="81">
        <f t="shared" si="371"/>
        <v>5.81</v>
      </c>
      <c r="R240" s="47">
        <f t="shared" si="371"/>
        <v>5.5</v>
      </c>
      <c r="S240" s="47">
        <f t="shared" si="371"/>
        <v>5.51</v>
      </c>
      <c r="T240" s="161"/>
      <c r="U240" s="162"/>
      <c r="V240" s="162"/>
      <c r="W240" s="163"/>
      <c r="X240" s="162"/>
      <c r="Y240" s="162"/>
      <c r="Z240" s="163">
        <f t="shared" si="338"/>
        <v>2.5275476192341495E-2</v>
      </c>
      <c r="AA240" s="162">
        <f t="shared" si="339"/>
        <v>2.1778180864640895E-2</v>
      </c>
      <c r="AB240" s="162">
        <f t="shared" si="340"/>
        <v>2.0604395836106182E-2</v>
      </c>
      <c r="AC240" s="128">
        <f t="shared" si="341"/>
        <v>0.105</v>
      </c>
      <c r="AD240" s="127">
        <f t="shared" si="342"/>
        <v>0.09</v>
      </c>
      <c r="AE240" s="127">
        <f t="shared" si="343"/>
        <v>8.5000000000000006E-2</v>
      </c>
      <c r="AF240" s="159">
        <f t="shared" si="344"/>
        <v>100</v>
      </c>
      <c r="AG240" s="160">
        <f t="shared" si="345"/>
        <v>180</v>
      </c>
      <c r="AH240" s="160">
        <f t="shared" si="346"/>
        <v>225</v>
      </c>
      <c r="AI240" s="159">
        <f t="shared" si="347"/>
        <v>5.81</v>
      </c>
      <c r="AJ240" s="160">
        <f t="shared" si="348"/>
        <v>5.5</v>
      </c>
      <c r="AK240" s="160">
        <f t="shared" si="349"/>
        <v>5.51</v>
      </c>
      <c r="AL240" s="170"/>
      <c r="AM240" s="127"/>
      <c r="AN240" s="127"/>
      <c r="AO240" s="155"/>
      <c r="AP240" s="154"/>
      <c r="AQ240" s="154"/>
      <c r="AR240" s="128">
        <f t="shared" si="350"/>
        <v>0.10541627442354651</v>
      </c>
      <c r="AS240" s="127">
        <f t="shared" si="351"/>
        <v>8.9999999999999858E-2</v>
      </c>
      <c r="AT240" s="127">
        <f t="shared" si="352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3"/>
        <v>100</v>
      </c>
      <c r="AY240" s="160">
        <f t="shared" si="354"/>
        <v>180</v>
      </c>
      <c r="AZ240" s="160">
        <f t="shared" si="355"/>
        <v>225</v>
      </c>
      <c r="BA240" s="159">
        <f t="shared" si="356"/>
        <v>5.81</v>
      </c>
      <c r="BB240" s="160">
        <f t="shared" si="357"/>
        <v>5.5</v>
      </c>
      <c r="BC240" s="160">
        <f t="shared" si="358"/>
        <v>5.51</v>
      </c>
      <c r="BD240" s="171">
        <f t="shared" si="359"/>
        <v>100</v>
      </c>
      <c r="BE240" s="172">
        <f t="shared" si="360"/>
        <v>180</v>
      </c>
      <c r="BF240" s="172">
        <f t="shared" si="361"/>
        <v>225</v>
      </c>
      <c r="BG240" s="159">
        <f t="shared" si="362"/>
        <v>5.8100000000000014</v>
      </c>
      <c r="BH240" s="160">
        <f t="shared" si="363"/>
        <v>5.5</v>
      </c>
      <c r="BI240" s="160">
        <f t="shared" si="364"/>
        <v>5.5099999999999989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4"/>
        <v>8.355155683635207E-3</v>
      </c>
      <c r="I241" s="10">
        <f t="shared" si="335"/>
        <v>7.2073233161367156E-3</v>
      </c>
      <c r="J241" s="10">
        <f t="shared" si="336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2">N229</f>
        <v>100</v>
      </c>
      <c r="O241" s="40">
        <f t="shared" si="372"/>
        <v>180</v>
      </c>
      <c r="P241" s="40">
        <f t="shared" si="372"/>
        <v>225</v>
      </c>
      <c r="Q241" s="81">
        <f t="shared" si="372"/>
        <v>5.81</v>
      </c>
      <c r="R241" s="47">
        <f t="shared" si="372"/>
        <v>5.5</v>
      </c>
      <c r="S241" s="47">
        <f t="shared" si="372"/>
        <v>5.51</v>
      </c>
      <c r="T241" s="161"/>
      <c r="U241" s="162"/>
      <c r="V241" s="162"/>
      <c r="W241" s="163"/>
      <c r="X241" s="162"/>
      <c r="Y241" s="162"/>
      <c r="Z241" s="163">
        <f t="shared" si="338"/>
        <v>2.5275476192341495E-2</v>
      </c>
      <c r="AA241" s="162">
        <f t="shared" si="339"/>
        <v>2.1778180864640895E-2</v>
      </c>
      <c r="AB241" s="162">
        <f t="shared" si="340"/>
        <v>2.0604395836106182E-2</v>
      </c>
      <c r="AC241" s="128">
        <f t="shared" si="341"/>
        <v>0.105</v>
      </c>
      <c r="AD241" s="127">
        <f t="shared" si="342"/>
        <v>0.09</v>
      </c>
      <c r="AE241" s="127">
        <f t="shared" si="343"/>
        <v>8.5000000000000006E-2</v>
      </c>
      <c r="AF241" s="159">
        <f t="shared" si="344"/>
        <v>100</v>
      </c>
      <c r="AG241" s="160">
        <f t="shared" si="345"/>
        <v>180</v>
      </c>
      <c r="AH241" s="160">
        <f t="shared" si="346"/>
        <v>225</v>
      </c>
      <c r="AI241" s="159">
        <f t="shared" si="347"/>
        <v>5.81</v>
      </c>
      <c r="AJ241" s="160">
        <f t="shared" si="348"/>
        <v>5.5</v>
      </c>
      <c r="AK241" s="160">
        <f t="shared" si="349"/>
        <v>5.51</v>
      </c>
      <c r="AL241" s="170"/>
      <c r="AM241" s="127"/>
      <c r="AN241" s="127"/>
      <c r="AO241" s="155"/>
      <c r="AP241" s="154"/>
      <c r="AQ241" s="154"/>
      <c r="AR241" s="128">
        <f t="shared" si="350"/>
        <v>0.10520811761315807</v>
      </c>
      <c r="AS241" s="127">
        <f t="shared" si="351"/>
        <v>8.9999999999999858E-2</v>
      </c>
      <c r="AT241" s="127">
        <f t="shared" si="352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3"/>
        <v>100</v>
      </c>
      <c r="AY241" s="160">
        <f t="shared" si="354"/>
        <v>180</v>
      </c>
      <c r="AZ241" s="160">
        <f t="shared" si="355"/>
        <v>225</v>
      </c>
      <c r="BA241" s="159">
        <f t="shared" si="356"/>
        <v>5.81</v>
      </c>
      <c r="BB241" s="160">
        <f t="shared" si="357"/>
        <v>5.5</v>
      </c>
      <c r="BC241" s="160">
        <f t="shared" si="358"/>
        <v>5.51</v>
      </c>
      <c r="BD241" s="171">
        <f t="shared" si="359"/>
        <v>100</v>
      </c>
      <c r="BE241" s="172">
        <f t="shared" si="360"/>
        <v>180</v>
      </c>
      <c r="BF241" s="172">
        <f t="shared" si="361"/>
        <v>225</v>
      </c>
      <c r="BG241" s="159">
        <f t="shared" si="362"/>
        <v>5.8100000000000014</v>
      </c>
      <c r="BH241" s="160">
        <f t="shared" si="363"/>
        <v>5.5</v>
      </c>
      <c r="BI241" s="160">
        <f t="shared" si="364"/>
        <v>5.5099999999999989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4"/>
        <v>8.355155683635207E-3</v>
      </c>
      <c r="I242" s="10">
        <f t="shared" si="335"/>
        <v>7.2073233161367156E-3</v>
      </c>
      <c r="J242" s="10">
        <f t="shared" si="336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3">N230</f>
        <v>100</v>
      </c>
      <c r="O242" s="40">
        <f t="shared" si="373"/>
        <v>180</v>
      </c>
      <c r="P242" s="40">
        <f t="shared" si="373"/>
        <v>225</v>
      </c>
      <c r="Q242" s="81">
        <f t="shared" si="373"/>
        <v>5.81</v>
      </c>
      <c r="R242" s="47">
        <f t="shared" si="373"/>
        <v>5.5</v>
      </c>
      <c r="S242" s="47">
        <f t="shared" si="373"/>
        <v>5.51</v>
      </c>
      <c r="T242" s="161"/>
      <c r="U242" s="162"/>
      <c r="V242" s="162"/>
      <c r="W242" s="163"/>
      <c r="X242" s="162"/>
      <c r="Y242" s="162"/>
      <c r="Z242" s="163">
        <f t="shared" si="338"/>
        <v>2.5275476192341495E-2</v>
      </c>
      <c r="AA242" s="162">
        <f t="shared" si="339"/>
        <v>2.1778180864640895E-2</v>
      </c>
      <c r="AB242" s="162">
        <f t="shared" si="340"/>
        <v>2.0604395836106182E-2</v>
      </c>
      <c r="AC242" s="128">
        <f t="shared" si="341"/>
        <v>0.105</v>
      </c>
      <c r="AD242" s="127">
        <f t="shared" si="342"/>
        <v>0.09</v>
      </c>
      <c r="AE242" s="127">
        <f t="shared" si="343"/>
        <v>8.5000000000000006E-2</v>
      </c>
      <c r="AF242" s="159">
        <f t="shared" si="344"/>
        <v>100</v>
      </c>
      <c r="AG242" s="160">
        <f t="shared" si="345"/>
        <v>180</v>
      </c>
      <c r="AH242" s="160">
        <f t="shared" si="346"/>
        <v>225</v>
      </c>
      <c r="AI242" s="159">
        <f t="shared" si="347"/>
        <v>5.81</v>
      </c>
      <c r="AJ242" s="160">
        <f t="shared" si="348"/>
        <v>5.5</v>
      </c>
      <c r="AK242" s="160">
        <f t="shared" si="349"/>
        <v>5.51</v>
      </c>
      <c r="AL242" s="170"/>
      <c r="AM242" s="127"/>
      <c r="AN242" s="127"/>
      <c r="AO242" s="155"/>
      <c r="AP242" s="154"/>
      <c r="AQ242" s="154"/>
      <c r="AR242" s="128">
        <f t="shared" si="350"/>
        <v>0.10500000000000109</v>
      </c>
      <c r="AS242" s="127">
        <f t="shared" si="351"/>
        <v>8.9999999999999858E-2</v>
      </c>
      <c r="AT242" s="127">
        <f t="shared" si="352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3"/>
        <v>100</v>
      </c>
      <c r="AY242" s="160">
        <f t="shared" si="354"/>
        <v>180</v>
      </c>
      <c r="AZ242" s="160">
        <f t="shared" si="355"/>
        <v>225</v>
      </c>
      <c r="BA242" s="159">
        <f t="shared" si="356"/>
        <v>5.81</v>
      </c>
      <c r="BB242" s="160">
        <f t="shared" si="357"/>
        <v>5.5</v>
      </c>
      <c r="BC242" s="160">
        <f t="shared" si="358"/>
        <v>5.51</v>
      </c>
      <c r="BD242" s="171">
        <f t="shared" si="359"/>
        <v>100</v>
      </c>
      <c r="BE242" s="172">
        <f t="shared" si="360"/>
        <v>180</v>
      </c>
      <c r="BF242" s="172">
        <f t="shared" si="361"/>
        <v>225</v>
      </c>
      <c r="BG242" s="159">
        <f t="shared" si="362"/>
        <v>5.8100000000000014</v>
      </c>
      <c r="BH242" s="160">
        <f t="shared" si="363"/>
        <v>5.5</v>
      </c>
      <c r="BI242" s="160">
        <f t="shared" si="364"/>
        <v>5.5099999999999989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4"/>
        <v>8.355155683635207E-3</v>
      </c>
      <c r="I243" s="10">
        <f t="shared" si="335"/>
        <v>7.2073233161367156E-3</v>
      </c>
      <c r="J243" s="10">
        <f t="shared" si="336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4">N231</f>
        <v>100</v>
      </c>
      <c r="O243" s="40">
        <f t="shared" si="374"/>
        <v>180</v>
      </c>
      <c r="P243" s="40">
        <f t="shared" si="374"/>
        <v>225</v>
      </c>
      <c r="Q243" s="81">
        <f t="shared" si="374"/>
        <v>5.81</v>
      </c>
      <c r="R243" s="47">
        <f t="shared" si="374"/>
        <v>5.5</v>
      </c>
      <c r="S243" s="47">
        <f t="shared" si="374"/>
        <v>5.51</v>
      </c>
      <c r="T243" s="161"/>
      <c r="U243" s="162"/>
      <c r="V243" s="162"/>
      <c r="W243" s="163"/>
      <c r="X243" s="162"/>
      <c r="Y243" s="162"/>
      <c r="Z243" s="163">
        <f t="shared" si="338"/>
        <v>2.5275476192341495E-2</v>
      </c>
      <c r="AA243" s="162">
        <f t="shared" si="339"/>
        <v>2.1778180864640895E-2</v>
      </c>
      <c r="AB243" s="162">
        <f t="shared" si="340"/>
        <v>2.0604395836106182E-2</v>
      </c>
      <c r="AC243" s="128">
        <f t="shared" si="341"/>
        <v>0.105</v>
      </c>
      <c r="AD243" s="127">
        <f t="shared" si="342"/>
        <v>0.09</v>
      </c>
      <c r="AE243" s="127">
        <f t="shared" si="343"/>
        <v>8.5000000000000006E-2</v>
      </c>
      <c r="AF243" s="159">
        <f t="shared" si="344"/>
        <v>100</v>
      </c>
      <c r="AG243" s="160">
        <f t="shared" si="345"/>
        <v>180</v>
      </c>
      <c r="AH243" s="160">
        <f t="shared" si="346"/>
        <v>225</v>
      </c>
      <c r="AI243" s="159">
        <f t="shared" si="347"/>
        <v>5.81</v>
      </c>
      <c r="AJ243" s="160">
        <f t="shared" si="348"/>
        <v>5.5</v>
      </c>
      <c r="AK243" s="160">
        <f t="shared" si="349"/>
        <v>5.51</v>
      </c>
      <c r="AL243" s="170"/>
      <c r="AM243" s="127"/>
      <c r="AN243" s="127"/>
      <c r="AO243" s="155"/>
      <c r="AP243" s="154"/>
      <c r="AQ243" s="154"/>
      <c r="AR243" s="128">
        <f t="shared" si="350"/>
        <v>0.10500000000000109</v>
      </c>
      <c r="AS243" s="127">
        <f t="shared" si="351"/>
        <v>8.9999999999999858E-2</v>
      </c>
      <c r="AT243" s="127">
        <f t="shared" si="352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3"/>
        <v>100</v>
      </c>
      <c r="AY243" s="160">
        <f t="shared" si="354"/>
        <v>180</v>
      </c>
      <c r="AZ243" s="160">
        <f t="shared" si="355"/>
        <v>225</v>
      </c>
      <c r="BA243" s="159">
        <f t="shared" si="356"/>
        <v>5.81</v>
      </c>
      <c r="BB243" s="160">
        <f t="shared" si="357"/>
        <v>5.5</v>
      </c>
      <c r="BC243" s="160">
        <f t="shared" si="358"/>
        <v>5.51</v>
      </c>
      <c r="BD243" s="171">
        <f t="shared" si="359"/>
        <v>100</v>
      </c>
      <c r="BE243" s="172">
        <f t="shared" si="360"/>
        <v>180</v>
      </c>
      <c r="BF243" s="172">
        <f t="shared" si="361"/>
        <v>225</v>
      </c>
      <c r="BG243" s="159">
        <f t="shared" si="362"/>
        <v>5.8100000000000014</v>
      </c>
      <c r="BH243" s="160">
        <f t="shared" si="363"/>
        <v>5.5</v>
      </c>
      <c r="BI243" s="160">
        <f t="shared" si="364"/>
        <v>5.5099999999999989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4"/>
        <v>8.355155683635207E-3</v>
      </c>
      <c r="I244" s="230">
        <f t="shared" si="335"/>
        <v>7.2073233161367156E-3</v>
      </c>
      <c r="J244" s="230">
        <f t="shared" si="336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5">N232</f>
        <v>100</v>
      </c>
      <c r="O244" s="235">
        <f t="shared" si="375"/>
        <v>180</v>
      </c>
      <c r="P244" s="235">
        <f t="shared" si="375"/>
        <v>225</v>
      </c>
      <c r="Q244" s="236">
        <f>Q232</f>
        <v>5.81</v>
      </c>
      <c r="R244" s="237">
        <f>R232</f>
        <v>5.5</v>
      </c>
      <c r="S244" s="237">
        <f t="shared" si="375"/>
        <v>5.51</v>
      </c>
      <c r="T244" s="238"/>
      <c r="U244" s="239"/>
      <c r="V244" s="239"/>
      <c r="W244" s="240"/>
      <c r="X244" s="239"/>
      <c r="Y244" s="239"/>
      <c r="Z244" s="240">
        <f t="shared" si="338"/>
        <v>2.5275476192341495E-2</v>
      </c>
      <c r="AA244" s="239">
        <f t="shared" si="339"/>
        <v>2.1778180864640895E-2</v>
      </c>
      <c r="AB244" s="239">
        <f t="shared" si="340"/>
        <v>2.0604395836106182E-2</v>
      </c>
      <c r="AC244" s="241">
        <f t="shared" si="341"/>
        <v>0.105</v>
      </c>
      <c r="AD244" s="242">
        <f t="shared" si="342"/>
        <v>0.09</v>
      </c>
      <c r="AE244" s="251">
        <f t="shared" si="343"/>
        <v>8.5000000000000006E-2</v>
      </c>
      <c r="AF244" s="243">
        <f t="shared" si="344"/>
        <v>100</v>
      </c>
      <c r="AG244" s="244">
        <f t="shared" si="345"/>
        <v>180</v>
      </c>
      <c r="AH244" s="244">
        <f t="shared" si="346"/>
        <v>225</v>
      </c>
      <c r="AI244" s="243">
        <f t="shared" si="347"/>
        <v>5.81</v>
      </c>
      <c r="AJ244" s="244">
        <f t="shared" si="348"/>
        <v>5.5</v>
      </c>
      <c r="AK244" s="244">
        <f t="shared" si="349"/>
        <v>5.51</v>
      </c>
      <c r="AL244" s="245"/>
      <c r="AM244" s="242"/>
      <c r="AN244" s="242"/>
      <c r="AO244" s="246"/>
      <c r="AP244" s="247"/>
      <c r="AQ244" s="247"/>
      <c r="AR244" s="241">
        <f t="shared" si="350"/>
        <v>0.10500000000000109</v>
      </c>
      <c r="AS244" s="242">
        <f>FVSCHEDULE(1,I233:I244)-1</f>
        <v>8.9999999999999858E-2</v>
      </c>
      <c r="AT244" s="242">
        <f t="shared" si="352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3"/>
        <v>100</v>
      </c>
      <c r="AY244" s="244">
        <f t="shared" si="354"/>
        <v>180</v>
      </c>
      <c r="AZ244" s="244">
        <f t="shared" si="355"/>
        <v>225</v>
      </c>
      <c r="BA244" s="243">
        <f t="shared" si="356"/>
        <v>5.81</v>
      </c>
      <c r="BB244" s="244">
        <f t="shared" si="357"/>
        <v>5.5</v>
      </c>
      <c r="BC244" s="244">
        <f t="shared" si="358"/>
        <v>5.51</v>
      </c>
      <c r="BD244" s="248">
        <f t="shared" si="359"/>
        <v>100</v>
      </c>
      <c r="BE244" s="249">
        <f t="shared" si="360"/>
        <v>180</v>
      </c>
      <c r="BF244" s="249">
        <f t="shared" si="361"/>
        <v>225</v>
      </c>
      <c r="BG244" s="243">
        <f t="shared" si="362"/>
        <v>5.8100000000000014</v>
      </c>
      <c r="BH244" s="244">
        <f t="shared" si="363"/>
        <v>5.5</v>
      </c>
      <c r="BI244" s="244">
        <f t="shared" si="364"/>
        <v>5.5099999999999989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P247" s="252"/>
      <c r="Q247" s="252"/>
      <c r="R247" s="252"/>
      <c r="S247" s="252"/>
    </row>
    <row r="248" spans="1:63">
      <c r="H248" s="127"/>
      <c r="I248" s="127"/>
      <c r="J248" s="127"/>
      <c r="P248" s="253"/>
      <c r="Q248" s="252"/>
      <c r="R248" s="252"/>
      <c r="S248" s="252"/>
    </row>
    <row r="249" spans="1:63">
      <c r="H249" s="127"/>
      <c r="I249" s="127"/>
      <c r="J249" s="127"/>
      <c r="K249" s="160"/>
      <c r="L249" s="160"/>
      <c r="P249" s="253"/>
      <c r="Q249" s="252"/>
      <c r="R249" s="252"/>
      <c r="S249" s="252"/>
    </row>
    <row r="250" spans="1:63">
      <c r="H250" s="127"/>
      <c r="I250" s="127"/>
      <c r="J250" s="127"/>
      <c r="K250" s="160"/>
      <c r="L250" s="160"/>
      <c r="P250" s="253"/>
      <c r="Q250" s="252"/>
      <c r="R250" s="252"/>
      <c r="S250" s="252"/>
    </row>
    <row r="251" spans="1:63">
      <c r="H251" s="127"/>
      <c r="I251" s="127"/>
      <c r="J251" s="127"/>
      <c r="K251" s="160"/>
      <c r="L251" s="160"/>
      <c r="P251" s="253"/>
      <c r="Q251" s="252"/>
      <c r="R251" s="252"/>
      <c r="S251" s="252"/>
    </row>
    <row r="252" spans="1:63">
      <c r="H252" s="127"/>
      <c r="I252" s="127"/>
      <c r="J252" s="127"/>
      <c r="K252" s="160"/>
      <c r="L252" s="160"/>
      <c r="P252" s="253"/>
      <c r="Q252" s="252"/>
      <c r="R252" s="252"/>
      <c r="S252" s="252"/>
    </row>
    <row r="253" spans="1:63">
      <c r="H253" s="127"/>
      <c r="I253" s="127"/>
      <c r="J253" s="127"/>
      <c r="K253" s="160"/>
      <c r="L253" s="160"/>
      <c r="P253" s="253"/>
      <c r="Q253" s="252"/>
      <c r="R253" s="252"/>
      <c r="S253" s="252"/>
    </row>
    <row r="254" spans="1:63">
      <c r="H254" s="127"/>
      <c r="I254" s="127"/>
      <c r="J254" s="127"/>
      <c r="K254" s="160"/>
      <c r="L254" s="160"/>
      <c r="P254" s="253"/>
      <c r="Q254" s="252"/>
      <c r="R254" s="252"/>
      <c r="S254" s="252"/>
    </row>
    <row r="255" spans="1:63">
      <c r="H255" s="127"/>
      <c r="I255" s="127"/>
      <c r="J255" s="127"/>
      <c r="K255" s="160"/>
      <c r="L255" s="160"/>
      <c r="P255" s="253"/>
      <c r="Q255" s="252"/>
      <c r="R255" s="252"/>
      <c r="S255" s="252"/>
    </row>
    <row r="256" spans="1:63">
      <c r="H256" s="127"/>
      <c r="I256" s="127"/>
      <c r="J256" s="127"/>
      <c r="K256" s="160"/>
      <c r="L256" s="160"/>
      <c r="P256" s="253"/>
      <c r="Q256" s="252"/>
      <c r="R256" s="252"/>
      <c r="S256" s="252"/>
    </row>
    <row r="257" spans="8:19">
      <c r="H257" s="127"/>
      <c r="I257" s="127"/>
      <c r="J257" s="127"/>
      <c r="K257" s="160"/>
      <c r="L257" s="160"/>
      <c r="P257" s="253"/>
      <c r="Q257" s="252"/>
      <c r="R257" s="252"/>
      <c r="S257" s="252"/>
    </row>
    <row r="258" spans="8:19">
      <c r="H258" s="127"/>
      <c r="I258" s="127"/>
      <c r="J258" s="127"/>
      <c r="K258" s="160"/>
      <c r="L258" s="160"/>
      <c r="P258" s="253"/>
      <c r="Q258" s="252"/>
      <c r="R258" s="252"/>
      <c r="S258" s="252"/>
    </row>
    <row r="259" spans="8:19">
      <c r="H259" s="127"/>
      <c r="I259" s="127"/>
      <c r="J259" s="127"/>
      <c r="K259" s="160"/>
      <c r="L259" s="160"/>
      <c r="P259" s="253"/>
      <c r="Q259" s="252"/>
      <c r="R259" s="252"/>
      <c r="S259" s="252"/>
    </row>
    <row r="260" spans="8:19">
      <c r="H260" s="127"/>
      <c r="I260" s="127"/>
      <c r="J260" s="127"/>
      <c r="K260" s="160"/>
      <c r="L260" s="160"/>
      <c r="P260" s="253"/>
      <c r="Q260" s="252"/>
      <c r="R260" s="252"/>
      <c r="S260" s="252"/>
    </row>
    <row r="261" spans="8:19">
      <c r="H261" s="127"/>
      <c r="I261" s="127"/>
      <c r="J261" s="127"/>
      <c r="K261" s="160"/>
      <c r="L261" s="160"/>
      <c r="P261" s="253"/>
      <c r="Q261" s="252"/>
      <c r="R261" s="252"/>
      <c r="S261" s="252"/>
    </row>
    <row r="262" spans="8:19">
      <c r="H262" s="127"/>
      <c r="I262" s="127"/>
      <c r="J262" s="127"/>
      <c r="K262" s="160"/>
      <c r="L262" s="160"/>
      <c r="P262" s="253"/>
      <c r="Q262" s="252"/>
      <c r="R262" s="252"/>
      <c r="S262" s="252"/>
    </row>
    <row r="263" spans="8:19">
      <c r="H263" s="127"/>
      <c r="I263" s="127"/>
      <c r="J263" s="127"/>
      <c r="K263" s="160"/>
      <c r="L263" s="160"/>
      <c r="P263" s="253"/>
      <c r="Q263" s="252"/>
      <c r="R263" s="252"/>
      <c r="S263" s="252"/>
    </row>
    <row r="264" spans="8:19">
      <c r="H264" s="127"/>
      <c r="I264" s="127"/>
      <c r="J264" s="127"/>
      <c r="K264" s="160"/>
      <c r="L264" s="160"/>
      <c r="P264" s="253"/>
      <c r="Q264" s="252"/>
      <c r="R264" s="252"/>
      <c r="S264" s="252"/>
    </row>
    <row r="265" spans="8:19">
      <c r="H265" s="127"/>
      <c r="I265" s="127"/>
      <c r="J265" s="127"/>
      <c r="K265" s="160"/>
      <c r="L265" s="160"/>
    </row>
    <row r="266" spans="8:19">
      <c r="H266" s="127"/>
      <c r="I266" s="127"/>
      <c r="J266" s="127"/>
      <c r="K266" s="160"/>
      <c r="L266" s="160"/>
    </row>
    <row r="267" spans="8:19">
      <c r="H267" s="127"/>
      <c r="I267" s="127"/>
      <c r="J267" s="127"/>
      <c r="K267" s="160"/>
      <c r="L267" s="160"/>
    </row>
    <row r="268" spans="8:19">
      <c r="H268" s="127"/>
      <c r="I268" s="127"/>
      <c r="J268" s="127"/>
      <c r="K268" s="160"/>
      <c r="L268" s="160"/>
    </row>
    <row r="269" spans="8:19">
      <c r="H269" s="127"/>
      <c r="I269" s="127"/>
      <c r="J269" s="127"/>
      <c r="K269" s="160"/>
      <c r="L269" s="160"/>
    </row>
    <row r="270" spans="8:19">
      <c r="H270" s="127"/>
      <c r="I270" s="127"/>
      <c r="J270" s="127"/>
      <c r="K270" s="160"/>
      <c r="L270" s="160"/>
    </row>
    <row r="271" spans="8:19">
      <c r="I271" s="127"/>
      <c r="J271" s="127"/>
      <c r="K271" s="160"/>
      <c r="L271" s="160"/>
    </row>
    <row r="272" spans="8:19">
      <c r="I272" s="127"/>
      <c r="J272" s="127"/>
      <c r="K272" s="160"/>
      <c r="L272" s="160"/>
    </row>
    <row r="273" spans="11:12">
      <c r="K273" s="160"/>
      <c r="L273" s="160"/>
    </row>
    <row r="274" spans="11:12">
      <c r="K274" s="160"/>
      <c r="L274" s="160"/>
    </row>
    <row r="275" spans="11:12">
      <c r="K275" s="160"/>
      <c r="L275" s="160"/>
    </row>
    <row r="276" spans="11:12">
      <c r="K276" s="160"/>
      <c r="L276" s="160"/>
    </row>
    <row r="277" spans="11:12">
      <c r="K277" s="160"/>
      <c r="L277" s="160"/>
    </row>
    <row r="278" spans="11:12">
      <c r="K278" s="160"/>
      <c r="L278" s="160"/>
    </row>
    <row r="279" spans="11:12">
      <c r="K279" s="160"/>
      <c r="L279" s="160"/>
    </row>
    <row r="280" spans="11:12">
      <c r="K280" s="160"/>
      <c r="L280" s="160"/>
    </row>
    <row r="281" spans="11:12">
      <c r="K281" s="160"/>
      <c r="L281" s="160"/>
    </row>
    <row r="282" spans="11:12">
      <c r="K282" s="160"/>
      <c r="L282" s="160"/>
    </row>
    <row r="283" spans="11:12">
      <c r="K283" s="160"/>
      <c r="L283" s="160"/>
    </row>
    <row r="284" spans="11:12">
      <c r="K284" s="160"/>
      <c r="L284" s="160"/>
    </row>
    <row r="285" spans="11:12">
      <c r="K285" s="160"/>
      <c r="L285" s="160"/>
    </row>
    <row r="286" spans="11:12">
      <c r="K286" s="160"/>
      <c r="L286" s="160"/>
    </row>
    <row r="287" spans="11:12">
      <c r="K287" s="160"/>
      <c r="L287" s="160"/>
    </row>
    <row r="288" spans="11:12">
      <c r="K288" s="160"/>
      <c r="L288" s="160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O80" sqref="O80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9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[2]Índice!$AN50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[2]Índice!$AN51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[2]Índice!$AN52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[2]Índice!$AN53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[2]Índice!$AN54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[2]Índice!$AN55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[2]Índice!$AN56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[2]Índice!$AN57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[2]Índice!$AN58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[2]Índice!$AN59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[2]Índice!$AN60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[2]Índice!$AN61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[2]Índice!$AN62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[2]Índice!$AN63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[2]Índice!$AN64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[2]Índice!$AN65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[2]Índice!$AN66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[2]Índice!$AN67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[2]Índice!$AN68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[2]Índice!$AN69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[2]Índice!$AN70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[2]Índice!$AN71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[2]Índice!$AN72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[2]Índice!$AN73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[2]Índice!$AN74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[2]Índice!$AN75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[2]Índice!$AN76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[2]Índice!$AN77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[2]Índice!$AN78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[2]Índice!$AN79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[2]Índice!$AN80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[2]Índice!$AN81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[2]Índice!$AN82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[2]Índice!$AN83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[2]Índice!$AN84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[2]Índice!$AN85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[2]Índice!$AN86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[2]Índice!$AN87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[2]Índice!$AN88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[2]Índice!$AN89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[2]Índice!$AN90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[2]Índice!$AN91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[2]Índice!$AN92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[2]Índice!$AN93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[2]Índice!$AN94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[2]Índice!$AN95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[2]Índice!$AN96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[2]Índice!$AN97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[2]Índice!$AN98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[2]Índice!$AN99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[2]Índice!$AN100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[2]Índice!$AN101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[2]Índice!$AN102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[2]Índice!$AN103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[2]Índice!$AN104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[2]Índice!$AN105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[2]Índice!$AN106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[2]Índice!$AN107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[2]Índice!$AN108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[2]Índice!$AN109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[2]Índice!$AN110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[2]Índice!$AN111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[2]Índice!$AN112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[2]Índice!$AN113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[2]Índice!$AN114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[2]Índice!$AN115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1.5499883542060555E-2</v>
      </c>
      <c r="C69" s="112">
        <f>VLOOKUP($A69,Mensal!$5:$1048576,21,0)</f>
        <v>1.3986357007060413E-2</v>
      </c>
      <c r="D69" s="112">
        <f>VLOOKUP($A69,Mensal!$5:$1048576,22,0)</f>
        <v>1.3229593739560341E-2</v>
      </c>
      <c r="E69" s="113">
        <f>VLOOKUP($A69,Mensal!$5:$1048576,23,0)</f>
        <v>1.0580663131251056E-2</v>
      </c>
      <c r="F69" s="112">
        <f>VLOOKUP($A69,Mensal!$5:$1048576,24,0)</f>
        <v>9.5770638912509032E-3</v>
      </c>
      <c r="G69" s="112">
        <f>VLOOKUP($A69,Mensal!$5:$1048576,25,0)</f>
        <v>9.0752642712508269E-3</v>
      </c>
      <c r="H69" s="113">
        <f>VLOOKUP($A69,Mensal!$5:$1048576,26,0)</f>
        <v>2.5468578350652304E-2</v>
      </c>
      <c r="I69" s="112">
        <f>VLOOKUP($A69,Mensal!$5:$1048576,27,0)</f>
        <v>2.5468578350652304E-2</v>
      </c>
      <c r="J69" s="112">
        <f>VLOOKUP($A69,Mensal!$5:$1048576,28,0)</f>
        <v>2.5468578350652304E-2</v>
      </c>
      <c r="K69" s="113">
        <f>VLOOKUP($A69,Mensal!$5:$1048576,29,0)</f>
        <v>0.1075</v>
      </c>
      <c r="L69" s="112">
        <f>VLOOKUP($A69,Mensal!$5:$1048576,30,0)</f>
        <v>0.1075</v>
      </c>
      <c r="M69" s="112">
        <f>VLOOKUP($A69,Mensal!$5:$1048576,31,0)</f>
        <v>0.1075</v>
      </c>
      <c r="N69" s="219">
        <f>VLOOKUP($A69,Mensal!$5:$1048576,32,0)</f>
        <v>147.56333333333333</v>
      </c>
      <c r="O69" s="220">
        <f>VLOOKUP($A69,Mensal!$5:$1048576,33,0)</f>
        <v>154.22999999999999</v>
      </c>
      <c r="P69" s="220">
        <f>VLOOKUP($A69,Mensal!$5:$1048576,34,0)</f>
        <v>157.97999999999999</v>
      </c>
      <c r="Q69" s="114">
        <f>VLOOKUP($A69,Mensal!$5:$1048576,35,0)</f>
        <v>5.71</v>
      </c>
      <c r="R69" s="115">
        <f>VLOOKUP($A69,Mensal!$5:$1048576,36,0)</f>
        <v>5.64</v>
      </c>
      <c r="S69" s="115">
        <f>VLOOKUP($A69,Mensal!$5:$1048576,37,0)</f>
        <v>5.88</v>
      </c>
      <c r="T69" s="116">
        <v>3.15</v>
      </c>
      <c r="U69" s="117">
        <v>3.55</v>
      </c>
      <c r="V69" s="117">
        <v>3.72</v>
      </c>
      <c r="X69" s="153">
        <f>VLOOKUP($A69,Mensal!$5:$1048576,42,0)</f>
        <v>4.5865532935882802E-2</v>
      </c>
      <c r="Y69" s="153"/>
      <c r="Z69" s="153">
        <f t="shared" si="6"/>
        <v>1.5740764155388165E-2</v>
      </c>
      <c r="AA69" s="153">
        <f t="shared" si="5"/>
        <v>-4.2826282658106063E-2</v>
      </c>
    </row>
    <row r="70" spans="1:27">
      <c r="A70" s="6">
        <v>45627</v>
      </c>
      <c r="B70" s="112">
        <f>VLOOKUP($A70,Mensal!$5:$1048576,20,0)</f>
        <v>1.5368799597080152E-2</v>
      </c>
      <c r="C70" s="112">
        <f>VLOOKUP($A70,Mensal!$5:$1048576,21,0)</f>
        <v>1.082958997193062E-2</v>
      </c>
      <c r="D70" s="112">
        <f>VLOOKUP($A70,Mensal!$5:$1048576,22,0)</f>
        <v>8.5650671360855135E-3</v>
      </c>
      <c r="E70" s="113">
        <f>VLOOKUP($A70,Mensal!$5:$1048576,23,0)</f>
        <v>1.1832341107548716E-2</v>
      </c>
      <c r="F70" s="112">
        <f>VLOOKUP($A70,Mensal!$5:$1048576,24,0)</f>
        <v>8.8117309107333952E-3</v>
      </c>
      <c r="G70" s="112">
        <f>VLOOKUP($A70,Mensal!$5:$1048576,25,0)</f>
        <v>7.3036827788450776E-3</v>
      </c>
      <c r="H70" s="113">
        <f>VLOOKUP($A70,Mensal!$5:$1048576,26,0)</f>
        <v>2.7009057678761161E-2</v>
      </c>
      <c r="I70" s="112">
        <f>VLOOKUP($A70,Mensal!$5:$1048576,27,0)</f>
        <v>2.6432893353016018E-2</v>
      </c>
      <c r="J70" s="112">
        <f>VLOOKUP($A70,Mensal!$5:$1048576,28,0)</f>
        <v>2.5854891781707856E-2</v>
      </c>
      <c r="K70" s="113">
        <f>VLOOKUP($A70,Mensal!$5:$1048576,29,0)</f>
        <v>0.11749999999999999</v>
      </c>
      <c r="L70" s="112">
        <f>VLOOKUP($A70,Mensal!$5:$1048576,30,0)</f>
        <v>0.1125</v>
      </c>
      <c r="M70" s="112">
        <f>VLOOKUP($A70,Mensal!$5:$1048576,31,0)</f>
        <v>0.1075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5.72</v>
      </c>
      <c r="R70" s="115">
        <f>VLOOKUP($A70,Mensal!$5:$1048576,36,0)</f>
        <v>5.53</v>
      </c>
      <c r="S70" s="115">
        <f>VLOOKUP($A70,Mensal!$5:$1048576,37,0)</f>
        <v>6.23</v>
      </c>
      <c r="T70" s="116">
        <v>2.5900000000000003</v>
      </c>
      <c r="U70" s="117">
        <v>2.99</v>
      </c>
      <c r="V70" s="117">
        <v>3.13</v>
      </c>
      <c r="X70" s="153">
        <f>VLOOKUP($A70,Mensal!$5:$1048576,42,0)</f>
        <v>4.3771241136172145E-2</v>
      </c>
      <c r="Y70" s="153"/>
      <c r="Z70" s="153">
        <f t="shared" si="6"/>
        <v>1.7467245772781137E-2</v>
      </c>
      <c r="AA70" s="153">
        <f t="shared" si="5"/>
        <v>-4.0857842653099552E-2</v>
      </c>
    </row>
    <row r="71" spans="1:27">
      <c r="A71" s="53">
        <v>45717</v>
      </c>
      <c r="B71" s="106">
        <f>VLOOKUP($A71,Mensal!$5:$1048576,20,0)</f>
        <v>1.6122057810123103E-2</v>
      </c>
      <c r="C71" s="106">
        <f>VLOOKUP($A71,Mensal!$5:$1048576,21,0)</f>
        <v>1.3069944433093061E-2</v>
      </c>
      <c r="D71" s="106">
        <f>VLOOKUP($A71,Mensal!$5:$1048576,22,0)</f>
        <v>1.2772000831480224E-2</v>
      </c>
      <c r="E71" s="107">
        <f>VLOOKUP($A71,Mensal!$5:$1048576,23,0)</f>
        <v>1.3432932548897991E-2</v>
      </c>
      <c r="F71" s="106">
        <f>VLOOKUP($A71,Mensal!$5:$1048576,24,0)</f>
        <v>1.1691197632252459E-2</v>
      </c>
      <c r="G71" s="106">
        <f>VLOOKUP($A71,Mensal!$5:$1048576,25,0)</f>
        <v>1.1542353622969959E-2</v>
      </c>
      <c r="H71" s="107">
        <f>VLOOKUP($A71,Mensal!$5:$1048576,26,0)</f>
        <v>2.9310936996617132E-2</v>
      </c>
      <c r="I71" s="106">
        <f>VLOOKUP($A71,Mensal!$5:$1048576,27,0)</f>
        <v>2.7587273226534537E-2</v>
      </c>
      <c r="J71" s="106">
        <f>VLOOKUP($A71,Mensal!$5:$1048576,28,0)</f>
        <v>2.5854891781707856E-2</v>
      </c>
      <c r="K71" s="107">
        <f>VLOOKUP($A71,Mensal!$5:$1048576,29,0)</f>
        <v>0.1225</v>
      </c>
      <c r="L71" s="106">
        <f>VLOOKUP($A71,Mensal!$5:$1048576,30,0)</f>
        <v>0.115</v>
      </c>
      <c r="M71" s="106">
        <f>VLOOKUP($A71,Mensal!$5:$1048576,31,0)</f>
        <v>0.1075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5.75</v>
      </c>
      <c r="R71" s="109">
        <f>VLOOKUP($A71,Mensal!$5:$1048576,36,0)</f>
        <v>5.53</v>
      </c>
      <c r="S71" s="109">
        <f>VLOOKUP($A71,Mensal!$5:$1048576,37,0)</f>
        <v>5.95</v>
      </c>
      <c r="T71" s="110">
        <v>1.3499999999999999</v>
      </c>
      <c r="U71" s="111">
        <v>1.1499999999999999</v>
      </c>
      <c r="V71" s="111">
        <v>1.3499999999999999</v>
      </c>
      <c r="X71" s="153">
        <f>VLOOKUP($A71,Mensal!$5:$1048576,42,0)</f>
        <v>4.1235575130213586E-2</v>
      </c>
      <c r="Y71" s="153"/>
      <c r="Z71" s="153">
        <f t="shared" si="6"/>
        <v>1.5712379065356163E-2</v>
      </c>
      <c r="AA71" s="153">
        <f t="shared" si="5"/>
        <v>-3.8498084475456551E-2</v>
      </c>
    </row>
    <row r="72" spans="1:27">
      <c r="A72" s="6">
        <v>45809</v>
      </c>
      <c r="B72" s="112">
        <f>VLOOKUP($A72,Mensal!$5:$1048576,20,0)</f>
        <v>1.0769659587387403E-2</v>
      </c>
      <c r="C72" s="112">
        <f>VLOOKUP($A72,Mensal!$5:$1048576,21,0)</f>
        <v>7.7282772542037748E-3</v>
      </c>
      <c r="D72" s="112">
        <f>VLOOKUP($A72,Mensal!$5:$1048576,22,0)</f>
        <v>7.431381780584001E-3</v>
      </c>
      <c r="E72" s="113">
        <f>VLOOKUP($A72,Mensal!$5:$1048576,23,0)</f>
        <v>1.0104663050284346E-2</v>
      </c>
      <c r="F72" s="112">
        <f>VLOOKUP($A72,Mensal!$5:$1048576,24,0)</f>
        <v>8.3667457743408225E-3</v>
      </c>
      <c r="G72" s="112">
        <f>VLOOKUP($A72,Mensal!$5:$1048576,25,0)</f>
        <v>8.2182281119114187E-3</v>
      </c>
      <c r="H72" s="113">
        <f>VLOOKUP($A72,Mensal!$5:$1048576,26,0)</f>
        <v>2.9310936996617132E-2</v>
      </c>
      <c r="I72" s="112">
        <f>VLOOKUP($A72,Mensal!$5:$1048576,27,0)</f>
        <v>2.7587273226534537E-2</v>
      </c>
      <c r="J72" s="112">
        <f>VLOOKUP($A72,Mensal!$5:$1048576,28,0)</f>
        <v>2.5854891781707856E-2</v>
      </c>
      <c r="K72" s="113">
        <f>VLOOKUP($A72,Mensal!$5:$1048576,29,0)</f>
        <v>0.1225</v>
      </c>
      <c r="L72" s="112">
        <f>VLOOKUP($A72,Mensal!$5:$1048576,30,0)</f>
        <v>0.115</v>
      </c>
      <c r="M72" s="112">
        <f>VLOOKUP($A72,Mensal!$5:$1048576,31,0)</f>
        <v>0.1075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5.78</v>
      </c>
      <c r="R72" s="115">
        <f>VLOOKUP($A72,Mensal!$5:$1048576,36,0)</f>
        <v>5.52</v>
      </c>
      <c r="S72" s="115">
        <f>VLOOKUP($A72,Mensal!$5:$1048576,37,0)</f>
        <v>5.6</v>
      </c>
      <c r="T72" s="116">
        <v>1.8499999999999999</v>
      </c>
      <c r="U72" s="117">
        <v>1.65</v>
      </c>
      <c r="V72" s="117">
        <v>1.8499999999999999</v>
      </c>
      <c r="X72" s="153">
        <f>VLOOKUP($A72,Mensal!$5:$1048576,42,0)</f>
        <v>3.900128709912476E-2</v>
      </c>
      <c r="Y72" s="153"/>
      <c r="Z72" s="153">
        <f t="shared" si="6"/>
        <v>1.9061048505158773E-2</v>
      </c>
      <c r="AA72" s="153">
        <f t="shared" si="5"/>
        <v>-3.6430452559693127E-2</v>
      </c>
    </row>
    <row r="73" spans="1:27">
      <c r="A73" s="6">
        <v>45901</v>
      </c>
      <c r="B73" s="112">
        <f>VLOOKUP($A73,Mensal!$5:$1048576,20,0)</f>
        <v>8.515486778548409E-3</v>
      </c>
      <c r="C73" s="112">
        <f>VLOOKUP($A73,Mensal!$5:$1048576,21,0)</f>
        <v>5.4786254770307075E-3</v>
      </c>
      <c r="D73" s="112">
        <f>VLOOKUP($A73,Mensal!$5:$1048576,22,0)</f>
        <v>5.1821715838373805E-3</v>
      </c>
      <c r="E73" s="113">
        <f>VLOOKUP($A73,Mensal!$5:$1048576,23,0)</f>
        <v>8.7309307741219033E-3</v>
      </c>
      <c r="F73" s="112">
        <f>VLOOKUP($A73,Mensal!$5:$1048576,24,0)</f>
        <v>6.9945902164052498E-3</v>
      </c>
      <c r="G73" s="112">
        <f>VLOOKUP($A73,Mensal!$5:$1048576,25,0)</f>
        <v>6.8462073379873534E-3</v>
      </c>
      <c r="H73" s="113">
        <f>VLOOKUP($A73,Mensal!$5:$1048576,26,0)</f>
        <v>2.9310936996617132E-2</v>
      </c>
      <c r="I73" s="112">
        <f>VLOOKUP($A73,Mensal!$5:$1048576,27,0)</f>
        <v>2.7010354260849301E-2</v>
      </c>
      <c r="J73" s="112">
        <f>VLOOKUP($A73,Mensal!$5:$1048576,28,0)</f>
        <v>2.52750388557621E-2</v>
      </c>
      <c r="K73" s="113">
        <f>VLOOKUP($A73,Mensal!$5:$1048576,29,0)</f>
        <v>0.1225</v>
      </c>
      <c r="L73" s="112">
        <f>VLOOKUP($A73,Mensal!$5:$1048576,30,0)</f>
        <v>0.11</v>
      </c>
      <c r="M73" s="112">
        <f>VLOOKUP($A73,Mensal!$5:$1048576,31,0)</f>
        <v>0.10249999999999999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5.77</v>
      </c>
      <c r="R73" s="115">
        <f>VLOOKUP($A73,Mensal!$5:$1048576,36,0)</f>
        <v>5.5</v>
      </c>
      <c r="S73" s="115">
        <f>VLOOKUP($A73,Mensal!$5:$1048576,37,0)</f>
        <v>5.51</v>
      </c>
      <c r="T73" s="116">
        <v>1.65</v>
      </c>
      <c r="U73" s="117">
        <v>1.45</v>
      </c>
      <c r="V73" s="117">
        <v>1.65</v>
      </c>
      <c r="X73" s="153">
        <f>VLOOKUP($A73,Mensal!$5:$1048576,42,0)</f>
        <v>3.634354697404496E-2</v>
      </c>
      <c r="Y73" s="153"/>
      <c r="Z73" s="153">
        <f t="shared" si="6"/>
        <v>1.9876734432250132E-2</v>
      </c>
      <c r="AA73" s="153">
        <f t="shared" si="5"/>
        <v>-3.4007590510840013E-2</v>
      </c>
    </row>
    <row r="74" spans="1:27">
      <c r="A74" s="6">
        <v>45992</v>
      </c>
      <c r="B74" s="112">
        <f>VLOOKUP($A74,Mensal!$5:$1048576,20,0)</f>
        <v>1.288093788517819E-2</v>
      </c>
      <c r="C74" s="112">
        <f>VLOOKUP($A74,Mensal!$5:$1048576,21,0)</f>
        <v>9.8353214036306369E-3</v>
      </c>
      <c r="D74" s="112">
        <f>VLOOKUP($A74,Mensal!$5:$1048576,22,0)</f>
        <v>9.5380123701767072E-3</v>
      </c>
      <c r="E74" s="113">
        <f>VLOOKUP($A74,Mensal!$5:$1048576,23,0)</f>
        <v>1.2252956740890886E-2</v>
      </c>
      <c r="F74" s="112">
        <f>VLOOKUP($A74,Mensal!$5:$1048576,24,0)</f>
        <v>1.0512574350645787E-2</v>
      </c>
      <c r="G74" s="112">
        <f>VLOOKUP($A74,Mensal!$5:$1048576,25,0)</f>
        <v>1.0363845960633444E-2</v>
      </c>
      <c r="H74" s="113">
        <f>VLOOKUP($A74,Mensal!$5:$1048576,26,0)</f>
        <v>2.9310936996617132E-2</v>
      </c>
      <c r="I74" s="112">
        <f>VLOOKUP($A74,Mensal!$5:$1048576,27,0)</f>
        <v>2.5854456171298335E-2</v>
      </c>
      <c r="J74" s="112">
        <f>VLOOKUP($A74,Mensal!$5:$1048576,28,0)</f>
        <v>2.4113248263115006E-2</v>
      </c>
      <c r="K74" s="113">
        <f>VLOOKUP($A74,Mensal!$5:$1048576,29,0)</f>
        <v>0.1225</v>
      </c>
      <c r="L74" s="112">
        <f>VLOOKUP($A74,Mensal!$5:$1048576,30,0)</f>
        <v>0.105</v>
      </c>
      <c r="M74" s="112">
        <f>VLOOKUP($A74,Mensal!$5:$1048576,31,0)</f>
        <v>9.7500000000000003E-2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5.81</v>
      </c>
      <c r="R74" s="115">
        <f>VLOOKUP($A74,Mensal!$5:$1048576,36,0)</f>
        <v>5.5</v>
      </c>
      <c r="S74" s="115">
        <f>VLOOKUP($A74,Mensal!$5:$1048576,37,0)</f>
        <v>5.51</v>
      </c>
      <c r="T74" s="116">
        <v>1.25</v>
      </c>
      <c r="U74" s="117">
        <v>1.05</v>
      </c>
      <c r="V74" s="117">
        <v>1.25</v>
      </c>
      <c r="X74" s="153">
        <f>VLOOKUP($A74,Mensal!$5:$1048576,42,0)</f>
        <v>3.8090808697275991E-2</v>
      </c>
      <c r="Y74" s="153"/>
      <c r="Z74" s="153">
        <f t="shared" si="6"/>
        <v>1.5182277004827105E-2</v>
      </c>
      <c r="AA74" s="153">
        <f t="shared" si="5"/>
        <v>-3.5681665213623592E-2</v>
      </c>
    </row>
    <row r="75" spans="1:27">
      <c r="A75" s="53">
        <v>46082</v>
      </c>
      <c r="B75" s="106">
        <f>B71</f>
        <v>1.6122057810123103E-2</v>
      </c>
      <c r="C75" s="106">
        <f t="shared" ref="C75:G75" si="9">C71</f>
        <v>1.3069944433093061E-2</v>
      </c>
      <c r="D75" s="106">
        <f t="shared" si="9"/>
        <v>1.2772000831480224E-2</v>
      </c>
      <c r="E75" s="107">
        <f t="shared" si="9"/>
        <v>1.3432932548897991E-2</v>
      </c>
      <c r="F75" s="106">
        <f t="shared" si="9"/>
        <v>1.1691197632252459E-2</v>
      </c>
      <c r="G75" s="106">
        <f t="shared" si="9"/>
        <v>1.1542353622969959E-2</v>
      </c>
      <c r="H75" s="107">
        <f>VLOOKUP($A75,Mensal!$5:$1048576,26,0)</f>
        <v>2.8545791278303811E-2</v>
      </c>
      <c r="I75" s="106">
        <f>VLOOKUP($A75,Mensal!$5:$1048576,27,0)</f>
        <v>2.4501244095521013E-2</v>
      </c>
      <c r="J75" s="106">
        <f>VLOOKUP($A75,Mensal!$5:$1048576,28,0)</f>
        <v>2.2753105806352814E-2</v>
      </c>
      <c r="K75" s="107">
        <f>VLOOKUP($A75,Mensal!$5:$1048576,29,0)</f>
        <v>0.11749999999999999</v>
      </c>
      <c r="L75" s="106">
        <f>VLOOKUP($A75,Mensal!$5:$1048576,30,0)</f>
        <v>0.1</v>
      </c>
      <c r="M75" s="106">
        <f>VLOOKUP($A75,Mensal!$5:$1048576,31,0)</f>
        <v>9.2499999999999999E-2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5.81</v>
      </c>
      <c r="R75" s="109">
        <f>VLOOKUP($A75,Mensal!$5:$1048576,36,0)</f>
        <v>5.5</v>
      </c>
      <c r="S75" s="109">
        <f>VLOOKUP($A75,Mensal!$5:$1048576,37,0)</f>
        <v>5.51</v>
      </c>
      <c r="T75" s="110">
        <f>T71</f>
        <v>1.3499999999999999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1.2662012374180076E-2</v>
      </c>
      <c r="AA75" s="153">
        <f t="shared" si="5"/>
        <v>9.9999999999988987E-4</v>
      </c>
    </row>
    <row r="76" spans="1:27">
      <c r="A76" s="6">
        <v>46174</v>
      </c>
      <c r="B76" s="112">
        <f>B72</f>
        <v>1.0769659587387403E-2</v>
      </c>
      <c r="C76" s="112">
        <f t="shared" ref="C76:G76" si="10">C72</f>
        <v>7.7282772542037748E-3</v>
      </c>
      <c r="D76" s="112">
        <f t="shared" si="10"/>
        <v>7.431381780584001E-3</v>
      </c>
      <c r="E76" s="113">
        <f t="shared" si="10"/>
        <v>1.0104663050284346E-2</v>
      </c>
      <c r="F76" s="112">
        <f t="shared" si="10"/>
        <v>8.3667457743408225E-3</v>
      </c>
      <c r="G76" s="112">
        <f t="shared" si="10"/>
        <v>8.2182281119114187E-3</v>
      </c>
      <c r="H76" s="113">
        <f>VLOOKUP($A76,Mensal!$5:$1048576,26,0)</f>
        <v>2.7586842730897398E-2</v>
      </c>
      <c r="I76" s="112">
        <f>VLOOKUP($A76,Mensal!$5:$1048576,27,0)</f>
        <v>2.3530867145135748E-2</v>
      </c>
      <c r="J76" s="112">
        <f>VLOOKUP($A76,Mensal!$5:$1048576,28,0)</f>
        <v>2.1777732941554717E-2</v>
      </c>
      <c r="K76" s="113">
        <f>VLOOKUP($A76,Mensal!$5:$1048576,29,0)</f>
        <v>0.1125</v>
      </c>
      <c r="L76" s="112">
        <f>VLOOKUP($A76,Mensal!$5:$1048576,30,0)</f>
        <v>9.5000000000000001E-2</v>
      </c>
      <c r="M76" s="112">
        <f>VLOOKUP($A76,Mensal!$5:$1048576,31,0)</f>
        <v>8.7499999999999994E-2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5.81</v>
      </c>
      <c r="R76" s="115">
        <f>VLOOKUP($A76,Mensal!$5:$1048576,36,0)</f>
        <v>5.5</v>
      </c>
      <c r="S76" s="115">
        <f>VLOOKUP($A76,Mensal!$5:$1048576,37,0)</f>
        <v>5.51</v>
      </c>
      <c r="T76" s="116">
        <f t="shared" ref="T76" si="11">T72</f>
        <v>1.8499999999999999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1.5038299739992045E-2</v>
      </c>
      <c r="AA76" s="153">
        <f t="shared" si="5"/>
        <v>9.5000000000000639E-4</v>
      </c>
    </row>
    <row r="77" spans="1:27">
      <c r="A77" s="6">
        <v>46266</v>
      </c>
      <c r="B77" s="112">
        <f t="shared" ref="B77:G78" si="12">B73</f>
        <v>8.515486778548409E-3</v>
      </c>
      <c r="C77" s="112">
        <f t="shared" si="12"/>
        <v>5.4786254770307075E-3</v>
      </c>
      <c r="D77" s="112">
        <f t="shared" si="12"/>
        <v>5.1821715838373805E-3</v>
      </c>
      <c r="E77" s="113">
        <f t="shared" si="12"/>
        <v>8.7309307741219033E-3</v>
      </c>
      <c r="F77" s="112">
        <f t="shared" si="12"/>
        <v>6.9945902164052498E-3</v>
      </c>
      <c r="G77" s="112">
        <f t="shared" si="12"/>
        <v>6.8462073379873534E-3</v>
      </c>
      <c r="H77" s="113">
        <f>VLOOKUP($A77,Mensal!$5:$1048576,26,0)</f>
        <v>2.6432893353015796E-2</v>
      </c>
      <c r="I77" s="112">
        <f>VLOOKUP($A77,Mensal!$5:$1048576,27,0)</f>
        <v>2.2363113479078933E-2</v>
      </c>
      <c r="J77" s="112">
        <f>VLOOKUP($A77,Mensal!$5:$1048576,28,0)</f>
        <v>2.0800157770171968E-2</v>
      </c>
      <c r="K77" s="113">
        <f>VLOOKUP($A77,Mensal!$5:$1048576,29,0)</f>
        <v>0.1075</v>
      </c>
      <c r="L77" s="112">
        <f>VLOOKUP($A77,Mensal!$5:$1048576,30,0)</f>
        <v>0.09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5.81</v>
      </c>
      <c r="R77" s="115">
        <f>VLOOKUP($A77,Mensal!$5:$1048576,36,0)</f>
        <v>5.5</v>
      </c>
      <c r="S77" s="115">
        <f>VLOOKUP($A77,Mensal!$5:$1048576,37,0)</f>
        <v>5.51</v>
      </c>
      <c r="T77" s="116">
        <f t="shared" ref="T77" si="13">T73</f>
        <v>1.65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1.5261773411683333E-2</v>
      </c>
      <c r="AA77" s="153">
        <f t="shared" si="5"/>
        <v>8.9999999999990088E-4</v>
      </c>
    </row>
    <row r="78" spans="1:27">
      <c r="A78" s="6">
        <v>46357</v>
      </c>
      <c r="B78" s="112">
        <f t="shared" si="12"/>
        <v>1.288093788517819E-2</v>
      </c>
      <c r="C78" s="112">
        <f t="shared" si="12"/>
        <v>9.8353214036306369E-3</v>
      </c>
      <c r="D78" s="112">
        <f t="shared" si="12"/>
        <v>9.5380123701767072E-3</v>
      </c>
      <c r="E78" s="113">
        <f t="shared" si="12"/>
        <v>1.2252956740890886E-2</v>
      </c>
      <c r="F78" s="112">
        <f t="shared" si="12"/>
        <v>1.0512574350645787E-2</v>
      </c>
      <c r="G78" s="112">
        <f t="shared" si="12"/>
        <v>1.0363845960633444E-2</v>
      </c>
      <c r="H78" s="113">
        <f>VLOOKUP($A78,Mensal!$5:$1048576,26,0)</f>
        <v>2.5468578350652304E-2</v>
      </c>
      <c r="I78" s="112">
        <f>VLOOKUP($A78,Mensal!$5:$1048576,27,0)</f>
        <v>2.1778180864640895E-2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5.81</v>
      </c>
      <c r="R78" s="115">
        <f>VLOOKUP($A78,Mensal!$5:$1048576,36,0)</f>
        <v>5.5</v>
      </c>
      <c r="S78" s="115">
        <f>VLOOKUP($A78,Mensal!$5:$1048576,37,0)</f>
        <v>5.51</v>
      </c>
      <c r="T78" s="116">
        <f t="shared" ref="T78" si="14">T74</f>
        <v>1.25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1.1148408045525082E-2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5.81</v>
      </c>
      <c r="R79" s="109">
        <f>VLOOKUP($A79,Mensal!$5:$1048576,36,0)</f>
        <v>5.5</v>
      </c>
      <c r="S79" s="109">
        <f>VLOOKUP($A79,Mensal!$5:$1048576,37,0)</f>
        <v>5.51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5.81</v>
      </c>
      <c r="R80" s="115">
        <f>VLOOKUP($A80,Mensal!$5:$1048576,36,0)</f>
        <v>5.5</v>
      </c>
      <c r="S80" s="115">
        <f>VLOOKUP($A80,Mensal!$5:$1048576,37,0)</f>
        <v>5.51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5.81</v>
      </c>
      <c r="R81" s="115">
        <f>VLOOKUP($A81,Mensal!$5:$1048576,36,0)</f>
        <v>5.5</v>
      </c>
      <c r="S81" s="115">
        <f>VLOOKUP($A81,Mensal!$5:$1048576,37,0)</f>
        <v>5.51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5.81</v>
      </c>
      <c r="R82" s="115">
        <f>VLOOKUP($A82,Mensal!$5:$1048576,36,0)</f>
        <v>5.5</v>
      </c>
      <c r="S82" s="115">
        <f>VLOOKUP($A82,Mensal!$5:$1048576,37,0)</f>
        <v>5.51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9" sqref="T19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31.5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7"/>
      <c r="W1" s="258" t="s">
        <v>34</v>
      </c>
      <c r="X1" s="256"/>
      <c r="Y1" s="257"/>
      <c r="Z1" s="258" t="s">
        <v>52</v>
      </c>
      <c r="AA1" s="256"/>
      <c r="AB1" s="259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4.2383431287046358E-2</v>
      </c>
      <c r="C19" s="147">
        <f>VLOOKUP($A19,Mensal!$5:$1048576,39,0)</f>
        <v>3.6176803559640369E-2</v>
      </c>
      <c r="D19" s="147">
        <f>VLOOKUP($A19,Mensal!$5:$1048576,40,0)</f>
        <v>3.3083904230547301E-2</v>
      </c>
      <c r="E19" s="148">
        <f>VLOOKUP($A19,Mensal!$5:$1048576,41,0)</f>
        <v>4.7937225734597577E-2</v>
      </c>
      <c r="F19" s="147">
        <f>VLOOKUP($A19,Mensal!$5:$1048576,42,0)</f>
        <v>4.3771241136172145E-2</v>
      </c>
      <c r="G19" s="147">
        <f>VLOOKUP($A19,Mensal!$5:$1048576,43,0)</f>
        <v>4.16929129423107E-2</v>
      </c>
      <c r="H19" s="132">
        <f>VLOOKUP($A19,Mensal!$5:$1048576,44,0)</f>
        <v>0.1087432023307664</v>
      </c>
      <c r="I19" s="131">
        <f>VLOOKUP($A19,Mensal!$5:$1048576,45,0)</f>
        <v>0.10812118417540595</v>
      </c>
      <c r="J19" s="131">
        <f>VLOOKUP($A19,Mensal!$5:$1048576,46,0)</f>
        <v>0.10749718255795915</v>
      </c>
      <c r="K19" s="132">
        <f>VLOOKUP($A19,Mensal!$5:$1048576,47,0)</f>
        <v>0.11749999999999999</v>
      </c>
      <c r="L19" s="131">
        <f>VLOOKUP($A19,Mensal!$5:$1048576,48,0)</f>
        <v>0.1125</v>
      </c>
      <c r="M19" s="131">
        <f>VLOOKUP($A19,Mensal!$5:$1048576,49,0)</f>
        <v>0.1075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5.72</v>
      </c>
      <c r="R19" s="134">
        <f>VLOOKUP($A19,Mensal!$5:$1048576,54,0)</f>
        <v>5.53</v>
      </c>
      <c r="S19" s="134">
        <f>VLOOKUP($A19,Mensal!$5:$1048576,55,0)</f>
        <v>6.23</v>
      </c>
      <c r="T19" s="118">
        <v>3.2</v>
      </c>
      <c r="U19" s="119">
        <v>3.1</v>
      </c>
      <c r="V19" s="119">
        <v>2.9</v>
      </c>
      <c r="W19" s="118">
        <f>VLOOKUP($A19,Mensal!$A:$BI,Mensal!BD$1,0)</f>
        <v>141.94499999999999</v>
      </c>
      <c r="X19" s="119">
        <f>VLOOKUP($A19,Mensal!$A:$BI,Mensal!BE$1,0)</f>
        <v>151.94499999999999</v>
      </c>
      <c r="Y19" s="119">
        <f>VLOOKUP($A19,Mensal!$A:$BI,Mensal!BF$1,0)</f>
        <v>157.57</v>
      </c>
      <c r="Z19" s="118">
        <f>VLOOKUP($A19,Mensal!$A:$BI,Mensal!BG$1,0)</f>
        <v>5.4225000000000003</v>
      </c>
      <c r="AA19" s="119">
        <f>VLOOKUP($A19,Mensal!$A:$BI,Mensal!BH$1,0)</f>
        <v>5.3816666666666668</v>
      </c>
      <c r="AB19" s="119">
        <f>VLOOKUP($A19,Mensal!$A:$BI,Mensal!BI$1,0)</f>
        <v>5.53</v>
      </c>
    </row>
    <row r="20" spans="1:28">
      <c r="A20" s="6">
        <v>45992</v>
      </c>
      <c r="B20" s="152">
        <f>VLOOKUP($A20,Mensal!$5:$1048576,38,0)</f>
        <v>4.9153528967749605E-2</v>
      </c>
      <c r="C20" s="147">
        <f>VLOOKUP($A20,Mensal!$5:$1048576,39,0)</f>
        <v>3.6588236595278989E-2</v>
      </c>
      <c r="D20" s="147">
        <f>VLOOKUP($A20,Mensal!$5:$1048576,40,0)</f>
        <v>3.5367705747840317E-2</v>
      </c>
      <c r="E20" s="148">
        <f>VLOOKUP($A20,Mensal!$5:$1048576,41,0)</f>
        <v>4.5263489166494697E-2</v>
      </c>
      <c r="F20" s="147">
        <f>VLOOKUP($A20,Mensal!$5:$1048576,42,0)</f>
        <v>3.8090808697275991E-2</v>
      </c>
      <c r="G20" s="147">
        <f>VLOOKUP($A20,Mensal!$5:$1048576,43,0)</f>
        <v>3.7479567741399045E-2</v>
      </c>
      <c r="H20" s="132">
        <f>VLOOKUP($A20,Mensal!$5:$1048576,44,0)</f>
        <v>0.12249999999999917</v>
      </c>
      <c r="I20" s="131">
        <f>VLOOKUP($A20,Mensal!$5:$1048576,45,0)</f>
        <v>0.11249483961573903</v>
      </c>
      <c r="J20" s="131">
        <f>VLOOKUP($A20,Mensal!$5:$1048576,46,0)</f>
        <v>0.10499480451791388</v>
      </c>
      <c r="K20" s="132">
        <f>VLOOKUP($A20,Mensal!$5:$1048576,47,0)</f>
        <v>0.1225</v>
      </c>
      <c r="L20" s="131">
        <f>VLOOKUP($A20,Mensal!$5:$1048576,48,0)</f>
        <v>0.105</v>
      </c>
      <c r="M20" s="131">
        <f>VLOOKUP($A20,Mensal!$5:$1048576,49,0)</f>
        <v>9.7500000000000003E-2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5.81</v>
      </c>
      <c r="R20" s="134">
        <f>VLOOKUP($A20,Mensal!$5:$1048576,54,0)</f>
        <v>5.5</v>
      </c>
      <c r="S20" s="134">
        <f>VLOOKUP($A20,Mensal!$5:$1048576,55,0)</f>
        <v>5.51</v>
      </c>
      <c r="T20" s="118">
        <v>1.5</v>
      </c>
      <c r="U20" s="119">
        <v>1.3</v>
      </c>
      <c r="V20" s="119">
        <v>1.5</v>
      </c>
      <c r="W20" s="118">
        <f t="shared" ref="W20:Y20" si="2">W19</f>
        <v>141.94499999999999</v>
      </c>
      <c r="X20" s="119">
        <f t="shared" si="2"/>
        <v>151.94499999999999</v>
      </c>
      <c r="Y20" s="119">
        <f t="shared" si="2"/>
        <v>157.57</v>
      </c>
      <c r="Z20" s="118">
        <f>VLOOKUP($A20,Mensal!$A:$BI,Mensal!BG$1,0)</f>
        <v>5.7708333333333321</v>
      </c>
      <c r="AA20" s="119">
        <f>VLOOKUP($A20,Mensal!$A:$BI,Mensal!BH$1,0)</f>
        <v>5.5183333333333335</v>
      </c>
      <c r="AB20" s="119">
        <f>VLOOKUP($A20,Mensal!$A:$BI,Mensal!BI$1,0)</f>
        <v>5.6999999999999993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0.11248735939186361</v>
      </c>
      <c r="I21" s="131">
        <f>VLOOKUP($A21,Mensal!$5:$1048576,45,0)</f>
        <v>9.5406291387035935E-2</v>
      </c>
      <c r="J21" s="131">
        <f>VLOOKUP($A21,Mensal!$5:$1048576,46,0)</f>
        <v>8.8743071168218668E-2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5.81</v>
      </c>
      <c r="R21" s="134">
        <f>VLOOKUP($A21,Mensal!$5:$1048576,54,0)</f>
        <v>5.5</v>
      </c>
      <c r="S21" s="134">
        <f>VLOOKUP($A21,Mensal!$5:$1048576,55,0)</f>
        <v>5.51</v>
      </c>
      <c r="T21" s="118">
        <v>1.5</v>
      </c>
      <c r="U21" s="119">
        <v>1.5</v>
      </c>
      <c r="V21" s="119">
        <v>1.5</v>
      </c>
      <c r="W21" s="118">
        <f t="shared" ref="W21:Y21" si="3">W20</f>
        <v>141.94499999999999</v>
      </c>
      <c r="X21" s="119">
        <f t="shared" si="3"/>
        <v>151.94499999999999</v>
      </c>
      <c r="Y21" s="119">
        <f t="shared" si="3"/>
        <v>157.57</v>
      </c>
      <c r="Z21" s="118">
        <f>VLOOKUP($A21,Mensal!$A:$BI,Mensal!BG$1,0)</f>
        <v>5.8100000000000014</v>
      </c>
      <c r="AA21" s="119">
        <f>VLOOKUP($A21,Mensal!$A:$BI,Mensal!BH$1,0)</f>
        <v>5.5</v>
      </c>
      <c r="AB21" s="119">
        <f>VLOOKUP($A21,Mensal!$A:$BI,Mensal!BI$1,0)</f>
        <v>5.5099999999999989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5.81</v>
      </c>
      <c r="R22" s="134">
        <f>VLOOKUP($A22,Mensal!$5:$1048576,54,0)</f>
        <v>5.5</v>
      </c>
      <c r="S22" s="134">
        <f>VLOOKUP($A22,Mensal!$5:$1048576,55,0)</f>
        <v>5.51</v>
      </c>
      <c r="T22" s="118">
        <v>1.5</v>
      </c>
      <c r="U22" s="119">
        <v>1.5</v>
      </c>
      <c r="V22" s="119">
        <v>1.5</v>
      </c>
      <c r="W22" s="118">
        <f t="shared" ref="W22:Y22" si="4">W21</f>
        <v>141.94499999999999</v>
      </c>
      <c r="X22" s="119">
        <f t="shared" si="4"/>
        <v>151.94499999999999</v>
      </c>
      <c r="Y22" s="119">
        <f t="shared" si="4"/>
        <v>157.57</v>
      </c>
      <c r="Z22" s="118">
        <f>VLOOKUP($A22,Mensal!$A:$BI,Mensal!BG$1,0)</f>
        <v>5.8100000000000014</v>
      </c>
      <c r="AA22" s="119">
        <f>VLOOKUP($A22,Mensal!$A:$BI,Mensal!BH$1,0)</f>
        <v>5.5</v>
      </c>
      <c r="AB22" s="119">
        <f>VLOOKUP($A22,Mensal!$A:$BI,Mensal!BI$1,0)</f>
        <v>5.5099999999999989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425781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4" t="s">
        <v>9</v>
      </c>
      <c r="D2" s="264" t="s">
        <v>10</v>
      </c>
      <c r="E2" s="265" t="s">
        <v>11</v>
      </c>
      <c r="F2" s="264" t="s">
        <v>12</v>
      </c>
      <c r="G2" s="265" t="s">
        <v>13</v>
      </c>
      <c r="H2" s="263" t="s">
        <v>14</v>
      </c>
    </row>
    <row r="3" spans="2:8" ht="16.5">
      <c r="B3" s="13"/>
      <c r="C3" s="264"/>
      <c r="D3" s="264"/>
      <c r="E3" s="265"/>
      <c r="F3" s="264"/>
      <c r="G3" s="265"/>
      <c r="H3" s="263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8" t="s">
        <v>16</v>
      </c>
      <c r="D4" s="268" t="s">
        <v>17</v>
      </c>
      <c r="E4" s="268" t="s">
        <v>18</v>
      </c>
      <c r="F4" s="268" t="s">
        <v>19</v>
      </c>
      <c r="G4" s="268" t="s">
        <v>20</v>
      </c>
      <c r="H4" s="268" t="s">
        <v>21</v>
      </c>
      <c r="I4" s="266" t="s">
        <v>22</v>
      </c>
    </row>
    <row r="5" spans="2:9" ht="15.75">
      <c r="B5" s="23"/>
      <c r="C5" s="269"/>
      <c r="D5" s="269"/>
      <c r="E5" s="269"/>
      <c r="F5" s="269"/>
      <c r="G5" s="269"/>
      <c r="H5" s="269"/>
      <c r="I5" s="267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4.3771241136172145E-2</v>
      </c>
      <c r="H11" s="32">
        <f>Externo!G28/100</f>
        <v>2.7000000000000003E-2</v>
      </c>
      <c r="I11" s="33">
        <f t="shared" si="1"/>
        <v>1.633032243054755E-2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8" t="s">
        <v>16</v>
      </c>
      <c r="D16" s="268" t="s">
        <v>17</v>
      </c>
      <c r="E16" s="268" t="s">
        <v>18</v>
      </c>
      <c r="F16" s="268" t="s">
        <v>19</v>
      </c>
      <c r="G16" s="268" t="s">
        <v>20</v>
      </c>
      <c r="H16" s="268" t="s">
        <v>21</v>
      </c>
      <c r="I16" s="266" t="s">
        <v>22</v>
      </c>
    </row>
    <row r="17" spans="2:9" ht="15.75">
      <c r="B17" s="23"/>
      <c r="C17" s="269"/>
      <c r="D17" s="269"/>
      <c r="E17" s="269"/>
      <c r="F17" s="269"/>
      <c r="G17" s="269"/>
      <c r="H17" s="269"/>
      <c r="I17" s="267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4.16929129423107E-2</v>
      </c>
      <c r="H23" s="32">
        <f t="shared" si="4"/>
        <v>2.7000000000000003E-2</v>
      </c>
      <c r="I23" s="33">
        <f t="shared" si="3"/>
        <v>1.4306633828929716E-2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8" t="s">
        <v>16</v>
      </c>
      <c r="D28" s="268" t="s">
        <v>17</v>
      </c>
      <c r="E28" s="268" t="s">
        <v>18</v>
      </c>
      <c r="F28" s="268" t="s">
        <v>19</v>
      </c>
      <c r="G28" s="268" t="s">
        <v>20</v>
      </c>
      <c r="H28" s="268" t="s">
        <v>21</v>
      </c>
      <c r="I28" s="266" t="s">
        <v>22</v>
      </c>
    </row>
    <row r="29" spans="2:9" ht="15.75">
      <c r="B29" s="23"/>
      <c r="C29" s="269"/>
      <c r="D29" s="269"/>
      <c r="E29" s="269"/>
      <c r="F29" s="269"/>
      <c r="G29" s="269"/>
      <c r="H29" s="269"/>
      <c r="I29" s="267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4.7937225734597577E-2</v>
      </c>
      <c r="H34" s="32">
        <f>H23</f>
        <v>2.7000000000000003E-2</v>
      </c>
      <c r="I34" s="33">
        <f t="shared" si="6"/>
        <v>2.0386782604282061E-2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8" t="s">
        <v>16</v>
      </c>
      <c r="D39" s="268" t="s">
        <v>17</v>
      </c>
      <c r="E39" s="268" t="s">
        <v>18</v>
      </c>
      <c r="F39" s="268" t="s">
        <v>19</v>
      </c>
      <c r="G39" s="268" t="s">
        <v>20</v>
      </c>
      <c r="H39" s="268" t="s">
        <v>21</v>
      </c>
      <c r="I39" s="266" t="s">
        <v>22</v>
      </c>
    </row>
    <row r="40" spans="2:9" ht="15.75" hidden="1">
      <c r="B40" s="23"/>
      <c r="C40" s="269"/>
      <c r="D40" s="269"/>
      <c r="E40" s="269"/>
      <c r="F40" s="269"/>
      <c r="G40" s="269"/>
      <c r="H40" s="269"/>
      <c r="I40" s="267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70" t="s">
        <v>32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30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31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2.8000000000000004E-3</v>
      </c>
      <c r="F195" s="43">
        <f>Mensal!F195</f>
        <v>2.8000000000000004E-3</v>
      </c>
      <c r="G195" s="43">
        <f>Mensal!G195</f>
        <v>2.8000000000000004E-3</v>
      </c>
      <c r="H195" s="45">
        <f t="shared" si="306"/>
        <v>50.002329485834707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75.003494228752032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148.22119097586713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28.572759706191256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67.860304302204227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82.146684155299852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37.501747114376016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67.860304302204227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50">
        <f t="shared" si="156"/>
        <v>-3.5715949632739066</v>
      </c>
      <c r="I204" s="42">
        <f t="shared" si="157"/>
        <v>203.53197363265306</v>
      </c>
      <c r="J204" s="45"/>
      <c r="K204" s="43"/>
      <c r="L204" s="43">
        <f t="shared" si="197"/>
        <v>4.2375990160564925E-2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5.706798404000013E-3</v>
      </c>
      <c r="AC204" s="192">
        <f t="shared" si="369"/>
        <v>5.706798404000013E-3</v>
      </c>
      <c r="AD204" s="192">
        <f t="shared" si="370"/>
        <v>5.706798404000013E-3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4.2375990160564925E-2</v>
      </c>
      <c r="AU204" s="192">
        <f t="shared" si="144"/>
        <v>4.2375990160564925E-2</v>
      </c>
      <c r="AV204" s="192">
        <f t="shared" si="145"/>
        <v>4.2375990160564925E-2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6.4242615429869736E-3</v>
      </c>
      <c r="C205" s="10">
        <f>Mensal!C205</f>
        <v>4.924261542986974E-3</v>
      </c>
      <c r="D205" s="10">
        <f>Mensal!D205</f>
        <v>4.1742615429869743E-3</v>
      </c>
      <c r="E205" s="67">
        <f>Mensal!E205</f>
        <v>6.9563854305538589E-3</v>
      </c>
      <c r="F205" s="10">
        <f>Mensal!F205</f>
        <v>5.9563854305538589E-3</v>
      </c>
      <c r="G205" s="10">
        <f>Mensal!G205</f>
        <v>5.4563854305538593E-3</v>
      </c>
      <c r="H205" s="50">
        <f t="shared" si="156"/>
        <v>106.3689810154212</v>
      </c>
      <c r="I205" s="42">
        <f t="shared" si="157"/>
        <v>204.74428851505047</v>
      </c>
      <c r="J205" s="45"/>
      <c r="K205" s="43">
        <f>(AVERAGE(I203:I205)/AVERAGE(I191:I193))-1</f>
        <v>4.4408815218340836E-2</v>
      </c>
      <c r="L205" s="43">
        <f t="shared" si="197"/>
        <v>4.5865532935883024E-2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147.56333333333333</v>
      </c>
      <c r="T205" s="40">
        <f>Mensal!O205</f>
        <v>154.22999999999999</v>
      </c>
      <c r="U205" s="40">
        <f>Mensal!P205</f>
        <v>157.97999999999999</v>
      </c>
      <c r="V205" s="81">
        <f>Mensal!Q205</f>
        <v>5.71</v>
      </c>
      <c r="W205" s="47">
        <f>Mensal!R205</f>
        <v>5.64</v>
      </c>
      <c r="X205" s="47">
        <f>Mensal!S205</f>
        <v>5.88</v>
      </c>
      <c r="Y205" s="193">
        <f t="shared" si="365"/>
        <v>1.5499883542060555E-2</v>
      </c>
      <c r="Z205" s="192">
        <f t="shared" si="366"/>
        <v>1.3986357007060413E-2</v>
      </c>
      <c r="AA205" s="192">
        <f t="shared" si="367"/>
        <v>1.3229593739560341E-2</v>
      </c>
      <c r="AB205" s="191">
        <f t="shared" si="368"/>
        <v>1.0580663131251056E-2</v>
      </c>
      <c r="AC205" s="192">
        <f t="shared" si="369"/>
        <v>9.5770638912509032E-3</v>
      </c>
      <c r="AD205" s="192">
        <f t="shared" si="370"/>
        <v>9.0752642712508269E-3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147.56333333333333</v>
      </c>
      <c r="AL205" s="195">
        <f t="shared" si="149"/>
        <v>154.22999999999999</v>
      </c>
      <c r="AM205" s="195">
        <f t="shared" si="149"/>
        <v>157.97999999999999</v>
      </c>
      <c r="AN205" s="194">
        <f t="shared" si="147"/>
        <v>5.71</v>
      </c>
      <c r="AO205" s="195">
        <f t="shared" si="147"/>
        <v>5.64</v>
      </c>
      <c r="AP205" s="195">
        <f t="shared" si="147"/>
        <v>5.88</v>
      </c>
      <c r="AQ205" s="193">
        <f t="shared" si="140"/>
        <v>4.5505908030465836E-2</v>
      </c>
      <c r="AR205" s="192">
        <f t="shared" si="141"/>
        <v>4.3947659762840319E-2</v>
      </c>
      <c r="AS205" s="192">
        <f t="shared" si="142"/>
        <v>4.3168535629027449E-2</v>
      </c>
      <c r="AT205" s="191">
        <f t="shared" si="143"/>
        <v>4.6905205776657466E-2</v>
      </c>
      <c r="AU205" s="192">
        <f t="shared" si="144"/>
        <v>4.5865532935882802E-2</v>
      </c>
      <c r="AV205" s="192">
        <f t="shared" si="145"/>
        <v>4.5345696515495471E-2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147.56333333333333</v>
      </c>
      <c r="BD205" s="195">
        <f t="shared" si="363"/>
        <v>154.22999999999999</v>
      </c>
      <c r="BE205" s="195">
        <f t="shared" si="363"/>
        <v>157.97999999999999</v>
      </c>
      <c r="BF205" s="194">
        <f t="shared" si="364"/>
        <v>5.71</v>
      </c>
      <c r="BG205" s="195">
        <f t="shared" si="364"/>
        <v>5.64</v>
      </c>
      <c r="BH205" s="195">
        <f t="shared" si="364"/>
        <v>5.88</v>
      </c>
      <c r="BI205" s="196">
        <f t="shared" si="148"/>
        <v>148.07694444444442</v>
      </c>
      <c r="BJ205" s="197">
        <f t="shared" si="148"/>
        <v>148.63249999999999</v>
      </c>
      <c r="BK205" s="197">
        <f t="shared" si="148"/>
        <v>148.94499999999999</v>
      </c>
      <c r="BL205" s="194">
        <f t="shared" si="148"/>
        <v>5.2306250000000007</v>
      </c>
      <c r="BM205" s="195">
        <f t="shared" si="148"/>
        <v>5.2247916666666674</v>
      </c>
      <c r="BN205" s="195">
        <f t="shared" si="148"/>
        <v>5.244791666666667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7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50">
        <f t="shared" si="156"/>
        <v>71.637549967481036</v>
      </c>
      <c r="I206" s="42">
        <f t="shared" si="157"/>
        <v>205.56562348443393</v>
      </c>
      <c r="J206" s="45"/>
      <c r="K206" s="43"/>
      <c r="L206" s="43">
        <f t="shared" si="197"/>
        <v>4.7546926529763445E-2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144.89666666666668</v>
      </c>
      <c r="T206" s="40">
        <f>Mensal!O206</f>
        <v>158.22999999999999</v>
      </c>
      <c r="U206" s="40">
        <f>Mensal!P206</f>
        <v>165.73</v>
      </c>
      <c r="V206" s="81">
        <f>Mensal!Q206</f>
        <v>5.71</v>
      </c>
      <c r="W206" s="47">
        <f>Mensal!R206</f>
        <v>5.61</v>
      </c>
      <c r="X206" s="47">
        <f>Mensal!S206</f>
        <v>5.98</v>
      </c>
      <c r="Y206" s="193">
        <f t="shared" si="365"/>
        <v>1.388037778549589E-2</v>
      </c>
      <c r="Z206" s="192">
        <f t="shared" si="366"/>
        <v>1.0857507189703908E-2</v>
      </c>
      <c r="AA206" s="192">
        <f t="shared" si="367"/>
        <v>9.3477642855579468E-3</v>
      </c>
      <c r="AB206" s="191">
        <f t="shared" si="368"/>
        <v>1.1800362816880572E-2</v>
      </c>
      <c r="AC206" s="192">
        <f t="shared" si="369"/>
        <v>9.7897971091276403E-3</v>
      </c>
      <c r="AD206" s="192">
        <f t="shared" si="370"/>
        <v>8.785264105251045E-3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144.89666666666668</v>
      </c>
      <c r="AL206" s="195">
        <f t="shared" si="149"/>
        <v>158.22999999999999</v>
      </c>
      <c r="AM206" s="195">
        <f t="shared" si="149"/>
        <v>165.73</v>
      </c>
      <c r="AN206" s="194">
        <f t="shared" si="147"/>
        <v>5.71</v>
      </c>
      <c r="AO206" s="195">
        <f t="shared" si="147"/>
        <v>5.61</v>
      </c>
      <c r="AP206" s="195">
        <f t="shared" si="147"/>
        <v>5.98</v>
      </c>
      <c r="AQ206" s="193">
        <f t="shared" si="140"/>
        <v>4.4981058918392991E-2</v>
      </c>
      <c r="AR206" s="192">
        <f t="shared" si="141"/>
        <v>4.1865462063600756E-2</v>
      </c>
      <c r="AS206" s="192">
        <f t="shared" si="142"/>
        <v>4.0309407943966979E-2</v>
      </c>
      <c r="AT206" s="191">
        <f t="shared" si="143"/>
        <v>4.9632669457422729E-2</v>
      </c>
      <c r="AU206" s="192">
        <f t="shared" si="144"/>
        <v>4.7546926529763445E-2</v>
      </c>
      <c r="AV206" s="192">
        <f t="shared" si="145"/>
        <v>4.6504832953633723E-2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144.89666666666668</v>
      </c>
      <c r="BD206" s="195">
        <f t="shared" si="363"/>
        <v>158.22999999999999</v>
      </c>
      <c r="BE206" s="195">
        <f t="shared" si="363"/>
        <v>165.73</v>
      </c>
      <c r="BF206" s="194">
        <f t="shared" si="364"/>
        <v>5.71</v>
      </c>
      <c r="BG206" s="195">
        <f t="shared" si="364"/>
        <v>5.61</v>
      </c>
      <c r="BH206" s="195">
        <f t="shared" si="364"/>
        <v>5.98</v>
      </c>
      <c r="BI206" s="196">
        <f t="shared" si="148"/>
        <v>145.03666666666666</v>
      </c>
      <c r="BJ206" s="197">
        <f t="shared" si="148"/>
        <v>146.70333333333332</v>
      </c>
      <c r="BK206" s="197">
        <f t="shared" si="148"/>
        <v>147.64083333333332</v>
      </c>
      <c r="BL206" s="194">
        <f t="shared" si="148"/>
        <v>5.2850000000000001</v>
      </c>
      <c r="BM206" s="195">
        <f t="shared" si="148"/>
        <v>5.270833333333333</v>
      </c>
      <c r="BN206" s="195">
        <f t="shared" si="148"/>
        <v>5.3216666666666663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7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50">
        <f t="shared" si="156"/>
        <v>18.38993439101559</v>
      </c>
      <c r="I207" s="42">
        <f t="shared" si="157"/>
        <v>205.77731256831939</v>
      </c>
      <c r="J207" s="45"/>
      <c r="K207" s="43"/>
      <c r="L207" s="43">
        <f t="shared" si="197"/>
        <v>4.5697724520395999E-2</v>
      </c>
      <c r="M207" s="67">
        <f t="shared" si="124"/>
        <v>1.0357460146983577E-3</v>
      </c>
      <c r="N207" s="10">
        <f t="shared" si="125"/>
        <v>8.295381143461622E-4</v>
      </c>
      <c r="O207" s="10">
        <f t="shared" si="126"/>
        <v>6.2286180112658407E-4</v>
      </c>
      <c r="P207" s="67">
        <f>Mensal!K207</f>
        <v>0.1125</v>
      </c>
      <c r="Q207" s="10">
        <f>Mensal!L207</f>
        <v>0.11</v>
      </c>
      <c r="R207" s="10">
        <f>Mensal!M207</f>
        <v>0.1075</v>
      </c>
      <c r="S207" s="78">
        <f>Mensal!N207</f>
        <v>142.23000000000002</v>
      </c>
      <c r="T207" s="40">
        <f>Mensal!O207</f>
        <v>162.22999999999999</v>
      </c>
      <c r="U207" s="40">
        <f>Mensal!P207</f>
        <v>173.48</v>
      </c>
      <c r="V207" s="81">
        <f>Mensal!Q207</f>
        <v>5.71</v>
      </c>
      <c r="W207" s="47">
        <f>Mensal!R207</f>
        <v>5.58</v>
      </c>
      <c r="X207" s="47">
        <f>Mensal!S207</f>
        <v>6.05</v>
      </c>
      <c r="Y207" s="193">
        <f t="shared" si="365"/>
        <v>1.5519871293434573E-2</v>
      </c>
      <c r="Z207" s="192">
        <f t="shared" si="366"/>
        <v>1.0980210824262038E-2</v>
      </c>
      <c r="AA207" s="192">
        <f t="shared" si="367"/>
        <v>8.7154628190555528E-3</v>
      </c>
      <c r="AB207" s="191">
        <f t="shared" si="368"/>
        <v>1.4056914787139663E-2</v>
      </c>
      <c r="AC207" s="192">
        <f t="shared" si="369"/>
        <v>1.1031873251122759E-2</v>
      </c>
      <c r="AD207" s="192">
        <f t="shared" si="370"/>
        <v>9.5216111063818332E-3</v>
      </c>
      <c r="AE207" s="191">
        <f t="shared" si="159"/>
        <v>2.2831482288561133E-3</v>
      </c>
      <c r="AF207" s="192">
        <f t="shared" si="159"/>
        <v>2.0766833704557452E-3</v>
      </c>
      <c r="AG207" s="192">
        <f t="shared" si="159"/>
        <v>1.8697495154931243E-3</v>
      </c>
      <c r="AH207" s="132">
        <f t="shared" si="149"/>
        <v>0.1125</v>
      </c>
      <c r="AI207" s="131">
        <f t="shared" si="149"/>
        <v>0.11</v>
      </c>
      <c r="AJ207" s="131">
        <f t="shared" si="149"/>
        <v>0.1075</v>
      </c>
      <c r="AK207" s="194">
        <f t="shared" si="149"/>
        <v>142.23000000000002</v>
      </c>
      <c r="AL207" s="195">
        <f t="shared" si="149"/>
        <v>162.22999999999999</v>
      </c>
      <c r="AM207" s="195">
        <f t="shared" si="149"/>
        <v>173.48</v>
      </c>
      <c r="AN207" s="194">
        <f t="shared" si="147"/>
        <v>5.71</v>
      </c>
      <c r="AO207" s="195">
        <f t="shared" si="147"/>
        <v>5.58</v>
      </c>
      <c r="AP207" s="195">
        <f t="shared" si="147"/>
        <v>6.05</v>
      </c>
      <c r="AQ207" s="193">
        <f t="shared" si="140"/>
        <v>4.3549248608884206E-2</v>
      </c>
      <c r="AR207" s="192">
        <f t="shared" si="141"/>
        <v>3.888428891143314E-2</v>
      </c>
      <c r="AS207" s="192">
        <f t="shared" si="142"/>
        <v>3.6557031566767373E-2</v>
      </c>
      <c r="AT207" s="191">
        <f t="shared" si="143"/>
        <v>4.8826487455060574E-2</v>
      </c>
      <c r="AU207" s="192">
        <f t="shared" si="144"/>
        <v>4.5697724520395999E-2</v>
      </c>
      <c r="AV207" s="192">
        <f t="shared" si="145"/>
        <v>4.4135679119090554E-2</v>
      </c>
      <c r="AW207" s="191">
        <f t="shared" si="362"/>
        <v>8.7425299401098222E-3</v>
      </c>
      <c r="AX207" s="192">
        <f t="shared" si="362"/>
        <v>8.5347344843300643E-3</v>
      </c>
      <c r="AY207" s="192">
        <f t="shared" si="362"/>
        <v>8.3264670094613802E-3</v>
      </c>
      <c r="AZ207" s="132">
        <f t="shared" si="363"/>
        <v>0.1125</v>
      </c>
      <c r="BA207" s="131">
        <f t="shared" si="363"/>
        <v>0.11</v>
      </c>
      <c r="BB207" s="131">
        <f t="shared" si="363"/>
        <v>0.1075</v>
      </c>
      <c r="BC207" s="194">
        <f t="shared" si="363"/>
        <v>142.23000000000002</v>
      </c>
      <c r="BD207" s="195">
        <f t="shared" si="363"/>
        <v>162.22999999999999</v>
      </c>
      <c r="BE207" s="195">
        <f t="shared" si="363"/>
        <v>173.48</v>
      </c>
      <c r="BF207" s="194">
        <f t="shared" si="364"/>
        <v>5.71</v>
      </c>
      <c r="BG207" s="195">
        <f t="shared" si="364"/>
        <v>5.58</v>
      </c>
      <c r="BH207" s="195">
        <f t="shared" si="364"/>
        <v>6.05</v>
      </c>
      <c r="BI207" s="196">
        <f t="shared" si="148"/>
        <v>144.61166666666668</v>
      </c>
      <c r="BJ207" s="197">
        <f t="shared" si="148"/>
        <v>147.94500000000002</v>
      </c>
      <c r="BK207" s="197">
        <f t="shared" si="148"/>
        <v>149.82000000000002</v>
      </c>
      <c r="BL207" s="194">
        <f t="shared" si="148"/>
        <v>5.3491666666666662</v>
      </c>
      <c r="BM207" s="195">
        <f t="shared" si="148"/>
        <v>5.3241666666666667</v>
      </c>
      <c r="BN207" s="195">
        <f t="shared" si="148"/>
        <v>5.4141666666666666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7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50">
        <f t="shared" si="156"/>
        <v>66.920768414921639</v>
      </c>
      <c r="I208" s="42">
        <f>I207+(I207*F208)</f>
        <v>206.54844009095461</v>
      </c>
      <c r="J208" s="43">
        <f>(AVERAGE(I197:I208)/AVERAGE(I185:I196))-1</f>
        <v>4.3166593187060176E-2</v>
      </c>
      <c r="K208" s="43">
        <f>(AVERAGE(I206:I208)/AVERAGE(I194:I196))-1</f>
        <v>4.5666675916616439E-2</v>
      </c>
      <c r="L208" s="43">
        <f t="shared" si="197"/>
        <v>4.3771241136172367E-2</v>
      </c>
      <c r="M208" s="67">
        <f t="shared" si="124"/>
        <v>1.4467654179763922E-3</v>
      </c>
      <c r="N208" s="52">
        <f t="shared" si="125"/>
        <v>1.0357460146983577E-3</v>
      </c>
      <c r="O208" s="52">
        <f t="shared" si="126"/>
        <v>6.2286180112658407E-4</v>
      </c>
      <c r="P208" s="67">
        <f>Mensal!K208</f>
        <v>0.11749999999999999</v>
      </c>
      <c r="Q208" s="10">
        <f>Mensal!L208</f>
        <v>0.1125</v>
      </c>
      <c r="R208" s="10">
        <f>Mensal!M208</f>
        <v>0.1075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5.72</v>
      </c>
      <c r="W208" s="11">
        <f>Mensal!R208</f>
        <v>5.53</v>
      </c>
      <c r="X208" s="11">
        <f>Mensal!S208</f>
        <v>6.23</v>
      </c>
      <c r="Y208" s="193">
        <f t="shared" si="365"/>
        <v>1.5368799597080152E-2</v>
      </c>
      <c r="Z208" s="192">
        <f t="shared" si="366"/>
        <v>1.082958997193062E-2</v>
      </c>
      <c r="AA208" s="192">
        <f t="shared" si="367"/>
        <v>8.5650671360855135E-3</v>
      </c>
      <c r="AB208" s="191">
        <f t="shared" si="368"/>
        <v>1.1832341107548716E-2</v>
      </c>
      <c r="AC208" s="192">
        <f t="shared" si="369"/>
        <v>8.8117309107333952E-3</v>
      </c>
      <c r="AD208" s="192">
        <f t="shared" si="370"/>
        <v>7.3036827788450776E-3</v>
      </c>
      <c r="AE208" s="191">
        <f t="shared" si="159"/>
        <v>3.1084189102061899E-3</v>
      </c>
      <c r="AF208" s="192">
        <f t="shared" si="159"/>
        <v>2.4901674703565746E-3</v>
      </c>
      <c r="AG208" s="192">
        <f t="shared" si="159"/>
        <v>1.8697495154931243E-3</v>
      </c>
      <c r="AH208" s="132">
        <f t="shared" si="149"/>
        <v>0.11749999999999999</v>
      </c>
      <c r="AI208" s="131">
        <f t="shared" si="149"/>
        <v>0.1125</v>
      </c>
      <c r="AJ208" s="131">
        <f t="shared" si="149"/>
        <v>0.1075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5.72</v>
      </c>
      <c r="AO208" s="195">
        <f t="shared" si="147"/>
        <v>5.53</v>
      </c>
      <c r="AP208" s="195">
        <f t="shared" si="147"/>
        <v>6.23</v>
      </c>
      <c r="AQ208" s="193">
        <f t="shared" ref="AQ208" si="493">FVSCHEDULE(1,B197:B208)-1</f>
        <v>4.2383431287046358E-2</v>
      </c>
      <c r="AR208" s="192">
        <f t="shared" ref="AR208" si="494">FVSCHEDULE(1,C197:C208)-1</f>
        <v>3.6176803559640369E-2</v>
      </c>
      <c r="AS208" s="192">
        <f t="shared" ref="AS208" si="495">FVSCHEDULE(1,D197:D208)-1</f>
        <v>3.3083904230547301E-2</v>
      </c>
      <c r="AT208" s="191">
        <f t="shared" ref="AT208" si="496">FVSCHEDULE(1,E197:E208)-1</f>
        <v>4.7937225734597577E-2</v>
      </c>
      <c r="AU208" s="192">
        <f>FVSCHEDULE(1,F197:F208)-1</f>
        <v>4.3771241136172145E-2</v>
      </c>
      <c r="AV208" s="192">
        <f t="shared" ref="AV208" si="497">FVSCHEDULE(1,G197:G208)-1</f>
        <v>4.16929129423107E-2</v>
      </c>
      <c r="AW208" s="191">
        <f t="shared" si="362"/>
        <v>8.7425299401098222E-3</v>
      </c>
      <c r="AX208" s="192">
        <f>FVSCHEDULE(1,N197:N208)-1</f>
        <v>8.1208059969983815E-3</v>
      </c>
      <c r="AY208" s="192">
        <f t="shared" si="362"/>
        <v>7.496903370312058E-3</v>
      </c>
      <c r="AZ208" s="132">
        <f t="shared" si="363"/>
        <v>0.11749999999999999</v>
      </c>
      <c r="BA208" s="131">
        <f t="shared" si="363"/>
        <v>0.1125</v>
      </c>
      <c r="BB208" s="131">
        <f t="shared" si="363"/>
        <v>0.1075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5.72</v>
      </c>
      <c r="BG208" s="195">
        <f t="shared" si="364"/>
        <v>5.53</v>
      </c>
      <c r="BH208" s="195">
        <f t="shared" si="364"/>
        <v>6.23</v>
      </c>
      <c r="BI208" s="196">
        <f t="shared" si="148"/>
        <v>141.94499999999999</v>
      </c>
      <c r="BJ208" s="197">
        <f t="shared" si="148"/>
        <v>151.94499999999999</v>
      </c>
      <c r="BK208" s="197">
        <f t="shared" si="148"/>
        <v>157.57</v>
      </c>
      <c r="BL208" s="194">
        <f t="shared" si="148"/>
        <v>5.4225000000000003</v>
      </c>
      <c r="BM208" s="195">
        <f t="shared" si="148"/>
        <v>5.3816666666666668</v>
      </c>
      <c r="BN208" s="195">
        <f t="shared" si="148"/>
        <v>5.53</v>
      </c>
    </row>
    <row r="209" spans="1:66">
      <c r="A209" s="53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6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3">
        <f t="shared" ref="H209:H220" si="498">(F209*H208)/F208</f>
        <v>64.228998744439224</v>
      </c>
      <c r="I209" s="95">
        <f t="shared" ref="I209:I220" si="499">I208+(I208*F209)</f>
        <v>207.29132385216963</v>
      </c>
      <c r="J209" s="97"/>
      <c r="K209" s="90"/>
      <c r="L209" s="90">
        <f t="shared" si="197"/>
        <v>4.3144122297934961E-2</v>
      </c>
      <c r="M209" s="66">
        <f t="shared" si="124"/>
        <v>1.855937535336194E-3</v>
      </c>
      <c r="N209" s="12">
        <f t="shared" si="125"/>
        <v>1.2414877164492744E-3</v>
      </c>
      <c r="O209" s="12">
        <f t="shared" si="126"/>
        <v>6.2286180112658407E-4</v>
      </c>
      <c r="P209" s="66">
        <f>Mensal!K209</f>
        <v>0.1225</v>
      </c>
      <c r="Q209" s="12">
        <f>Mensal!L209</f>
        <v>0.115</v>
      </c>
      <c r="R209" s="12">
        <f>Mensal!M209</f>
        <v>0.1075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3.1099478302984984E-3</v>
      </c>
      <c r="AG209" s="199">
        <f t="shared" ref="AG209:AG232" si="502">FVSCHEDULE(1,O207:O209)-1</f>
        <v>1.8697495154931243E-3</v>
      </c>
      <c r="AH209" s="227">
        <f t="shared" ref="AH209:AH232" si="503">P209</f>
        <v>0.1225</v>
      </c>
      <c r="AI209" s="228">
        <f t="shared" ref="AI209:AI232" si="504">Q209</f>
        <v>0.115</v>
      </c>
      <c r="AJ209" s="228">
        <f t="shared" ref="AJ209:AJ232" si="505">R209</f>
        <v>0.1075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8.3280038828097425E-3</v>
      </c>
      <c r="AY209" s="199">
        <f t="shared" ref="AY209:AY232" si="508">FVSCHEDULE(1,O198:O209)-1</f>
        <v>7.0813542070777835E-3</v>
      </c>
      <c r="AZ209" s="227">
        <f t="shared" ref="AZ209:AZ232" si="509">P209</f>
        <v>0.1225</v>
      </c>
      <c r="BA209" s="228">
        <f t="shared" ref="BA209:BA232" si="510">Q209</f>
        <v>0.115</v>
      </c>
      <c r="BB209" s="228">
        <f t="shared" ref="BB209:BB232" si="511">R209</f>
        <v>0.1075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7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50">
        <f t="shared" si="498"/>
        <v>103.43273253397271</v>
      </c>
      <c r="I210" s="42">
        <f t="shared" si="499"/>
        <v>208.49194756662132</v>
      </c>
      <c r="J210" s="45"/>
      <c r="K210" s="43"/>
      <c r="L210" s="43">
        <f t="shared" si="197"/>
        <v>4.0549414501164005E-2</v>
      </c>
      <c r="M210" s="67">
        <f t="shared" si="124"/>
        <v>1.855937535336194E-3</v>
      </c>
      <c r="N210" s="10">
        <f t="shared" si="125"/>
        <v>1.2414877164492744E-3</v>
      </c>
      <c r="O210" s="10">
        <f t="shared" si="126"/>
        <v>6.2286180112658407E-4</v>
      </c>
      <c r="P210" s="67">
        <f>Mensal!K210</f>
        <v>0.1225</v>
      </c>
      <c r="Q210" s="10">
        <f>Mensal!L210</f>
        <v>0.115</v>
      </c>
      <c r="R210" s="10">
        <f>Mensal!M210</f>
        <v>0.1075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3.5228360676429205E-3</v>
      </c>
      <c r="AG210" s="192">
        <f t="shared" si="502"/>
        <v>1.8697495154931243E-3</v>
      </c>
      <c r="AH210" s="132">
        <f t="shared" si="503"/>
        <v>0.1225</v>
      </c>
      <c r="AI210" s="131">
        <f t="shared" si="504"/>
        <v>0.115</v>
      </c>
      <c r="AJ210" s="131">
        <f t="shared" si="505"/>
        <v>0.1075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8.5352443537596301E-3</v>
      </c>
      <c r="AY210" s="192">
        <f t="shared" si="508"/>
        <v>6.6659764400096577E-3</v>
      </c>
      <c r="AZ210" s="132">
        <f t="shared" si="509"/>
        <v>0.1225</v>
      </c>
      <c r="BA210" s="131">
        <f t="shared" si="510"/>
        <v>0.115</v>
      </c>
      <c r="BB210" s="131">
        <f t="shared" si="511"/>
        <v>0.1075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7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50">
        <f t="shared" si="498"/>
        <v>40.367533279926633</v>
      </c>
      <c r="I211" s="42">
        <f t="shared" si="499"/>
        <v>208.96323872469137</v>
      </c>
      <c r="J211" s="45"/>
      <c r="K211" s="43">
        <f>(AVERAGE(I209:I211)/AVERAGE(I197:I199))-1</f>
        <v>4.1638691574473086E-2</v>
      </c>
      <c r="L211" s="43">
        <f t="shared" si="197"/>
        <v>4.1235575130213586E-2</v>
      </c>
      <c r="M211" s="67">
        <f t="shared" si="124"/>
        <v>1.855937535336194E-3</v>
      </c>
      <c r="N211" s="10">
        <f t="shared" si="125"/>
        <v>1.2414877164492744E-3</v>
      </c>
      <c r="O211" s="10">
        <f t="shared" si="126"/>
        <v>6.2286180112658407E-4</v>
      </c>
      <c r="P211" s="67">
        <f>Mensal!K211</f>
        <v>0.1225</v>
      </c>
      <c r="Q211" s="10">
        <f>Mensal!L211</f>
        <v>0.115</v>
      </c>
      <c r="R211" s="10">
        <f>Mensal!M211</f>
        <v>0.1075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5.5781525111981978E-3</v>
      </c>
      <c r="AF211" s="192">
        <f t="shared" si="501"/>
        <v>3.7290889380927617E-3</v>
      </c>
      <c r="AG211" s="192">
        <f t="shared" si="502"/>
        <v>1.8697495154931243E-3</v>
      </c>
      <c r="AH211" s="132">
        <f t="shared" si="503"/>
        <v>0.1225</v>
      </c>
      <c r="AI211" s="131">
        <f t="shared" si="504"/>
        <v>0.115</v>
      </c>
      <c r="AJ211" s="131">
        <f t="shared" si="505"/>
        <v>0.1075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1.1641338692844005E-2</v>
      </c>
      <c r="AX211" s="192">
        <f t="shared" si="507"/>
        <v>9.1587620270927594E-3</v>
      </c>
      <c r="AY211" s="192">
        <f t="shared" si="508"/>
        <v>6.6659764400098798E-3</v>
      </c>
      <c r="AZ211" s="132">
        <f t="shared" si="509"/>
        <v>0.1225</v>
      </c>
      <c r="BA211" s="131">
        <f t="shared" si="510"/>
        <v>0.115</v>
      </c>
      <c r="BB211" s="131">
        <f t="shared" si="511"/>
        <v>0.1075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7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50">
        <f t="shared" si="498"/>
        <v>71.001833656183692</v>
      </c>
      <c r="I212" s="42">
        <f t="shared" si="499"/>
        <v>209.79405931150214</v>
      </c>
      <c r="J212" s="150"/>
      <c r="K212" s="43"/>
      <c r="L212" s="43">
        <f t="shared" si="197"/>
        <v>4.1418053218495565E-2</v>
      </c>
      <c r="M212" s="67">
        <f t="shared" si="124"/>
        <v>1.855937535336194E-3</v>
      </c>
      <c r="N212" s="10">
        <f t="shared" si="125"/>
        <v>1.2414877164492744E-3</v>
      </c>
      <c r="O212" s="10">
        <f t="shared" si="126"/>
        <v>6.2286180112658407E-4</v>
      </c>
      <c r="P212" s="67">
        <f>Mensal!K212</f>
        <v>0.1225</v>
      </c>
      <c r="Q212" s="10">
        <f>Mensal!L212</f>
        <v>0.115</v>
      </c>
      <c r="R212" s="10">
        <f>Mensal!M212</f>
        <v>0.1075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5.5781525111981978E-3</v>
      </c>
      <c r="AF212" s="192">
        <f t="shared" si="501"/>
        <v>3.7290889380927617E-3</v>
      </c>
      <c r="AG212" s="192">
        <f t="shared" si="502"/>
        <v>1.8697495154931243E-3</v>
      </c>
      <c r="AH212" s="132">
        <f t="shared" si="503"/>
        <v>0.1225</v>
      </c>
      <c r="AI212" s="131">
        <f t="shared" si="504"/>
        <v>0.115</v>
      </c>
      <c r="AJ212" s="131">
        <f t="shared" si="505"/>
        <v>0.1075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1.288799258622042E-2</v>
      </c>
      <c r="AX212" s="192">
        <f t="shared" si="507"/>
        <v>9.7826651845134283E-3</v>
      </c>
      <c r="AY212" s="192">
        <f t="shared" si="508"/>
        <v>6.6659764400101018E-3</v>
      </c>
      <c r="AZ212" s="132">
        <f t="shared" si="509"/>
        <v>0.1225</v>
      </c>
      <c r="BA212" s="131">
        <f t="shared" si="510"/>
        <v>0.115</v>
      </c>
      <c r="BB212" s="131">
        <f t="shared" si="511"/>
        <v>0.1075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7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50">
        <f t="shared" si="498"/>
        <v>29.344500270275184</v>
      </c>
      <c r="I213" s="42">
        <f t="shared" si="499"/>
        <v>210.13879615279981</v>
      </c>
      <c r="J213" s="45"/>
      <c r="K213" s="43"/>
      <c r="L213" s="43">
        <f t="shared" si="197"/>
        <v>3.8352904103110763E-2</v>
      </c>
      <c r="M213" s="67">
        <f t="shared" si="124"/>
        <v>1.855937535336194E-3</v>
      </c>
      <c r="N213" s="10">
        <f t="shared" si="125"/>
        <v>1.2414877164492744E-3</v>
      </c>
      <c r="O213" s="10">
        <f t="shared" si="126"/>
        <v>6.2286180112658407E-4</v>
      </c>
      <c r="P213" s="67">
        <f>Mensal!K213</f>
        <v>0.1225</v>
      </c>
      <c r="Q213" s="10">
        <f>Mensal!L213</f>
        <v>0.115</v>
      </c>
      <c r="R213" s="10">
        <f>Mensal!M213</f>
        <v>0.1075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5.5781525111981978E-3</v>
      </c>
      <c r="AF213" s="192">
        <f t="shared" si="501"/>
        <v>3.7290889380927617E-3</v>
      </c>
      <c r="AG213" s="192">
        <f t="shared" si="502"/>
        <v>1.8697495154931243E-3</v>
      </c>
      <c r="AH213" s="132">
        <f t="shared" si="503"/>
        <v>0.1225</v>
      </c>
      <c r="AI213" s="131">
        <f t="shared" si="504"/>
        <v>0.115</v>
      </c>
      <c r="AJ213" s="131">
        <f t="shared" si="505"/>
        <v>0.1075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1.4346170669910174E-2</v>
      </c>
      <c r="AX213" s="192">
        <f t="shared" si="507"/>
        <v>1.0616169815507837E-2</v>
      </c>
      <c r="AY213" s="192">
        <f t="shared" si="508"/>
        <v>6.8744175810619979E-3</v>
      </c>
      <c r="AZ213" s="132">
        <f t="shared" si="509"/>
        <v>0.1225</v>
      </c>
      <c r="BA213" s="131">
        <f t="shared" si="510"/>
        <v>0.115</v>
      </c>
      <c r="BB213" s="131">
        <f t="shared" si="511"/>
        <v>0.1075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7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50">
        <f t="shared" si="498"/>
        <v>48.676293517120094</v>
      </c>
      <c r="I214" s="42">
        <f t="shared" si="499"/>
        <v>210.71158101928376</v>
      </c>
      <c r="J214" s="45"/>
      <c r="K214" s="43">
        <f>(AVERAGE(I212:I214)/AVERAGE(I200:I202))-1</f>
        <v>3.9587543831544059E-2</v>
      </c>
      <c r="L214" s="43">
        <f>I214/I202-1</f>
        <v>3.9001287099124538E-2</v>
      </c>
      <c r="M214" s="67">
        <f t="shared" si="124"/>
        <v>1.855937535336194E-3</v>
      </c>
      <c r="N214" s="10">
        <f t="shared" si="125"/>
        <v>1.2414877164492744E-3</v>
      </c>
      <c r="O214" s="10">
        <f t="shared" si="126"/>
        <v>6.2286180112658407E-4</v>
      </c>
      <c r="P214" s="67">
        <f>Mensal!K214</f>
        <v>0.1225</v>
      </c>
      <c r="Q214" s="10">
        <f>Mensal!L214</f>
        <v>0.115</v>
      </c>
      <c r="R214" s="10">
        <f>Mensal!M214</f>
        <v>0.1075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5.5781525111981978E-3</v>
      </c>
      <c r="AF214" s="192">
        <f t="shared" si="501"/>
        <v>3.7290889380927617E-3</v>
      </c>
      <c r="AG214" s="192">
        <f t="shared" si="502"/>
        <v>1.8697495154931243E-3</v>
      </c>
      <c r="AH214" s="132">
        <f t="shared" si="503"/>
        <v>0.1225</v>
      </c>
      <c r="AI214" s="131">
        <f t="shared" si="504"/>
        <v>0.115</v>
      </c>
      <c r="AJ214" s="131">
        <f t="shared" si="505"/>
        <v>0.1075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1.5806447982084082E-2</v>
      </c>
      <c r="AX214" s="192">
        <f t="shared" si="507"/>
        <v>1.1450362446003393E-2</v>
      </c>
      <c r="AY214" s="192">
        <f t="shared" si="508"/>
        <v>7.0829018821196854E-3</v>
      </c>
      <c r="AZ214" s="132">
        <f t="shared" si="509"/>
        <v>0.1225</v>
      </c>
      <c r="BA214" s="131">
        <f t="shared" si="510"/>
        <v>0.115</v>
      </c>
      <c r="BB214" s="131">
        <f t="shared" si="511"/>
        <v>0.1075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7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50">
        <f t="shared" si="498"/>
        <v>52.51324572900397</v>
      </c>
      <c r="I215" s="42">
        <f t="shared" si="499"/>
        <v>211.33120049718053</v>
      </c>
      <c r="J215" s="45"/>
      <c r="K215" s="43"/>
      <c r="L215" s="43">
        <f t="shared" si="197"/>
        <v>3.8111754561120037E-2</v>
      </c>
      <c r="M215" s="67">
        <f t="shared" si="124"/>
        <v>1.855937535336194E-3</v>
      </c>
      <c r="N215" s="10">
        <f t="shared" si="125"/>
        <v>1.2414877164492744E-3</v>
      </c>
      <c r="O215" s="10">
        <f t="shared" si="126"/>
        <v>6.2286180112658407E-4</v>
      </c>
      <c r="P215" s="67">
        <f>Mensal!K215</f>
        <v>0.1225</v>
      </c>
      <c r="Q215" s="10">
        <f>Mensal!L215</f>
        <v>0.115</v>
      </c>
      <c r="R215" s="10">
        <f>Mensal!M215</f>
        <v>0.1075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5.5781525111981978E-3</v>
      </c>
      <c r="AF215" s="192">
        <f t="shared" si="501"/>
        <v>3.7290889380927617E-3</v>
      </c>
      <c r="AG215" s="192">
        <f t="shared" si="502"/>
        <v>1.8697495154931243E-3</v>
      </c>
      <c r="AH215" s="132">
        <f t="shared" si="503"/>
        <v>0.1225</v>
      </c>
      <c r="AI215" s="131">
        <f t="shared" si="504"/>
        <v>0.115</v>
      </c>
      <c r="AJ215" s="131">
        <f t="shared" si="505"/>
        <v>0.1075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1.7268827544839827E-2</v>
      </c>
      <c r="AX215" s="192">
        <f t="shared" si="507"/>
        <v>1.2285243643895383E-2</v>
      </c>
      <c r="AY215" s="192">
        <f t="shared" si="508"/>
        <v>7.2914293521195717E-3</v>
      </c>
      <c r="AZ215" s="132">
        <f t="shared" si="509"/>
        <v>0.1225</v>
      </c>
      <c r="BA215" s="131">
        <f t="shared" si="510"/>
        <v>0.115</v>
      </c>
      <c r="BB215" s="131">
        <f t="shared" si="511"/>
        <v>0.1075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7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50">
        <f t="shared" si="498"/>
        <v>20.958854191455533</v>
      </c>
      <c r="I216" s="42">
        <f t="shared" si="499"/>
        <v>211.57922749144336</v>
      </c>
      <c r="J216" s="45"/>
      <c r="K216" s="43"/>
      <c r="L216" s="43">
        <f t="shared" si="197"/>
        <v>3.9538032846448301E-2</v>
      </c>
      <c r="M216" s="67">
        <f t="shared" si="124"/>
        <v>1.855937535336194E-3</v>
      </c>
      <c r="N216" s="10">
        <f t="shared" si="125"/>
        <v>1.0357460146983577E-3</v>
      </c>
      <c r="O216" s="10">
        <f t="shared" si="126"/>
        <v>4.1571484472902043E-4</v>
      </c>
      <c r="P216" s="67">
        <f>Mensal!K216</f>
        <v>0.1225</v>
      </c>
      <c r="Q216" s="10">
        <f>Mensal!L216</f>
        <v>0.1125</v>
      </c>
      <c r="R216" s="10">
        <f>Mensal!M216</f>
        <v>0.105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5.5781525111981978E-3</v>
      </c>
      <c r="AF216" s="192">
        <f t="shared" si="501"/>
        <v>3.5228360676429205E-3</v>
      </c>
      <c r="AG216" s="192">
        <f t="shared" si="502"/>
        <v>1.6623444308787594E-3</v>
      </c>
      <c r="AH216" s="132">
        <f t="shared" si="503"/>
        <v>0.1225</v>
      </c>
      <c r="AI216" s="131">
        <f t="shared" si="504"/>
        <v>0.1125</v>
      </c>
      <c r="AJ216" s="131">
        <f t="shared" si="505"/>
        <v>0.105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1.8733312384629608E-2</v>
      </c>
      <c r="AX216" s="192">
        <f t="shared" si="507"/>
        <v>1.2912631233520155E-2</v>
      </c>
      <c r="AY216" s="192">
        <f t="shared" si="508"/>
        <v>7.2914293521197937E-3</v>
      </c>
      <c r="AZ216" s="132">
        <f t="shared" si="509"/>
        <v>0.1225</v>
      </c>
      <c r="BA216" s="131">
        <f t="shared" si="510"/>
        <v>0.1125</v>
      </c>
      <c r="BB216" s="131">
        <f t="shared" si="511"/>
        <v>0.105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7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50">
        <f t="shared" si="498"/>
        <v>51.164803145547019</v>
      </c>
      <c r="I217" s="42">
        <f t="shared" si="499"/>
        <v>212.1854221823645</v>
      </c>
      <c r="J217" s="45"/>
      <c r="K217" s="43">
        <f>(AVERAGE(I215:I217)/AVERAGE(I203:I205))-1</f>
        <v>3.7994508025086526E-2</v>
      </c>
      <c r="L217" s="43">
        <f t="shared" si="197"/>
        <v>3.6343546974044294E-2</v>
      </c>
      <c r="M217" s="67">
        <f t="shared" si="124"/>
        <v>1.855937535336194E-3</v>
      </c>
      <c r="N217" s="10">
        <f t="shared" si="125"/>
        <v>8.295381143461622E-4</v>
      </c>
      <c r="O217" s="10">
        <f t="shared" si="126"/>
        <v>2.0809499864316017E-4</v>
      </c>
      <c r="P217" s="67">
        <f>Mensal!K217</f>
        <v>0.1225</v>
      </c>
      <c r="Q217" s="10">
        <f>Mensal!L217</f>
        <v>0.11</v>
      </c>
      <c r="R217" s="10">
        <f>Mensal!M217</f>
        <v>0.10249999999999999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5.5781525111981978E-3</v>
      </c>
      <c r="AF217" s="192">
        <f t="shared" si="501"/>
        <v>3.1099478302984984E-3</v>
      </c>
      <c r="AG217" s="192">
        <f t="shared" si="502"/>
        <v>1.247146753883932E-3</v>
      </c>
      <c r="AH217" s="132">
        <f t="shared" si="503"/>
        <v>0.1225</v>
      </c>
      <c r="AI217" s="131">
        <f t="shared" si="504"/>
        <v>0.11</v>
      </c>
      <c r="AJ217" s="131">
        <f t="shared" si="505"/>
        <v>0.10249999999999999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1.9988705775173532E-2</v>
      </c>
      <c r="AX217" s="192">
        <f t="shared" si="507"/>
        <v>1.3121845969889634E-2</v>
      </c>
      <c r="AY217" s="192">
        <f t="shared" si="508"/>
        <v>6.8738983708973578E-3</v>
      </c>
      <c r="AZ217" s="132">
        <f t="shared" si="509"/>
        <v>0.1225</v>
      </c>
      <c r="BA217" s="131">
        <f t="shared" si="510"/>
        <v>0.11</v>
      </c>
      <c r="BB217" s="131">
        <f t="shared" si="511"/>
        <v>0.10249999999999999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7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50">
        <f t="shared" si="498"/>
        <v>75.280073540393587</v>
      </c>
      <c r="I218" s="42">
        <f>I217+(I217*F218)</f>
        <v>213.07988722391255</v>
      </c>
      <c r="J218" s="45"/>
      <c r="K218" s="43"/>
      <c r="L218" s="43">
        <f t="shared" si="197"/>
        <v>3.6554087264729862E-2</v>
      </c>
      <c r="M218" s="67">
        <f t="shared" si="124"/>
        <v>1.855937535336194E-3</v>
      </c>
      <c r="N218" s="10">
        <f t="shared" si="125"/>
        <v>8.295381143461622E-4</v>
      </c>
      <c r="O218" s="10">
        <f t="shared" si="126"/>
        <v>2.0809499864316017E-4</v>
      </c>
      <c r="P218" s="67">
        <f>Mensal!K218</f>
        <v>0.1225</v>
      </c>
      <c r="Q218" s="10">
        <f>Mensal!L218</f>
        <v>0.11</v>
      </c>
      <c r="R218" s="10">
        <f>Mensal!M218</f>
        <v>0.10249999999999999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5.5781525111981978E-3</v>
      </c>
      <c r="AF218" s="192">
        <f t="shared" si="501"/>
        <v>2.6972294711973266E-3</v>
      </c>
      <c r="AG218" s="192">
        <f t="shared" si="502"/>
        <v>8.3212117990583145E-4</v>
      </c>
      <c r="AH218" s="132">
        <f t="shared" si="503"/>
        <v>0.1225</v>
      </c>
      <c r="AI218" s="131">
        <f t="shared" si="504"/>
        <v>0.11</v>
      </c>
      <c r="AJ218" s="131">
        <f t="shared" si="505"/>
        <v>0.10249999999999999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2.1245646197257884E-2</v>
      </c>
      <c r="AX218" s="192">
        <f t="shared" si="507"/>
        <v>1.3331103919073772E-2</v>
      </c>
      <c r="AY218" s="192">
        <f t="shared" si="508"/>
        <v>6.4565404598662113E-3</v>
      </c>
      <c r="AZ218" s="132">
        <f t="shared" si="509"/>
        <v>0.1225</v>
      </c>
      <c r="BA218" s="131">
        <f t="shared" si="510"/>
        <v>0.11</v>
      </c>
      <c r="BB218" s="131">
        <f t="shared" si="511"/>
        <v>0.10249999999999999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7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50">
        <f t="shared" si="498"/>
        <v>25.24507244621276</v>
      </c>
      <c r="I219" s="42">
        <f t="shared" si="499"/>
        <v>213.38110935268762</v>
      </c>
      <c r="J219" s="45"/>
      <c r="K219" s="43"/>
      <c r="L219" s="43">
        <f t="shared" si="197"/>
        <v>3.6951579790136968E-2</v>
      </c>
      <c r="M219" s="67">
        <f t="shared" si="124"/>
        <v>1.855937535336194E-3</v>
      </c>
      <c r="N219" s="10">
        <f t="shared" si="125"/>
        <v>6.2286180112658407E-4</v>
      </c>
      <c r="O219" s="10">
        <f t="shared" si="126"/>
        <v>0</v>
      </c>
      <c r="P219" s="67">
        <f>Mensal!K219</f>
        <v>0.1225</v>
      </c>
      <c r="Q219" s="10">
        <f>Mensal!L219</f>
        <v>0.1075</v>
      </c>
      <c r="R219" s="10">
        <f>Mensal!M219</f>
        <v>0.1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5.5781525111981978E-3</v>
      </c>
      <c r="AF219" s="192">
        <f t="shared" si="501"/>
        <v>2.2836599671220981E-3</v>
      </c>
      <c r="AG219" s="192">
        <f t="shared" si="502"/>
        <v>4.162333008148611E-4</v>
      </c>
      <c r="AH219" s="132">
        <f t="shared" si="503"/>
        <v>0.1225</v>
      </c>
      <c r="AI219" s="131">
        <f t="shared" si="504"/>
        <v>0.1075</v>
      </c>
      <c r="AJ219" s="131">
        <f t="shared" si="505"/>
        <v>0.1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2.208239655590738E-2</v>
      </c>
      <c r="AX219" s="192">
        <f t="shared" si="507"/>
        <v>1.3121845969889856E-2</v>
      </c>
      <c r="AY219" s="192">
        <f t="shared" si="508"/>
        <v>5.8300473449495183E-3</v>
      </c>
      <c r="AZ219" s="132">
        <f t="shared" si="509"/>
        <v>0.1225</v>
      </c>
      <c r="BA219" s="131">
        <f t="shared" si="510"/>
        <v>0.1075</v>
      </c>
      <c r="BB219" s="131">
        <f t="shared" si="511"/>
        <v>0.1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7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50">
        <f t="shared" si="498"/>
        <v>86.613644732014833</v>
      </c>
      <c r="I220" s="42">
        <f t="shared" si="499"/>
        <v>214.41603720917982</v>
      </c>
      <c r="J220" s="43">
        <f>(AVERAGE(I209:I220)/AVERAGE(I197:I208))-1</f>
        <v>3.9086908496005934E-2</v>
      </c>
      <c r="K220" s="43">
        <f>(AVERAGE(I218:I220)/AVERAGE(I206:I208))-1</f>
        <v>3.7200159331445493E-2</v>
      </c>
      <c r="L220" s="43">
        <f>I220/I208-1</f>
        <v>3.8090808697275325E-2</v>
      </c>
      <c r="M220" s="67">
        <f t="shared" si="124"/>
        <v>1.855937535336194E-3</v>
      </c>
      <c r="N220" s="10">
        <f t="shared" si="125"/>
        <v>4.1571484472902043E-4</v>
      </c>
      <c r="O220" s="10">
        <f t="shared" si="126"/>
        <v>-2.0857243058891584E-4</v>
      </c>
      <c r="P220" s="67">
        <f>Mensal!K220</f>
        <v>0.1225</v>
      </c>
      <c r="Q220" s="10">
        <f>Mensal!L220</f>
        <v>0.105</v>
      </c>
      <c r="R220" s="10">
        <f>Mensal!M220</f>
        <v>9.7500000000000003E-2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5.5781525111981978E-3</v>
      </c>
      <c r="AF220" s="192">
        <f t="shared" si="501"/>
        <v>1.8692354468059502E-3</v>
      </c>
      <c r="AG220" s="192">
        <f t="shared" si="502"/>
        <v>-5.20834825379346E-7</v>
      </c>
      <c r="AH220" s="132">
        <f t="shared" si="503"/>
        <v>0.1225</v>
      </c>
      <c r="AI220" s="131">
        <f t="shared" si="504"/>
        <v>0.105</v>
      </c>
      <c r="AJ220" s="131">
        <f t="shared" si="505"/>
        <v>9.7500000000000003E-2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2.2500000000001075E-2</v>
      </c>
      <c r="AX220" s="192">
        <f t="shared" si="507"/>
        <v>1.2494328794824705E-2</v>
      </c>
      <c r="AY220" s="192">
        <f t="shared" si="508"/>
        <v>4.994286375881396E-3</v>
      </c>
      <c r="AZ220" s="132">
        <f t="shared" si="509"/>
        <v>0.1225</v>
      </c>
      <c r="BA220" s="131">
        <f t="shared" si="510"/>
        <v>0.105</v>
      </c>
      <c r="BB220" s="131">
        <f t="shared" si="511"/>
        <v>9.7500000000000003E-2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1.6515813019202241E-3</v>
      </c>
      <c r="N221" s="12">
        <f t="shared" si="125"/>
        <v>2.0809499864316017E-4</v>
      </c>
      <c r="O221" s="12">
        <f t="shared" si="126"/>
        <v>-4.1762458919303302E-4</v>
      </c>
      <c r="P221" s="66">
        <f>Mensal!K221</f>
        <v>0.12</v>
      </c>
      <c r="Q221" s="12">
        <f>Mensal!L221</f>
        <v>0.10249999999999999</v>
      </c>
      <c r="R221" s="12">
        <f>Mensal!M221</f>
        <v>9.5000000000000001E-2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5.3730370290681062E-3</v>
      </c>
      <c r="AF221" s="199">
        <f t="shared" si="501"/>
        <v>1.247146753883932E-3</v>
      </c>
      <c r="AG221" s="199">
        <f t="shared" si="502"/>
        <v>-6.2610991480627209E-4</v>
      </c>
      <c r="AH221" s="227">
        <f t="shared" si="503"/>
        <v>0.12</v>
      </c>
      <c r="AI221" s="228">
        <f t="shared" si="504"/>
        <v>0.10249999999999999</v>
      </c>
      <c r="AJ221" s="228">
        <f t="shared" si="505"/>
        <v>9.5000000000000001E-2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2.2291432838956071E-2</v>
      </c>
      <c r="AX221" s="199">
        <f t="shared" si="507"/>
        <v>1.1449321891861874E-2</v>
      </c>
      <c r="AY221" s="199">
        <f t="shared" si="508"/>
        <v>3.9492544090515835E-3</v>
      </c>
      <c r="AZ221" s="227">
        <f t="shared" si="509"/>
        <v>0.12</v>
      </c>
      <c r="BA221" s="228">
        <f t="shared" si="510"/>
        <v>0.10249999999999999</v>
      </c>
      <c r="BB221" s="228">
        <f t="shared" si="511"/>
        <v>9.5000000000000001E-2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1.6515813019202241E-3</v>
      </c>
      <c r="N222" s="10">
        <f t="shared" si="125"/>
        <v>2.0809499864316017E-4</v>
      </c>
      <c r="O222" s="10">
        <f t="shared" si="126"/>
        <v>-4.1762458919303302E-4</v>
      </c>
      <c r="P222" s="67">
        <f>Mensal!K222</f>
        <v>0.12</v>
      </c>
      <c r="Q222" s="10">
        <f>Mensal!L222</f>
        <v>0.10249999999999999</v>
      </c>
      <c r="R222" s="10">
        <f>Mensal!M222</f>
        <v>9.5000000000000001E-2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5.1679633859147422E-3</v>
      </c>
      <c r="AF222" s="192">
        <f t="shared" si="501"/>
        <v>8.3212117990583145E-4</v>
      </c>
      <c r="AG222" s="192">
        <f t="shared" si="502"/>
        <v>-1.0434730251033253E-3</v>
      </c>
      <c r="AH222" s="132">
        <f t="shared" si="503"/>
        <v>0.12</v>
      </c>
      <c r="AI222" s="131">
        <f t="shared" si="504"/>
        <v>0.10249999999999999</v>
      </c>
      <c r="AJ222" s="131">
        <f t="shared" si="505"/>
        <v>9.5000000000000001E-2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2.2082908220953046E-2</v>
      </c>
      <c r="AX222" s="192">
        <f t="shared" si="507"/>
        <v>1.0405393552398889E-2</v>
      </c>
      <c r="AY222" s="192">
        <f t="shared" si="508"/>
        <v>2.9053091069184411E-3</v>
      </c>
      <c r="AZ222" s="132">
        <f t="shared" si="509"/>
        <v>0.12</v>
      </c>
      <c r="BA222" s="131">
        <f t="shared" si="510"/>
        <v>0.10249999999999999</v>
      </c>
      <c r="BB222" s="131">
        <f t="shared" si="511"/>
        <v>9.5000000000000001E-2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1.4467654179763922E-3</v>
      </c>
      <c r="N223" s="10">
        <f t="shared" si="125"/>
        <v>0</v>
      </c>
      <c r="O223" s="10">
        <f t="shared" si="126"/>
        <v>-6.2715878872776631E-4</v>
      </c>
      <c r="P223" s="67">
        <f>Mensal!K223</f>
        <v>0.11749999999999999</v>
      </c>
      <c r="Q223" s="10">
        <f>Mensal!L223</f>
        <v>0.1</v>
      </c>
      <c r="R223" s="10">
        <f>Mensal!M223</f>
        <v>9.2499999999999999E-2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4.7574385904110006E-3</v>
      </c>
      <c r="AF223" s="192">
        <f t="shared" si="501"/>
        <v>4.162333008148611E-4</v>
      </c>
      <c r="AG223" s="192">
        <f t="shared" si="502"/>
        <v>-1.4617098323362887E-3</v>
      </c>
      <c r="AH223" s="132">
        <f t="shared" si="503"/>
        <v>0.11749999999999999</v>
      </c>
      <c r="AI223" s="131">
        <f t="shared" si="504"/>
        <v>0.1</v>
      </c>
      <c r="AJ223" s="131">
        <f t="shared" si="505"/>
        <v>9.2499999999999999E-2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2.166547512303385E-2</v>
      </c>
      <c r="AX223" s="192">
        <f t="shared" si="507"/>
        <v>9.152543066158314E-3</v>
      </c>
      <c r="AY223" s="192">
        <f t="shared" si="508"/>
        <v>1.6524371869215404E-3</v>
      </c>
      <c r="AZ223" s="132">
        <f t="shared" si="509"/>
        <v>0.11749999999999999</v>
      </c>
      <c r="BA223" s="131">
        <f t="shared" si="510"/>
        <v>0.1</v>
      </c>
      <c r="BB223" s="131">
        <f t="shared" si="511"/>
        <v>9.2499999999999999E-2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1.4467654179763922E-3</v>
      </c>
      <c r="N224" s="10">
        <f t="shared" si="125"/>
        <v>0</v>
      </c>
      <c r="O224" s="10">
        <f t="shared" si="126"/>
        <v>-6.2715878872776631E-4</v>
      </c>
      <c r="P224" s="67">
        <f>Mensal!K224</f>
        <v>0.11749999999999999</v>
      </c>
      <c r="Q224" s="10">
        <f>Mensal!L224</f>
        <v>0.1</v>
      </c>
      <c r="R224" s="10">
        <f>Mensal!M224</f>
        <v>9.2499999999999999E-2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4.5519876264474846E-3</v>
      </c>
      <c r="AF224" s="192">
        <f t="shared" si="501"/>
        <v>2.0809499864316017E-4</v>
      </c>
      <c r="AG224" s="192">
        <f t="shared" si="502"/>
        <v>-1.6710251689028288E-3</v>
      </c>
      <c r="AH224" s="132">
        <f t="shared" si="503"/>
        <v>0.11749999999999999</v>
      </c>
      <c r="AI224" s="131">
        <f t="shared" si="504"/>
        <v>0.1</v>
      </c>
      <c r="AJ224" s="131">
        <f t="shared" si="505"/>
        <v>9.2499999999999999E-2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2.1248212510689202E-2</v>
      </c>
      <c r="AX224" s="192">
        <f t="shared" si="507"/>
        <v>7.9012460497940307E-3</v>
      </c>
      <c r="AY224" s="192">
        <f t="shared" si="508"/>
        <v>4.0113040775424658E-4</v>
      </c>
      <c r="AZ224" s="132">
        <f t="shared" si="509"/>
        <v>0.11749999999999999</v>
      </c>
      <c r="BA224" s="131">
        <f t="shared" si="510"/>
        <v>0.1</v>
      </c>
      <c r="BB224" s="131">
        <f t="shared" si="511"/>
        <v>9.2499999999999999E-2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-2.0857243058891584E-4</v>
      </c>
      <c r="O225" s="10">
        <f t="shared" ref="O225:O232" si="514">(1+(R225-0.1))^(21/252)-1</f>
        <v>-8.3717735912058888E-4</v>
      </c>
      <c r="P225" s="67">
        <f>Mensal!K225</f>
        <v>0.115</v>
      </c>
      <c r="Q225" s="10">
        <f>Mensal!L225</f>
        <v>9.7500000000000003E-2</v>
      </c>
      <c r="R225" s="10">
        <f>Mensal!M225</f>
        <v>0.09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4.1407065641620999E-3</v>
      </c>
      <c r="AF225" s="192">
        <f t="shared" si="501"/>
        <v>-2.0857243058891584E-4</v>
      </c>
      <c r="AG225" s="192">
        <f t="shared" si="502"/>
        <v>-2.0900518514382904E-3</v>
      </c>
      <c r="AH225" s="132">
        <f t="shared" si="503"/>
        <v>0.115</v>
      </c>
      <c r="AI225" s="131">
        <f t="shared" si="504"/>
        <v>9.7500000000000003E-2</v>
      </c>
      <c r="AJ225" s="131">
        <f t="shared" si="505"/>
        <v>0.09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2.0621869185560193E-2</v>
      </c>
      <c r="AX225" s="192">
        <f t="shared" si="507"/>
        <v>6.4415408268509999E-3</v>
      </c>
      <c r="AY225" s="192">
        <f t="shared" si="508"/>
        <v>-1.0585852174932464E-3</v>
      </c>
      <c r="AZ225" s="132">
        <f t="shared" si="509"/>
        <v>0.115</v>
      </c>
      <c r="BA225" s="131">
        <f t="shared" si="510"/>
        <v>9.7500000000000003E-2</v>
      </c>
      <c r="BB225" s="131">
        <f t="shared" si="511"/>
        <v>0.09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1.0357460146983577E-3</v>
      </c>
      <c r="N226" s="10">
        <f t="shared" si="513"/>
        <v>-4.1762458919303302E-4</v>
      </c>
      <c r="O226" s="10">
        <f t="shared" si="514"/>
        <v>-1.0476826474795642E-3</v>
      </c>
      <c r="P226" s="67">
        <f>Mensal!K226</f>
        <v>0.1125</v>
      </c>
      <c r="Q226" s="10">
        <f>Mensal!L226</f>
        <v>9.5000000000000001E-2</v>
      </c>
      <c r="R226" s="10">
        <f>Mensal!M226</f>
        <v>8.7499999999999994E-2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3.7285814984360233E-3</v>
      </c>
      <c r="AF226" s="192">
        <f t="shared" si="501"/>
        <v>-6.2610991480627209E-4</v>
      </c>
      <c r="AG226" s="192">
        <f t="shared" si="502"/>
        <v>-2.5099601426957774E-3</v>
      </c>
      <c r="AH226" s="132">
        <f t="shared" si="503"/>
        <v>0.1125</v>
      </c>
      <c r="AI226" s="131">
        <f t="shared" si="504"/>
        <v>9.5000000000000001E-2</v>
      </c>
      <c r="AJ226" s="131">
        <f t="shared" si="505"/>
        <v>8.7499999999999994E-2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1.9786314519943504E-2</v>
      </c>
      <c r="AX226" s="192">
        <f t="shared" si="507"/>
        <v>4.7738117467226449E-3</v>
      </c>
      <c r="AY226" s="192">
        <f t="shared" si="508"/>
        <v>-2.7263224826042931E-3</v>
      </c>
      <c r="AZ226" s="132">
        <f t="shared" si="509"/>
        <v>0.1125</v>
      </c>
      <c r="BA226" s="131">
        <f t="shared" si="510"/>
        <v>9.5000000000000001E-2</v>
      </c>
      <c r="BB226" s="131">
        <f t="shared" si="511"/>
        <v>8.7499999999999994E-2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1.0357460146983577E-3</v>
      </c>
      <c r="N227" s="10">
        <f t="shared" si="513"/>
        <v>-4.1762458919303302E-4</v>
      </c>
      <c r="O227" s="10">
        <f t="shared" si="514"/>
        <v>-1.0476826474795642E-3</v>
      </c>
      <c r="P227" s="67">
        <f>Mensal!K227</f>
        <v>0.1125</v>
      </c>
      <c r="Q227" s="10">
        <f>Mensal!L227</f>
        <v>9.5000000000000001E-2</v>
      </c>
      <c r="R227" s="10">
        <f>Mensal!M227</f>
        <v>8.7499999999999994E-2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3.3166255793926069E-3</v>
      </c>
      <c r="AF227" s="192">
        <f t="shared" si="501"/>
        <v>-1.0434730251033253E-3</v>
      </c>
      <c r="AG227" s="192">
        <f t="shared" si="502"/>
        <v>-2.9296917416843371E-3</v>
      </c>
      <c r="AH227" s="132">
        <f t="shared" si="503"/>
        <v>0.1125</v>
      </c>
      <c r="AI227" s="131">
        <f t="shared" si="504"/>
        <v>9.5000000000000001E-2</v>
      </c>
      <c r="AJ227" s="131">
        <f t="shared" si="505"/>
        <v>8.7499999999999994E-2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1.8951443899632991E-2</v>
      </c>
      <c r="AX227" s="192">
        <f t="shared" si="507"/>
        <v>3.1088461855588445E-3</v>
      </c>
      <c r="AY227" s="192">
        <f t="shared" si="508"/>
        <v>-4.3912754527162257E-3</v>
      </c>
      <c r="AZ227" s="132">
        <f t="shared" si="509"/>
        <v>0.1125</v>
      </c>
      <c r="BA227" s="131">
        <f t="shared" si="510"/>
        <v>9.5000000000000001E-2</v>
      </c>
      <c r="BB227" s="131">
        <f t="shared" si="511"/>
        <v>8.7499999999999994E-2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8.295381143461622E-4</v>
      </c>
      <c r="N228" s="10">
        <f t="shared" si="513"/>
        <v>-6.2715878872776631E-4</v>
      </c>
      <c r="O228" s="10">
        <f t="shared" si="514"/>
        <v>-1.2586770182638762E-3</v>
      </c>
      <c r="P228" s="67">
        <f>Mensal!K228</f>
        <v>0.11</v>
      </c>
      <c r="Q228" s="10">
        <f>Mensal!L228</f>
        <v>9.2499999999999999E-2</v>
      </c>
      <c r="R228" s="10">
        <f>Mensal!M228</f>
        <v>8.5000000000000006E-2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2.9038221850452572E-3</v>
      </c>
      <c r="AF228" s="192">
        <f t="shared" si="501"/>
        <v>-1.4617098323362887E-3</v>
      </c>
      <c r="AG228" s="192">
        <f t="shared" si="502"/>
        <v>-3.3503086677244553E-3</v>
      </c>
      <c r="AH228" s="132">
        <f t="shared" si="503"/>
        <v>0.11</v>
      </c>
      <c r="AI228" s="131">
        <f t="shared" si="504"/>
        <v>9.2499999999999999E-2</v>
      </c>
      <c r="AJ228" s="131">
        <f t="shared" si="505"/>
        <v>8.5000000000000006E-2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1.7907530166279217E-2</v>
      </c>
      <c r="AX228" s="192">
        <f t="shared" si="507"/>
        <v>1.4424975808045026E-3</v>
      </c>
      <c r="AY228" s="192">
        <f t="shared" si="508"/>
        <v>-6.0576218748785715E-3</v>
      </c>
      <c r="AZ228" s="132">
        <f t="shared" si="509"/>
        <v>0.11</v>
      </c>
      <c r="BA228" s="131">
        <f t="shared" si="510"/>
        <v>9.2499999999999999E-2</v>
      </c>
      <c r="BB228" s="131">
        <f t="shared" si="511"/>
        <v>8.5000000000000006E-2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6.2286180112658407E-4</v>
      </c>
      <c r="N229" s="10">
        <f t="shared" si="513"/>
        <v>-8.3717735912058888E-4</v>
      </c>
      <c r="O229" s="10">
        <f t="shared" si="514"/>
        <v>-1.2586770182638762E-3</v>
      </c>
      <c r="P229" s="67">
        <f>Mensal!K229</f>
        <v>0.1075</v>
      </c>
      <c r="Q229" s="10">
        <f>Mensal!L229</f>
        <v>0.09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2.4901674703565746E-3</v>
      </c>
      <c r="AF229" s="192">
        <f t="shared" si="501"/>
        <v>-1.8808243703916094E-3</v>
      </c>
      <c r="AG229" s="192">
        <f t="shared" si="502"/>
        <v>-3.5608166878392522E-3</v>
      </c>
      <c r="AH229" s="132">
        <f t="shared" si="503"/>
        <v>0.1075</v>
      </c>
      <c r="AI229" s="131">
        <f t="shared" si="504"/>
        <v>0.09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1.665469826890531E-2</v>
      </c>
      <c r="AX229" s="192">
        <f t="shared" si="507"/>
        <v>-2.2523867491164307E-4</v>
      </c>
      <c r="AY229" s="192">
        <f t="shared" si="508"/>
        <v>-7.5152054256835132E-3</v>
      </c>
      <c r="AZ229" s="132">
        <f t="shared" si="509"/>
        <v>0.1075</v>
      </c>
      <c r="BA229" s="131">
        <f t="shared" si="510"/>
        <v>0.09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6.2286180112658407E-4</v>
      </c>
      <c r="N230" s="10">
        <f t="shared" si="513"/>
        <v>-8.3717735912058888E-4</v>
      </c>
      <c r="O230" s="10">
        <f t="shared" si="514"/>
        <v>-1.2586770182638762E-3</v>
      </c>
      <c r="P230" s="67">
        <f>Mensal!K230</f>
        <v>0.1075</v>
      </c>
      <c r="Q230" s="10">
        <f>Mensal!L230</f>
        <v>0.09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2.0766833704557452E-3</v>
      </c>
      <c r="AF230" s="192">
        <f t="shared" si="501"/>
        <v>-2.2997629943155573E-3</v>
      </c>
      <c r="AG230" s="192">
        <f t="shared" si="502"/>
        <v>-3.7712802453643279E-3</v>
      </c>
      <c r="AH230" s="132">
        <f t="shared" si="503"/>
        <v>0.1075</v>
      </c>
      <c r="AI230" s="131">
        <f t="shared" si="504"/>
        <v>0.09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1.5403408346335246E-2</v>
      </c>
      <c r="AX230" s="192">
        <f t="shared" si="507"/>
        <v>-1.8901975927129167E-3</v>
      </c>
      <c r="AY230" s="192">
        <f t="shared" si="508"/>
        <v>-8.9706514785263813E-3</v>
      </c>
      <c r="AZ230" s="132">
        <f t="shared" si="509"/>
        <v>0.1075</v>
      </c>
      <c r="BA230" s="131">
        <f t="shared" si="510"/>
        <v>0.09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-8.3717735912058888E-4</v>
      </c>
      <c r="O231" s="10">
        <f t="shared" si="514"/>
        <v>-1.2586770182638762E-3</v>
      </c>
      <c r="P231" s="67">
        <f>Mensal!K231</f>
        <v>0.105</v>
      </c>
      <c r="Q231" s="10">
        <f>Mensal!L231</f>
        <v>0.09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1.6623444308787594E-3</v>
      </c>
      <c r="AF231" s="192">
        <f t="shared" si="501"/>
        <v>-2.509430066318985E-3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0.09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1.3943710425675881E-2</v>
      </c>
      <c r="AX231" s="192">
        <f t="shared" si="507"/>
        <v>-3.3465698717932701E-3</v>
      </c>
      <c r="AY231" s="192">
        <f t="shared" si="508"/>
        <v>-1.0218037343935338E-2</v>
      </c>
      <c r="AZ231" s="132">
        <f t="shared" si="509"/>
        <v>0.105</v>
      </c>
      <c r="BA231" s="131">
        <f t="shared" si="510"/>
        <v>0.09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1.4549822828529013E-3</v>
      </c>
      <c r="AF232" s="192">
        <f t="shared" si="501"/>
        <v>-2.509430066318985E-3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1.2486110900592262E-2</v>
      </c>
      <c r="AX232" s="192">
        <f t="shared" si="507"/>
        <v>-4.5947502972087939E-3</v>
      </c>
      <c r="AY232" s="192">
        <f t="shared" si="508"/>
        <v>-1.1257628753825744E-2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2024-09-23T14:04:12Z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