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skrz\Desktop\Github\Fizyka-laby\13 strange\"/>
    </mc:Choice>
  </mc:AlternateContent>
  <xr:revisionPtr revIDLastSave="0" documentId="13_ncr:1_{EBF8EED0-5F72-4B3A-815C-0DA873588F1E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m i hz" sheetId="3" r:id="rId1"/>
    <sheet name="Pomiar" sheetId="1" r:id="rId2"/>
    <sheet name="Zadan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K10" i="3"/>
  <c r="I10" i="3"/>
  <c r="I12" i="3"/>
  <c r="E14" i="3"/>
  <c r="F14" i="3"/>
  <c r="E11" i="3"/>
  <c r="D11" i="3"/>
  <c r="C11" i="3"/>
  <c r="V4" i="3"/>
  <c r="V5" i="3"/>
  <c r="V6" i="3"/>
  <c r="V7" i="3"/>
  <c r="V3" i="3"/>
  <c r="U4" i="3"/>
  <c r="U5" i="3"/>
  <c r="U6" i="3"/>
  <c r="U7" i="3"/>
  <c r="U3" i="3"/>
  <c r="S4" i="3" l="1"/>
  <c r="S5" i="3"/>
  <c r="S6" i="3"/>
  <c r="S7" i="3"/>
  <c r="S3" i="3"/>
  <c r="S4" i="2"/>
  <c r="S5" i="2"/>
  <c r="S6" i="2"/>
  <c r="T6" i="2" s="1"/>
  <c r="S7" i="2"/>
  <c r="T7" i="2" s="1"/>
  <c r="S3" i="2"/>
  <c r="T3" i="2" s="1"/>
  <c r="D4" i="3"/>
  <c r="D5" i="3"/>
  <c r="D6" i="3"/>
  <c r="D7" i="3"/>
  <c r="D3" i="3"/>
  <c r="C4" i="3"/>
  <c r="C5" i="3"/>
  <c r="C6" i="3"/>
  <c r="R6" i="3" s="1"/>
  <c r="C7" i="3"/>
  <c r="C3" i="3"/>
  <c r="R3" i="2"/>
  <c r="R4" i="3"/>
  <c r="R5" i="3"/>
  <c r="A3" i="3"/>
  <c r="I7" i="3"/>
  <c r="L7" i="3" s="1"/>
  <c r="H7" i="3"/>
  <c r="G7" i="3"/>
  <c r="F7" i="3"/>
  <c r="J7" i="3" s="1"/>
  <c r="I6" i="3"/>
  <c r="L6" i="3" s="1"/>
  <c r="H6" i="3"/>
  <c r="G6" i="3"/>
  <c r="J6" i="3" s="1"/>
  <c r="F6" i="3"/>
  <c r="I5" i="3"/>
  <c r="H5" i="3"/>
  <c r="G5" i="3"/>
  <c r="F5" i="3"/>
  <c r="I4" i="3"/>
  <c r="H4" i="3"/>
  <c r="L4" i="3" s="1"/>
  <c r="G4" i="3"/>
  <c r="K4" i="3" s="1"/>
  <c r="F4" i="3"/>
  <c r="J4" i="3" s="1"/>
  <c r="I3" i="3"/>
  <c r="L3" i="3" s="1"/>
  <c r="H3" i="3"/>
  <c r="G3" i="3"/>
  <c r="F3" i="3"/>
  <c r="J3" i="3" s="1"/>
  <c r="J5" i="3"/>
  <c r="K5" i="3"/>
  <c r="L5" i="3"/>
  <c r="K6" i="3"/>
  <c r="K7" i="3"/>
  <c r="B7" i="3"/>
  <c r="B6" i="3"/>
  <c r="B5" i="3"/>
  <c r="B4" i="3"/>
  <c r="K3" i="3"/>
  <c r="B3" i="3"/>
  <c r="I2" i="3"/>
  <c r="H2" i="3"/>
  <c r="G2" i="3"/>
  <c r="F2" i="3"/>
  <c r="B2" i="3"/>
  <c r="R4" i="2"/>
  <c r="T4" i="2" s="1"/>
  <c r="R5" i="2"/>
  <c r="R6" i="2"/>
  <c r="R7" i="2"/>
  <c r="Q4" i="2"/>
  <c r="Q5" i="2"/>
  <c r="Q6" i="2"/>
  <c r="Q7" i="2"/>
  <c r="Q3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C3" i="2"/>
  <c r="C4" i="2"/>
  <c r="C5" i="2"/>
  <c r="C6" i="2"/>
  <c r="C7" i="2"/>
  <c r="A3" i="2"/>
  <c r="C2" i="2"/>
  <c r="T5" i="2" l="1"/>
  <c r="E7" i="3"/>
  <c r="R7" i="3"/>
  <c r="R3" i="3"/>
  <c r="M4" i="3"/>
  <c r="N4" i="3"/>
  <c r="O4" i="3" s="1"/>
  <c r="P4" i="3" s="1"/>
  <c r="N6" i="3"/>
  <c r="O6" i="3" s="1"/>
  <c r="P6" i="3" s="1"/>
  <c r="N3" i="3"/>
  <c r="O3" i="3" s="1"/>
  <c r="P3" i="3" s="1"/>
  <c r="N7" i="3"/>
  <c r="O7" i="3" s="1"/>
  <c r="P7" i="3" s="1"/>
  <c r="M7" i="3"/>
  <c r="E4" i="3"/>
  <c r="N5" i="3"/>
  <c r="O5" i="3" s="1"/>
  <c r="P5" i="3" s="1"/>
  <c r="M5" i="3"/>
  <c r="M3" i="3"/>
  <c r="E6" i="3"/>
  <c r="M6" i="3"/>
  <c r="E5" i="3"/>
  <c r="E3" i="3"/>
  <c r="K3" i="2"/>
  <c r="L3" i="2"/>
  <c r="K4" i="2"/>
  <c r="L7" i="2"/>
  <c r="D4" i="2"/>
  <c r="E4" i="2" s="1"/>
  <c r="D3" i="2"/>
  <c r="E3" i="2" s="1"/>
  <c r="J4" i="2"/>
  <c r="J6" i="2"/>
  <c r="B2" i="2"/>
  <c r="F2" i="2"/>
  <c r="G2" i="2"/>
  <c r="H2" i="2"/>
  <c r="I2" i="2"/>
  <c r="B3" i="2"/>
  <c r="B4" i="2"/>
  <c r="L4" i="2"/>
  <c r="B5" i="2"/>
  <c r="D5" i="2"/>
  <c r="E5" i="2" s="1"/>
  <c r="J5" i="2"/>
  <c r="K5" i="2"/>
  <c r="L5" i="2"/>
  <c r="B6" i="2"/>
  <c r="D6" i="2"/>
  <c r="E6" i="2" s="1"/>
  <c r="K6" i="2"/>
  <c r="L6" i="2"/>
  <c r="B7" i="2"/>
  <c r="D7" i="2"/>
  <c r="E7" i="2" s="1"/>
  <c r="J7" i="2"/>
  <c r="Q6" i="3" l="1"/>
  <c r="T7" i="3"/>
  <c r="Q7" i="3"/>
  <c r="Q3" i="3"/>
  <c r="T5" i="3"/>
  <c r="Q5" i="3"/>
  <c r="T4" i="3"/>
  <c r="Q4" i="3"/>
  <c r="M4" i="2"/>
  <c r="M5" i="2"/>
  <c r="M6" i="2"/>
  <c r="K7" i="2"/>
  <c r="N6" i="2"/>
  <c r="O6" i="2" s="1"/>
  <c r="P6" i="2" s="1"/>
  <c r="J3" i="2"/>
  <c r="N5" i="2"/>
  <c r="O5" i="2" s="1"/>
  <c r="P5" i="2" s="1"/>
  <c r="N4" i="2"/>
  <c r="O4" i="2" s="1"/>
  <c r="P4" i="2" s="1"/>
  <c r="T3" i="3" l="1"/>
  <c r="T6" i="3"/>
  <c r="M7" i="2"/>
  <c r="N7" i="2"/>
  <c r="O7" i="2" s="1"/>
  <c r="P7" i="2" s="1"/>
  <c r="M3" i="2"/>
  <c r="N3" i="2"/>
  <c r="O3" i="2" s="1"/>
  <c r="P3" i="2" s="1"/>
</calcChain>
</file>

<file path=xl/sharedStrings.xml><?xml version="1.0" encoding="utf-8"?>
<sst xmlns="http://schemas.openxmlformats.org/spreadsheetml/2006/main" count="70" uniqueCount="52">
  <si>
    <t>Lp</t>
  </si>
  <si>
    <t>f, kHz</t>
  </si>
  <si>
    <t>x1</t>
  </si>
  <si>
    <t>x2</t>
  </si>
  <si>
    <t>x3</t>
  </si>
  <si>
    <t>x4</t>
  </si>
  <si>
    <t>ub(f), kHz</t>
  </si>
  <si>
    <t>cm</t>
  </si>
  <si>
    <t>∆x1</t>
  </si>
  <si>
    <t>∆x2</t>
  </si>
  <si>
    <t>∆x3</t>
  </si>
  <si>
    <t>∆xśr</t>
  </si>
  <si>
    <t>odch</t>
  </si>
  <si>
    <t>ua(∆xśr)</t>
  </si>
  <si>
    <t>fisher3:</t>
  </si>
  <si>
    <t>ub(x)</t>
  </si>
  <si>
    <t>1)</t>
  </si>
  <si>
    <t>2)</t>
  </si>
  <si>
    <t>c</t>
  </si>
  <si>
    <t>m</t>
  </si>
  <si>
    <t>f, Hz</t>
  </si>
  <si>
    <t>z cm/kHz</t>
  </si>
  <si>
    <t>c m/s</t>
  </si>
  <si>
    <t>u(∆xśr) cm</t>
  </si>
  <si>
    <t>u(c) m/s</t>
  </si>
  <si>
    <t>∆xśr, cm</t>
  </si>
  <si>
    <t>ub(f), Hz</t>
  </si>
  <si>
    <t>u(∆xśr) m</t>
  </si>
  <si>
    <t>∆xśr, m</t>
  </si>
  <si>
    <t>3,4,5)</t>
  </si>
  <si>
    <t>waga = 1/u(c)^2</t>
  </si>
  <si>
    <t>c*waga</t>
  </si>
  <si>
    <t>śr waż c</t>
  </si>
  <si>
    <t>u(src)</t>
  </si>
  <si>
    <t>6)</t>
  </si>
  <si>
    <t>|c-co|</t>
  </si>
  <si>
    <t>k*u(c)</t>
  </si>
  <si>
    <t>7)</t>
  </si>
  <si>
    <t>8)</t>
  </si>
  <si>
    <t>R, J/(mol*K)</t>
  </si>
  <si>
    <t xml:space="preserve"> μ, g/mol</t>
  </si>
  <si>
    <t>κ</t>
  </si>
  <si>
    <t>T, K</t>
  </si>
  <si>
    <t>g</t>
  </si>
  <si>
    <t>mol</t>
  </si>
  <si>
    <t>m*m</t>
  </si>
  <si>
    <t>s*s</t>
  </si>
  <si>
    <t>mol*K</t>
  </si>
  <si>
    <t>J</t>
  </si>
  <si>
    <t>K</t>
  </si>
  <si>
    <t>u(κ)</t>
  </si>
  <si>
    <t>u(T),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</si>
</sst>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B681-D86D-4EA9-B31D-52A364C981F2}">
  <dimension ref="A1:V16"/>
  <sheetViews>
    <sheetView tabSelected="1" zoomScale="72" workbookViewId="0">
      <selection activeCell="H14" sqref="H14"/>
    </sheetView>
  </sheetViews>
  <sheetFormatPr defaultRowHeight="14.5" x14ac:dyDescent="0.35"/>
  <cols>
    <col min="1" max="1" width="8.7265625" style="1"/>
    <col min="2" max="2" width="2.7265625" style="1" bestFit="1" customWidth="1"/>
    <col min="3" max="3" width="6.81640625" style="1" bestFit="1" customWidth="1"/>
    <col min="4" max="4" width="8.54296875" style="1" customWidth="1"/>
    <col min="5" max="5" width="12.54296875" style="1" bestFit="1" customWidth="1"/>
    <col min="6" max="7" width="5.81640625" style="1" bestFit="1" customWidth="1"/>
    <col min="8" max="8" width="10.7265625" style="1" bestFit="1" customWidth="1"/>
    <col min="9" max="9" width="5.81640625" style="1" bestFit="1" customWidth="1"/>
    <col min="10" max="10" width="7.90625" style="1" bestFit="1" customWidth="1"/>
    <col min="11" max="12" width="4.81640625" style="1" bestFit="1" customWidth="1"/>
    <col min="13" max="14" width="6.90625" style="1" customWidth="1"/>
    <col min="15" max="16" width="11.81640625" style="1" bestFit="1" customWidth="1"/>
    <col min="17" max="17" width="9.54296875" style="1" bestFit="1" customWidth="1"/>
    <col min="18" max="19" width="8.7265625" style="1"/>
    <col min="20" max="20" width="12.54296875" style="1" bestFit="1" customWidth="1"/>
    <col min="21" max="21" width="14.1796875" style="1" bestFit="1" customWidth="1"/>
    <col min="22" max="16384" width="8.7265625" style="1"/>
  </cols>
  <sheetData>
    <row r="1" spans="1:22" x14ac:dyDescent="0.35">
      <c r="F1" s="1" t="s">
        <v>19</v>
      </c>
      <c r="J1" s="1" t="s">
        <v>16</v>
      </c>
      <c r="K1" s="1" t="s">
        <v>19</v>
      </c>
      <c r="P1" s="1" t="s">
        <v>17</v>
      </c>
    </row>
    <row r="2" spans="1:22" x14ac:dyDescent="0.35">
      <c r="A2" s="1" t="s">
        <v>15</v>
      </c>
      <c r="B2" s="2" t="str">
        <f>Pomiar!B2</f>
        <v>Lp</v>
      </c>
      <c r="C2" s="1" t="s">
        <v>20</v>
      </c>
      <c r="D2" s="1" t="s">
        <v>26</v>
      </c>
      <c r="E2" s="2" t="s">
        <v>20</v>
      </c>
      <c r="F2" s="1" t="str">
        <f>Pomiar!D2</f>
        <v>x1</v>
      </c>
      <c r="G2" s="1" t="str">
        <f>Pomiar!E2</f>
        <v>x2</v>
      </c>
      <c r="H2" s="1" t="str">
        <f>Pomiar!F2</f>
        <v>x3</v>
      </c>
      <c r="I2" s="1" t="str">
        <f>Pomiar!G2</f>
        <v>x4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27</v>
      </c>
      <c r="Q2" s="4" t="s">
        <v>28</v>
      </c>
      <c r="R2" s="3" t="s">
        <v>22</v>
      </c>
      <c r="S2" s="1" t="s">
        <v>24</v>
      </c>
      <c r="T2" s="4" t="s">
        <v>22</v>
      </c>
      <c r="U2" s="1" t="s">
        <v>30</v>
      </c>
      <c r="V2" s="1" t="s">
        <v>31</v>
      </c>
    </row>
    <row r="3" spans="1:22" x14ac:dyDescent="0.35">
      <c r="A3" s="1">
        <f>0.002/SQRT(3)</f>
        <v>1.1547005383792516E-3</v>
      </c>
      <c r="B3" s="2">
        <f>Pomiar!B3</f>
        <v>1</v>
      </c>
      <c r="C3" s="1">
        <f>Pomiar!C3*1000</f>
        <v>1500</v>
      </c>
      <c r="D3" s="1">
        <f>(0.001*C3+3*0.001*1000)/SQRT(3)</f>
        <v>2.598076211353316</v>
      </c>
      <c r="E3" s="2" t="str">
        <f>_xlfn.CONCAT(FIXED(C3,RIGHT(TEXT(D3,"0,00E+00"),2)+1,TRUE),"(",LEFT(D3*10^LEN(D3),2),")")</f>
        <v>1500,0(25)</v>
      </c>
      <c r="F3" s="1">
        <f>Pomiar!D3/100</f>
        <v>2.13</v>
      </c>
      <c r="G3" s="1">
        <f>Pomiar!E3/100</f>
        <v>2.2440000000000002</v>
      </c>
      <c r="H3" s="1">
        <f>Pomiar!F3/100</f>
        <v>2.36</v>
      </c>
      <c r="I3" s="1">
        <f>Pomiar!G3/100</f>
        <v>2.4730000000000003</v>
      </c>
      <c r="J3" s="1">
        <f>ABS(G3-F3)</f>
        <v>0.11400000000000032</v>
      </c>
      <c r="K3" s="1">
        <f t="shared" ref="K3:L7" si="0">ABS(H3-G3)</f>
        <v>0.11599999999999966</v>
      </c>
      <c r="L3" s="1">
        <f t="shared" si="0"/>
        <v>0.11300000000000043</v>
      </c>
      <c r="M3" s="1">
        <f>AVERAGE(J3:L3)</f>
        <v>0.11433333333333347</v>
      </c>
      <c r="N3" s="1">
        <f>STDEVA(J3:L3)</f>
        <v>1.5275252316515361E-3</v>
      </c>
      <c r="O3" s="1">
        <f>N3*$A$5/SQRT(3-1)</f>
        <v>1.4268430770990801E-3</v>
      </c>
      <c r="P3" s="1">
        <f>SQRT(O3^2+$A$3^2)</f>
        <v>1.8355420180423288E-3</v>
      </c>
      <c r="Q3" s="2" t="str">
        <f>_xlfn.CONCAT(FIXED(M3,RIGHT(TEXT($P3,"0,00E+00"),2)+1,TRUE),"(",LEFT($P3*10^LEN($P3),2),")")</f>
        <v>0,1143(18)</v>
      </c>
      <c r="R3" s="1">
        <f>2*C3*M3</f>
        <v>343.0000000000004</v>
      </c>
      <c r="S3" s="1">
        <f>SQRT((2*M3*D3)^2+(2*C3*P3)^2)</f>
        <v>5.5385808200287325</v>
      </c>
      <c r="T3" s="2" t="str">
        <f>_xlfn.CONCAT(FIXED(R3,RIGHT(TEXT($S3,"0,00E+00"),2)+1,TRUE),"(",LEFT($S3*10^LEN($S3),2),")")</f>
        <v>343,0(55)</v>
      </c>
      <c r="U3" s="1">
        <f>1/S3^2</f>
        <v>3.2598904464927574E-2</v>
      </c>
      <c r="V3" s="1">
        <f>R3*U3</f>
        <v>11.181424231470171</v>
      </c>
    </row>
    <row r="4" spans="1:22" x14ac:dyDescent="0.35">
      <c r="A4" s="1" t="s">
        <v>14</v>
      </c>
      <c r="B4" s="2">
        <f>Pomiar!B4</f>
        <v>2</v>
      </c>
      <c r="C4" s="1">
        <f>Pomiar!C4*1000</f>
        <v>1600</v>
      </c>
      <c r="D4" s="1">
        <f t="shared" ref="D4:D7" si="1">(0.001*C4+3*0.001*1000)/SQRT(3)</f>
        <v>2.6558112382722783</v>
      </c>
      <c r="E4" s="2" t="str">
        <f t="shared" ref="E4:E7" si="2">_xlfn.CONCAT(FIXED(C4,RIGHT(TEXT(D4,"0,00E+00"),2)+1,TRUE),"(",LEFT(D4*10^LEN(D4),2),")")</f>
        <v>1600,0(26)</v>
      </c>
      <c r="F4" s="1">
        <f>Pomiar!D4/100</f>
        <v>2.12</v>
      </c>
      <c r="G4" s="1">
        <f>Pomiar!E4/100</f>
        <v>2.2280000000000002</v>
      </c>
      <c r="H4" s="1">
        <f>Pomiar!F4/100</f>
        <v>2.335</v>
      </c>
      <c r="I4" s="1">
        <f>Pomiar!G4/100</f>
        <v>2.4409999999999998</v>
      </c>
      <c r="J4" s="1">
        <f t="shared" ref="J4:J7" si="3">ABS(G4-F4)</f>
        <v>0.1080000000000001</v>
      </c>
      <c r="K4" s="1">
        <f t="shared" si="0"/>
        <v>0.10699999999999976</v>
      </c>
      <c r="L4" s="1">
        <f>ABS(I4-H4)</f>
        <v>0.10599999999999987</v>
      </c>
      <c r="M4" s="1">
        <f t="shared" ref="M4:M7" si="4">AVERAGE(J4:L4)</f>
        <v>0.10699999999999991</v>
      </c>
      <c r="N4" s="1">
        <f t="shared" ref="N4:N7" si="5">STDEVA(J4:L4)</f>
        <v>1.0000000000001119E-3</v>
      </c>
      <c r="O4" s="1">
        <f t="shared" ref="O4:O7" si="6">N4*$A$5/SQRT(3-1)</f>
        <v>9.3408805794753373E-4</v>
      </c>
      <c r="P4" s="1">
        <f t="shared" ref="P4:P7" si="7">SQRT(O4^2+$A$3^2)</f>
        <v>1.485211713303369E-3</v>
      </c>
      <c r="Q4" s="2" t="str">
        <f t="shared" ref="Q4:Q7" si="8">_xlfn.CONCAT(FIXED(M4,RIGHT(TEXT($P4,"0,00E+00"),2)+1,TRUE),"(",LEFT($P4*10^LEN($P4),2),")")</f>
        <v>0,1070(14)</v>
      </c>
      <c r="R4" s="1">
        <f t="shared" ref="R4:R7" si="9">2*C4*M4</f>
        <v>342.39999999999975</v>
      </c>
      <c r="S4" s="1">
        <f t="shared" ref="S4:S7" si="10">SQRT((2*M4*D4)^2+(2*C4*P4)^2)</f>
        <v>4.7865392202162793</v>
      </c>
      <c r="T4" s="2" t="str">
        <f t="shared" ref="T4:T7" si="11">_xlfn.CONCAT(FIXED(R4,RIGHT(TEXT($S4,"0,00E+00"),2)+1,TRUE),"(",LEFT($S4*10^LEN($S4),2),")")</f>
        <v>342,4(47)</v>
      </c>
      <c r="U4" s="1">
        <f t="shared" ref="U4:U7" si="12">1/S4^2</f>
        <v>4.3647236959846993E-2</v>
      </c>
      <c r="V4" s="1">
        <f t="shared" ref="V4:V7" si="13">R4*U4</f>
        <v>14.944813935051599</v>
      </c>
    </row>
    <row r="5" spans="1:22" x14ac:dyDescent="0.35">
      <c r="A5" s="1">
        <v>1.321</v>
      </c>
      <c r="B5" s="2">
        <f>Pomiar!B5</f>
        <v>3</v>
      </c>
      <c r="C5" s="1">
        <f>Pomiar!C5*1000</f>
        <v>1700</v>
      </c>
      <c r="D5" s="1">
        <f t="shared" si="1"/>
        <v>2.7135462651912414</v>
      </c>
      <c r="E5" s="2" t="str">
        <f t="shared" si="2"/>
        <v>1700,0(27)</v>
      </c>
      <c r="F5" s="1">
        <f>Pomiar!D5/100</f>
        <v>2.1109999999999998</v>
      </c>
      <c r="G5" s="1">
        <f>Pomiar!E5/100</f>
        <v>2.214</v>
      </c>
      <c r="H5" s="1">
        <f>Pomiar!F5/100</f>
        <v>2.3140000000000001</v>
      </c>
      <c r="I5" s="1">
        <f>Pomiar!G5/100</f>
        <v>2.4159999999999999</v>
      </c>
      <c r="J5" s="1">
        <f t="shared" si="3"/>
        <v>0.1030000000000002</v>
      </c>
      <c r="K5" s="1">
        <f t="shared" si="0"/>
        <v>0.10000000000000009</v>
      </c>
      <c r="L5" s="1">
        <f t="shared" si="0"/>
        <v>0.10199999999999987</v>
      </c>
      <c r="M5" s="1">
        <f t="shared" si="4"/>
        <v>0.10166666666666672</v>
      </c>
      <c r="N5" s="1">
        <f t="shared" si="5"/>
        <v>1.5275252316519722E-3</v>
      </c>
      <c r="O5" s="1">
        <f t="shared" si="6"/>
        <v>1.4268430770994877E-3</v>
      </c>
      <c r="P5" s="1">
        <f t="shared" si="7"/>
        <v>1.8355420180426456E-3</v>
      </c>
      <c r="Q5" s="2" t="str">
        <f t="shared" si="8"/>
        <v>0,1017(18)</v>
      </c>
      <c r="R5" s="1">
        <f t="shared" si="9"/>
        <v>345.66666666666686</v>
      </c>
      <c r="S5" s="1">
        <f t="shared" si="10"/>
        <v>6.2651857551014967</v>
      </c>
      <c r="T5" s="2" t="str">
        <f t="shared" si="11"/>
        <v>345,7(62)</v>
      </c>
      <c r="U5" s="1">
        <f t="shared" si="12"/>
        <v>2.547605022195611E-2</v>
      </c>
      <c r="V5" s="1">
        <f t="shared" si="13"/>
        <v>8.806221360056167</v>
      </c>
    </row>
    <row r="6" spans="1:22" x14ac:dyDescent="0.35">
      <c r="B6" s="2">
        <f>Pomiar!B6</f>
        <v>4</v>
      </c>
      <c r="C6" s="1">
        <f>Pomiar!C6*1000</f>
        <v>1800</v>
      </c>
      <c r="D6" s="1">
        <f t="shared" si="1"/>
        <v>2.7712812921102037</v>
      </c>
      <c r="E6" s="2" t="str">
        <f t="shared" si="2"/>
        <v>1800,0(27)</v>
      </c>
      <c r="F6" s="1">
        <f>Pomiar!D6/100</f>
        <v>2.1040000000000001</v>
      </c>
      <c r="G6" s="1">
        <f>Pomiar!E6/100</f>
        <v>2.2000000000000002</v>
      </c>
      <c r="H6" s="1">
        <f>Pomiar!F6/100</f>
        <v>2.2949999999999999</v>
      </c>
      <c r="I6" s="1">
        <f>Pomiar!G6/100</f>
        <v>2.391</v>
      </c>
      <c r="J6" s="1">
        <f t="shared" si="3"/>
        <v>9.6000000000000085E-2</v>
      </c>
      <c r="K6" s="1">
        <f t="shared" si="0"/>
        <v>9.4999999999999751E-2</v>
      </c>
      <c r="L6" s="1">
        <f t="shared" si="0"/>
        <v>9.6000000000000085E-2</v>
      </c>
      <c r="M6" s="1">
        <f t="shared" si="4"/>
        <v>9.5666666666666636E-2</v>
      </c>
      <c r="N6" s="1">
        <f t="shared" si="5"/>
        <v>5.7735026918981857E-4</v>
      </c>
      <c r="O6" s="1">
        <f t="shared" si="6"/>
        <v>5.3929599170294315E-4</v>
      </c>
      <c r="P6" s="1">
        <f t="shared" si="7"/>
        <v>1.2744306571956729E-3</v>
      </c>
      <c r="Q6" s="2" t="str">
        <f t="shared" si="8"/>
        <v>0,0957(12)</v>
      </c>
      <c r="R6" s="1">
        <f t="shared" si="9"/>
        <v>344.39999999999986</v>
      </c>
      <c r="S6" s="1">
        <f t="shared" si="10"/>
        <v>4.6184890833838566</v>
      </c>
      <c r="T6" s="2" t="str">
        <f t="shared" si="11"/>
        <v>344,4(46)</v>
      </c>
      <c r="U6" s="1">
        <f t="shared" si="12"/>
        <v>4.688135517790068E-2</v>
      </c>
      <c r="V6" s="1">
        <f t="shared" si="13"/>
        <v>16.145938723268987</v>
      </c>
    </row>
    <row r="7" spans="1:22" x14ac:dyDescent="0.35">
      <c r="B7" s="2">
        <f>Pomiar!B7</f>
        <v>5</v>
      </c>
      <c r="C7" s="1">
        <f>Pomiar!C7*1000</f>
        <v>1900</v>
      </c>
      <c r="D7" s="1">
        <f t="shared" si="1"/>
        <v>2.8290163190291668</v>
      </c>
      <c r="E7" s="2" t="str">
        <f t="shared" si="2"/>
        <v>1900,0(28)</v>
      </c>
      <c r="F7" s="1">
        <f>Pomiar!D7/100</f>
        <v>2.097</v>
      </c>
      <c r="G7" s="1">
        <f>Pomiar!E7/100</f>
        <v>2.1880000000000002</v>
      </c>
      <c r="H7" s="1">
        <f>Pomiar!F7/100</f>
        <v>2.2789999999999999</v>
      </c>
      <c r="I7" s="1">
        <f>Pomiar!G7/100</f>
        <v>2.37</v>
      </c>
      <c r="J7" s="1">
        <f t="shared" si="3"/>
        <v>9.1000000000000192E-2</v>
      </c>
      <c r="K7" s="1">
        <f t="shared" si="0"/>
        <v>9.0999999999999748E-2</v>
      </c>
      <c r="L7" s="1">
        <f t="shared" si="0"/>
        <v>9.1000000000000192E-2</v>
      </c>
      <c r="M7" s="1">
        <f t="shared" si="4"/>
        <v>9.1000000000000039E-2</v>
      </c>
      <c r="N7" s="1">
        <f t="shared" si="5"/>
        <v>2.5645761365345365E-16</v>
      </c>
      <c r="O7" s="1">
        <f t="shared" si="6"/>
        <v>2.3955399428338661E-16</v>
      </c>
      <c r="P7" s="1">
        <f t="shared" si="7"/>
        <v>1.1547005383792516E-3</v>
      </c>
      <c r="Q7" s="2" t="str">
        <f t="shared" si="8"/>
        <v>0,0910(11)</v>
      </c>
      <c r="R7" s="1">
        <f t="shared" si="9"/>
        <v>345.80000000000013</v>
      </c>
      <c r="S7" s="1">
        <f t="shared" si="10"/>
        <v>4.4179673772750592</v>
      </c>
      <c r="T7" s="2" t="str">
        <f t="shared" si="11"/>
        <v>345,8(44)</v>
      </c>
      <c r="U7" s="1">
        <f t="shared" si="12"/>
        <v>5.1233613849961251E-2</v>
      </c>
      <c r="V7" s="1">
        <f t="shared" si="13"/>
        <v>17.716583669316606</v>
      </c>
    </row>
    <row r="9" spans="1:22" x14ac:dyDescent="0.3">
      <c r="E9" s="1" t="s">
        <v>34</v>
      </c>
      <c r="H9" s="1" t="s">
        <v>38</v>
      </c>
      <c r="K9" s="5" t="s">
        <v>41</v>
      </c>
      <c r="L9" s="1" t="s">
        <v>50</v>
      </c>
    </row>
    <row r="10" spans="1:22" x14ac:dyDescent="0.35">
      <c r="C10" s="1" t="s">
        <v>32</v>
      </c>
      <c r="D10" s="1" t="s">
        <v>33</v>
      </c>
      <c r="E10" s="1" t="s">
        <v>18</v>
      </c>
      <c r="H10" s="1" t="s">
        <v>39</v>
      </c>
      <c r="I10" s="1">
        <f>8.31*1000</f>
        <v>8310</v>
      </c>
      <c r="K10" s="1">
        <f>I11*(C11^2)/I10/I12</f>
        <v>1.397334350179942</v>
      </c>
      <c r="L10" s="1">
        <f>SQRT((2*I11*C11/I10/I12*D11)^2+(-C11*C11*I11/I10/I12/I12*1)^2)</f>
        <v>1.8768836202893619E-2</v>
      </c>
    </row>
    <row r="11" spans="1:22" x14ac:dyDescent="0.35">
      <c r="C11" s="1">
        <f>SUM(V3:V7)/SUM(U3:U7)</f>
        <v>344.25520101932756</v>
      </c>
      <c r="D11" s="1">
        <f>SQRT(1/SUM(U3:U7))</f>
        <v>2.2369788332518574</v>
      </c>
      <c r="E11" s="1" t="str">
        <f>_xlfn.CONCAT(FIXED(C11,RIGHT(TEXT($D11,"0,00E+00"),2)+1,TRUE),"(",LEFT($D11*10^LEN($D11),2),")")</f>
        <v>344,3(22)</v>
      </c>
      <c r="H11" s="1" t="s">
        <v>40</v>
      </c>
      <c r="I11" s="1">
        <v>28.87</v>
      </c>
    </row>
    <row r="12" spans="1:22" x14ac:dyDescent="0.35">
      <c r="E12" s="1" t="s">
        <v>37</v>
      </c>
      <c r="H12" s="1" t="s">
        <v>42</v>
      </c>
      <c r="I12" s="1">
        <f>21.5+273.15</f>
        <v>294.64999999999998</v>
      </c>
    </row>
    <row r="13" spans="1:22" x14ac:dyDescent="0.35">
      <c r="E13" s="1" t="s">
        <v>35</v>
      </c>
      <c r="F13" s="1" t="s">
        <v>36</v>
      </c>
      <c r="H13" s="1" t="s">
        <v>51</v>
      </c>
    </row>
    <row r="14" spans="1:22" x14ac:dyDescent="0.35">
      <c r="E14" s="1">
        <f>C11-343.2</f>
        <v>1.0552010193275692</v>
      </c>
      <c r="F14" s="1">
        <f>D11*2</f>
        <v>4.4739576665037148</v>
      </c>
    </row>
    <row r="15" spans="1:22" x14ac:dyDescent="0.35">
      <c r="H15" s="1" t="s">
        <v>43</v>
      </c>
      <c r="I15" s="1" t="s">
        <v>45</v>
      </c>
      <c r="J15" s="1" t="s">
        <v>47</v>
      </c>
    </row>
    <row r="16" spans="1:22" x14ac:dyDescent="0.35">
      <c r="H16" s="1" t="s">
        <v>44</v>
      </c>
      <c r="I16" s="1" t="s">
        <v>46</v>
      </c>
      <c r="J16" s="1" t="s">
        <v>48</v>
      </c>
      <c r="K16" s="1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C2" sqref="C2"/>
    </sheetView>
  </sheetViews>
  <sheetFormatPr defaultRowHeight="14.5" x14ac:dyDescent="0.35"/>
  <sheetData>
    <row r="2" spans="2:7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5">
      <c r="B3">
        <v>1</v>
      </c>
      <c r="C3">
        <v>1.5</v>
      </c>
      <c r="D3">
        <v>213</v>
      </c>
      <c r="E3">
        <v>224.4</v>
      </c>
      <c r="F3">
        <v>236</v>
      </c>
      <c r="G3">
        <v>247.3</v>
      </c>
    </row>
    <row r="4" spans="2:7" x14ac:dyDescent="0.35">
      <c r="B4">
        <v>2</v>
      </c>
      <c r="C4">
        <v>1.6</v>
      </c>
      <c r="D4">
        <v>212</v>
      </c>
      <c r="E4">
        <v>222.8</v>
      </c>
      <c r="F4">
        <v>233.5</v>
      </c>
      <c r="G4">
        <v>244.1</v>
      </c>
    </row>
    <row r="5" spans="2:7" x14ac:dyDescent="0.35">
      <c r="B5">
        <v>3</v>
      </c>
      <c r="C5">
        <v>1.7</v>
      </c>
      <c r="D5">
        <v>211.1</v>
      </c>
      <c r="E5">
        <v>221.4</v>
      </c>
      <c r="F5">
        <v>231.4</v>
      </c>
      <c r="G5">
        <v>241.6</v>
      </c>
    </row>
    <row r="6" spans="2:7" x14ac:dyDescent="0.35">
      <c r="B6">
        <v>4</v>
      </c>
      <c r="C6">
        <v>1.8</v>
      </c>
      <c r="D6">
        <v>210.4</v>
      </c>
      <c r="E6">
        <v>220</v>
      </c>
      <c r="F6">
        <v>229.5</v>
      </c>
      <c r="G6">
        <v>239.1</v>
      </c>
    </row>
    <row r="7" spans="2:7" x14ac:dyDescent="0.35">
      <c r="B7">
        <v>5</v>
      </c>
      <c r="C7">
        <v>1.9</v>
      </c>
      <c r="D7">
        <v>209.7</v>
      </c>
      <c r="E7">
        <v>218.8</v>
      </c>
      <c r="F7">
        <v>227.9</v>
      </c>
      <c r="G7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5299-956A-4F6D-9758-CF647785429E}">
  <dimension ref="A1:T7"/>
  <sheetViews>
    <sheetView topLeftCell="M1" workbookViewId="0">
      <selection activeCell="T2" sqref="T2"/>
    </sheetView>
  </sheetViews>
  <sheetFormatPr defaultRowHeight="14.5" x14ac:dyDescent="0.35"/>
  <cols>
    <col min="1" max="1" width="8.7265625" style="1"/>
    <col min="2" max="2" width="2.7265625" style="1" bestFit="1" customWidth="1"/>
    <col min="3" max="3" width="4.81640625" style="1" bestFit="1" customWidth="1"/>
    <col min="4" max="4" width="8.54296875" style="1" customWidth="1"/>
    <col min="5" max="5" width="9.54296875" style="1" bestFit="1" customWidth="1"/>
    <col min="6" max="9" width="5.81640625" style="1" bestFit="1" customWidth="1"/>
    <col min="10" max="12" width="4.81640625" style="1" bestFit="1" customWidth="1"/>
    <col min="13" max="14" width="6.90625" style="1" customWidth="1"/>
    <col min="15" max="16" width="11.81640625" style="1" bestFit="1" customWidth="1"/>
    <col min="17" max="19" width="8.7265625" style="1"/>
    <col min="20" max="20" width="12.54296875" style="1" bestFit="1" customWidth="1"/>
    <col min="21" max="16384" width="8.7265625" style="1"/>
  </cols>
  <sheetData>
    <row r="1" spans="1:20" x14ac:dyDescent="0.35">
      <c r="F1" s="1" t="s">
        <v>7</v>
      </c>
      <c r="J1" s="1" t="s">
        <v>16</v>
      </c>
      <c r="K1" s="1" t="s">
        <v>7</v>
      </c>
      <c r="P1" s="1" t="s">
        <v>17</v>
      </c>
      <c r="R1" s="1" t="s">
        <v>21</v>
      </c>
      <c r="T1" s="1" t="s">
        <v>29</v>
      </c>
    </row>
    <row r="2" spans="1:20" x14ac:dyDescent="0.35">
      <c r="A2" s="1" t="s">
        <v>15</v>
      </c>
      <c r="B2" s="2" t="str">
        <f>Pomiar!B2</f>
        <v>Lp</v>
      </c>
      <c r="C2" s="1" t="str">
        <f>Pomiar!C2</f>
        <v>f, kHz</v>
      </c>
      <c r="D2" s="1" t="s">
        <v>6</v>
      </c>
      <c r="E2" s="2" t="s">
        <v>1</v>
      </c>
      <c r="F2" s="1" t="str">
        <f>Pomiar!D2</f>
        <v>x1</v>
      </c>
      <c r="G2" s="1" t="str">
        <f>Pomiar!E2</f>
        <v>x2</v>
      </c>
      <c r="H2" s="1" t="str">
        <f>Pomiar!F2</f>
        <v>x3</v>
      </c>
      <c r="I2" s="1" t="str">
        <f>Pomiar!G2</f>
        <v>x4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23</v>
      </c>
      <c r="Q2" s="4" t="s">
        <v>25</v>
      </c>
      <c r="R2" s="3" t="s">
        <v>22</v>
      </c>
      <c r="S2" s="1" t="s">
        <v>24</v>
      </c>
      <c r="T2" s="4" t="s">
        <v>22</v>
      </c>
    </row>
    <row r="3" spans="1:20" x14ac:dyDescent="0.35">
      <c r="A3" s="1">
        <f>0.2/SQRT(3)</f>
        <v>0.11547005383792516</v>
      </c>
      <c r="B3" s="2">
        <f>Pomiar!B3</f>
        <v>1</v>
      </c>
      <c r="C3" s="1">
        <f>Pomiar!C3</f>
        <v>1.5</v>
      </c>
      <c r="D3" s="1">
        <f>(0.001*C3+3*0.001)/SQRT(3)</f>
        <v>2.5980762113533163E-3</v>
      </c>
      <c r="E3" s="2" t="str">
        <f>_xlfn.CONCAT(FIXED(C3,RIGHT(TEXT(D3,"0,00E+00"),2)+1,TRUE),"(",LEFT(D3*10^LEN(D3),2),")")</f>
        <v>1,5000(25)</v>
      </c>
      <c r="F3" s="1">
        <f>Pomiar!D3</f>
        <v>213</v>
      </c>
      <c r="G3" s="1">
        <f>Pomiar!E3</f>
        <v>224.4</v>
      </c>
      <c r="H3" s="1">
        <f>Pomiar!F3</f>
        <v>236</v>
      </c>
      <c r="I3" s="1">
        <f>Pomiar!G3</f>
        <v>247.3</v>
      </c>
      <c r="J3" s="1">
        <f>ABS(G3-F3)</f>
        <v>11.400000000000006</v>
      </c>
      <c r="K3" s="1">
        <f t="shared" ref="K3:L7" si="0">ABS(H3-G3)</f>
        <v>11.599999999999994</v>
      </c>
      <c r="L3" s="1">
        <f t="shared" si="0"/>
        <v>11.300000000000011</v>
      </c>
      <c r="M3" s="1">
        <f>AVERAGE(J3:L3)</f>
        <v>11.433333333333337</v>
      </c>
      <c r="N3" s="1">
        <f>STDEVA(J3:L3)</f>
        <v>0.15275252316518598</v>
      </c>
      <c r="O3" s="1">
        <f>N3*$A$5/SQRT(3-1)</f>
        <v>0.14268430770993826</v>
      </c>
      <c r="P3" s="1">
        <f>SQRT(O3^2+$A$3^2)</f>
        <v>0.18355420180425638</v>
      </c>
      <c r="Q3" s="2" t="str">
        <f>_xlfn.CONCAT(FIXED(M3,RIGHT(TEXT($P3,"0,00E+00"),2)+1,TRUE),"(",LEFT($P3*10^LEN($P3),2),")")</f>
        <v>11,43(18)</v>
      </c>
      <c r="R3" s="1">
        <f>2*C3*M3*10</f>
        <v>343.00000000000011</v>
      </c>
      <c r="S3" s="1">
        <f>SQRT((2*M3/100*D3*1000)^2+(2*C3*1000*P3/100)^2)</f>
        <v>5.5385808200294333</v>
      </c>
      <c r="T3" s="2" t="str">
        <f>_xlfn.CONCAT(FIXED(R3,RIGHT(TEXT($S3,"0,00E+00"),2)+1,TRUE),"(",LEFT($S3*10^LEN($S3),2),")")</f>
        <v>343,0(55)</v>
      </c>
    </row>
    <row r="4" spans="1:20" x14ac:dyDescent="0.35">
      <c r="A4" s="1" t="s">
        <v>14</v>
      </c>
      <c r="B4" s="2">
        <f>Pomiar!B4</f>
        <v>2</v>
      </c>
      <c r="C4" s="1">
        <f>Pomiar!C4</f>
        <v>1.6</v>
      </c>
      <c r="D4" s="1">
        <f t="shared" ref="D4:D7" si="1">(0.001*C4+3*0.001)/SQRT(3)</f>
        <v>2.6558112382722788E-3</v>
      </c>
      <c r="E4" s="2" t="str">
        <f t="shared" ref="E4:E7" si="2">_xlfn.CONCAT(FIXED(C4,RIGHT(TEXT(D4,"0,00E+00"),2)+1,TRUE),"(",LEFT(D4*10^LEN(D4),2),")")</f>
        <v>1,6000(26)</v>
      </c>
      <c r="F4" s="1">
        <f>Pomiar!D4</f>
        <v>212</v>
      </c>
      <c r="G4" s="1">
        <f>Pomiar!E4</f>
        <v>222.8</v>
      </c>
      <c r="H4" s="1">
        <f>Pomiar!F4</f>
        <v>233.5</v>
      </c>
      <c r="I4" s="1">
        <f>Pomiar!G4</f>
        <v>244.1</v>
      </c>
      <c r="J4" s="1">
        <f t="shared" ref="J4:J7" si="3">ABS(G4-F4)</f>
        <v>10.800000000000011</v>
      </c>
      <c r="K4" s="1">
        <f t="shared" si="0"/>
        <v>10.699999999999989</v>
      </c>
      <c r="L4" s="1">
        <f>ABS(I4-H4)</f>
        <v>10.599999999999994</v>
      </c>
      <c r="M4" s="1">
        <f t="shared" ref="M4:M7" si="4">AVERAGE(J4:L4)</f>
        <v>10.699999999999998</v>
      </c>
      <c r="N4" s="1">
        <f t="shared" ref="N4:N7" si="5">STDEVA(J4:L4)</f>
        <v>0.10000000000000853</v>
      </c>
      <c r="O4" s="1">
        <f t="shared" ref="O4:O7" si="6">N4*$A$5/SQRT(3-1)</f>
        <v>9.3408805794750888E-2</v>
      </c>
      <c r="P4" s="1">
        <f t="shared" ref="P4:P7" si="7">SQRT(O4^2+$A$3^2)</f>
        <v>0.14852117133033532</v>
      </c>
      <c r="Q4" s="2" t="str">
        <f t="shared" ref="Q4:Q7" si="8">_xlfn.CONCAT(FIXED(M4,RIGHT(TEXT($P4,"0,00E+00"),2)+1,TRUE),"(",LEFT($P4*10^LEN($P4),2),")")</f>
        <v>10,70(14)</v>
      </c>
      <c r="R4" s="1">
        <f t="shared" ref="R4:R7" si="9">2*C4*M4*10</f>
        <v>342.4</v>
      </c>
      <c r="S4" s="1">
        <f t="shared" ref="S4:S7" si="10">SQRT((2*M4/100*D4*1000)^2+(2*C4*1000*P4/100)^2)</f>
        <v>4.7865392202162287</v>
      </c>
      <c r="T4" s="2" t="str">
        <f t="shared" ref="T4:T7" si="11">_xlfn.CONCAT(FIXED(R4,RIGHT(TEXT($S4,"0,00E+00"),2)+1,TRUE),"(",LEFT($S4*10^LEN($S4),2),")")</f>
        <v>342,4(47)</v>
      </c>
    </row>
    <row r="5" spans="1:20" x14ac:dyDescent="0.35">
      <c r="A5" s="1">
        <v>1.321</v>
      </c>
      <c r="B5" s="2">
        <f>Pomiar!B5</f>
        <v>3</v>
      </c>
      <c r="C5" s="1">
        <f>Pomiar!C5</f>
        <v>1.7</v>
      </c>
      <c r="D5" s="1">
        <f t="shared" si="1"/>
        <v>2.7135462651912412E-3</v>
      </c>
      <c r="E5" s="2" t="str">
        <f t="shared" si="2"/>
        <v>1,7000(27)</v>
      </c>
      <c r="F5" s="1">
        <f>Pomiar!D5</f>
        <v>211.1</v>
      </c>
      <c r="G5" s="1">
        <f>Pomiar!E5</f>
        <v>221.4</v>
      </c>
      <c r="H5" s="1">
        <f>Pomiar!F5</f>
        <v>231.4</v>
      </c>
      <c r="I5" s="1">
        <f>Pomiar!G5</f>
        <v>241.6</v>
      </c>
      <c r="J5" s="1">
        <f t="shared" si="3"/>
        <v>10.300000000000011</v>
      </c>
      <c r="K5" s="1">
        <f t="shared" si="0"/>
        <v>10</v>
      </c>
      <c r="L5" s="1">
        <f t="shared" si="0"/>
        <v>10.199999999999989</v>
      </c>
      <c r="M5" s="1">
        <f t="shared" si="4"/>
        <v>10.166666666666666</v>
      </c>
      <c r="N5" s="1">
        <f t="shared" si="5"/>
        <v>0.15275252316519838</v>
      </c>
      <c r="O5" s="1">
        <f t="shared" si="6"/>
        <v>0.14268430770994986</v>
      </c>
      <c r="P5" s="1">
        <f t="shared" si="7"/>
        <v>0.1835542018042654</v>
      </c>
      <c r="Q5" s="2" t="str">
        <f t="shared" si="8"/>
        <v>10,17(18)</v>
      </c>
      <c r="R5" s="1">
        <f t="shared" si="9"/>
        <v>345.66666666666663</v>
      </c>
      <c r="S5" s="1">
        <f t="shared" si="10"/>
        <v>6.2651857551015251</v>
      </c>
      <c r="T5" s="2" t="str">
        <f t="shared" si="11"/>
        <v>345,7(62)</v>
      </c>
    </row>
    <row r="6" spans="1:20" x14ac:dyDescent="0.35">
      <c r="B6" s="2">
        <f>Pomiar!B6</f>
        <v>4</v>
      </c>
      <c r="C6" s="1">
        <f>Pomiar!C6</f>
        <v>1.8</v>
      </c>
      <c r="D6" s="1">
        <f t="shared" si="1"/>
        <v>2.7712812921102041E-3</v>
      </c>
      <c r="E6" s="2" t="str">
        <f t="shared" si="2"/>
        <v>1,8000(27)</v>
      </c>
      <c r="F6" s="1">
        <f>Pomiar!D6</f>
        <v>210.4</v>
      </c>
      <c r="G6" s="1">
        <f>Pomiar!E6</f>
        <v>220</v>
      </c>
      <c r="H6" s="1">
        <f>Pomiar!F6</f>
        <v>229.5</v>
      </c>
      <c r="I6" s="1">
        <f>Pomiar!G6</f>
        <v>239.1</v>
      </c>
      <c r="J6" s="1">
        <f t="shared" si="3"/>
        <v>9.5999999999999943</v>
      </c>
      <c r="K6" s="1">
        <f t="shared" si="0"/>
        <v>9.5</v>
      </c>
      <c r="L6" s="1">
        <f t="shared" si="0"/>
        <v>9.5999999999999943</v>
      </c>
      <c r="M6" s="1">
        <f t="shared" si="4"/>
        <v>9.5666666666666629</v>
      </c>
      <c r="N6" s="1">
        <f t="shared" si="5"/>
        <v>5.7735026918959292E-2</v>
      </c>
      <c r="O6" s="1">
        <f t="shared" si="6"/>
        <v>5.3929599170273228E-2</v>
      </c>
      <c r="P6" s="1">
        <f t="shared" si="7"/>
        <v>0.12744306571955835</v>
      </c>
      <c r="Q6" s="2" t="str">
        <f t="shared" si="8"/>
        <v>9,57(12)</v>
      </c>
      <c r="R6" s="1">
        <f t="shared" si="9"/>
        <v>344.39999999999992</v>
      </c>
      <c r="S6" s="1">
        <f t="shared" si="10"/>
        <v>4.6184890833835368</v>
      </c>
      <c r="T6" s="2" t="str">
        <f t="shared" si="11"/>
        <v>344,4(46)</v>
      </c>
    </row>
    <row r="7" spans="1:20" x14ac:dyDescent="0.35">
      <c r="B7" s="2">
        <f>Pomiar!B7</f>
        <v>5</v>
      </c>
      <c r="C7" s="1">
        <f>Pomiar!C7</f>
        <v>1.9</v>
      </c>
      <c r="D7" s="1">
        <f t="shared" si="1"/>
        <v>2.8290163190291665E-3</v>
      </c>
      <c r="E7" s="2" t="str">
        <f t="shared" si="2"/>
        <v>1,9000(28)</v>
      </c>
      <c r="F7" s="1">
        <f>Pomiar!D7</f>
        <v>209.7</v>
      </c>
      <c r="G7" s="1">
        <f>Pomiar!E7</f>
        <v>218.8</v>
      </c>
      <c r="H7" s="1">
        <f>Pomiar!F7</f>
        <v>227.9</v>
      </c>
      <c r="I7" s="1">
        <f>Pomiar!G7</f>
        <v>237</v>
      </c>
      <c r="J7" s="1">
        <f t="shared" si="3"/>
        <v>9.1000000000000227</v>
      </c>
      <c r="K7" s="1">
        <f t="shared" si="0"/>
        <v>9.0999999999999943</v>
      </c>
      <c r="L7" s="1">
        <f t="shared" si="0"/>
        <v>9.0999999999999943</v>
      </c>
      <c r="M7" s="1">
        <f t="shared" si="4"/>
        <v>9.1000000000000032</v>
      </c>
      <c r="N7" s="1">
        <f t="shared" si="5"/>
        <v>1.6425298462602925E-14</v>
      </c>
      <c r="O7" s="1">
        <f t="shared" si="6"/>
        <v>1.5342675142139661E-14</v>
      </c>
      <c r="P7" s="1">
        <f t="shared" si="7"/>
        <v>0.11547005383792516</v>
      </c>
      <c r="Q7" s="2" t="str">
        <f t="shared" si="8"/>
        <v>9,10(11)</v>
      </c>
      <c r="R7" s="1">
        <f t="shared" si="9"/>
        <v>345.80000000000013</v>
      </c>
      <c r="S7" s="1">
        <f t="shared" si="10"/>
        <v>4.4179673772750601</v>
      </c>
      <c r="T7" s="2" t="str">
        <f t="shared" si="11"/>
        <v>345,8(44)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 i hz</vt:lpstr>
      <vt:lpstr>Pomiar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2023-05-17T10:41:39Z</dcterms:modified>
</cp:coreProperties>
</file>