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skrz\Desktop\Github\Fizyka-laby\8\"/>
    </mc:Choice>
  </mc:AlternateContent>
  <xr:revisionPtr revIDLastSave="0" documentId="13_ncr:1_{6A93C611-C368-4E31-A3F1-7EA1DB2C60F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Zadania" sheetId="2" r:id="rId1"/>
    <sheet name="Arkusz1" sheetId="3" r:id="rId2"/>
    <sheet name="Pomiary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3" l="1"/>
  <c r="F16" i="3"/>
  <c r="F14" i="3"/>
  <c r="D9" i="3"/>
  <c r="D10" i="3" s="1"/>
  <c r="E9" i="3"/>
  <c r="E10" i="3"/>
  <c r="J24" i="2"/>
  <c r="I24" i="2"/>
  <c r="K24" i="2" s="1"/>
  <c r="J22" i="2"/>
  <c r="I22" i="2"/>
  <c r="K22" i="2" s="1"/>
  <c r="K20" i="2"/>
  <c r="J20" i="2"/>
  <c r="I20" i="2"/>
  <c r="F18" i="2"/>
  <c r="D4" i="2"/>
  <c r="I15" i="2" l="1"/>
  <c r="I12" i="2"/>
  <c r="I13" i="2"/>
  <c r="I14" i="2"/>
  <c r="I11" i="2"/>
  <c r="B2" i="1"/>
  <c r="B1" i="1"/>
  <c r="B9" i="2" l="1"/>
  <c r="E10" i="2"/>
  <c r="A10" i="2"/>
  <c r="D10" i="2"/>
  <c r="A11" i="2"/>
  <c r="A12" i="2"/>
  <c r="A13" i="2"/>
  <c r="A14" i="2"/>
  <c r="A15" i="2"/>
  <c r="G5" i="1"/>
  <c r="D12" i="2" s="1"/>
  <c r="F12" i="2" s="1"/>
  <c r="J12" i="2" s="1"/>
  <c r="G6" i="1"/>
  <c r="D13" i="2" s="1"/>
  <c r="F13" i="2" s="1"/>
  <c r="J13" i="2" s="1"/>
  <c r="G7" i="1"/>
  <c r="G8" i="1"/>
  <c r="D15" i="2" s="1"/>
  <c r="F15" i="2" s="1"/>
  <c r="J15" i="2" s="1"/>
  <c r="G4" i="1"/>
  <c r="D11" i="2" s="1"/>
  <c r="F11" i="2" s="1"/>
  <c r="J11" i="2" s="1"/>
  <c r="D5" i="2"/>
  <c r="E5" i="2" s="1"/>
  <c r="D6" i="2"/>
  <c r="E6" i="2" s="1"/>
  <c r="D7" i="2"/>
  <c r="E7" i="2" s="1"/>
  <c r="D8" i="2"/>
  <c r="E8" i="2" s="1"/>
  <c r="E4" i="2"/>
  <c r="D14" i="2" l="1"/>
  <c r="F14" i="2" s="1"/>
  <c r="J14" i="2" s="1"/>
  <c r="L11" i="2" s="1" a="1"/>
  <c r="A1" i="2"/>
  <c r="B1" i="2"/>
  <c r="A2" i="2"/>
  <c r="B2" i="2"/>
  <c r="A3" i="2"/>
  <c r="B3" i="2"/>
  <c r="B10" i="2" s="1"/>
  <c r="A4" i="2"/>
  <c r="A5" i="2"/>
  <c r="A6" i="2"/>
  <c r="A7" i="2"/>
  <c r="A8" i="2"/>
  <c r="B5" i="2" l="1"/>
  <c r="B12" i="2" s="1"/>
  <c r="B4" i="2"/>
  <c r="B11" i="2" s="1"/>
  <c r="B8" i="2"/>
  <c r="B15" i="2" s="1"/>
  <c r="B6" i="2"/>
  <c r="B13" i="2" s="1"/>
  <c r="B7" i="2"/>
  <c r="B14" i="2" s="1"/>
  <c r="L11" i="2"/>
  <c r="M11" i="2"/>
  <c r="L12" i="2"/>
  <c r="M12" i="2"/>
  <c r="L13" i="2"/>
  <c r="M13" i="2"/>
  <c r="F7" i="2"/>
  <c r="F6" i="2"/>
  <c r="F4" i="2"/>
  <c r="F8" i="2"/>
  <c r="F5" i="2"/>
  <c r="E15" i="2" l="1"/>
  <c r="G15" i="2" s="1"/>
  <c r="C8" i="2"/>
  <c r="E11" i="2"/>
  <c r="G11" i="2" s="1"/>
  <c r="C4" i="2"/>
  <c r="E13" i="2"/>
  <c r="G13" i="2" s="1"/>
  <c r="C6" i="2"/>
  <c r="E12" i="2"/>
  <c r="G12" i="2" s="1"/>
  <c r="C5" i="2"/>
  <c r="E14" i="2"/>
  <c r="G14" i="2" s="1"/>
  <c r="C7" i="2"/>
</calcChain>
</file>

<file path=xl/sharedStrings.xml><?xml version="1.0" encoding="utf-8"?>
<sst xmlns="http://schemas.openxmlformats.org/spreadsheetml/2006/main" count="48" uniqueCount="35">
  <si>
    <t>ub(T), C</t>
  </si>
  <si>
    <t>ub(t), s</t>
  </si>
  <si>
    <t>LP</t>
  </si>
  <si>
    <t>1.</t>
  </si>
  <si>
    <t>czas spadania kulki t, s</t>
  </si>
  <si>
    <t>T, C</t>
  </si>
  <si>
    <t>tśr, s</t>
  </si>
  <si>
    <t>2.</t>
  </si>
  <si>
    <t>odchyl</t>
  </si>
  <si>
    <t>s. F. n=3</t>
  </si>
  <si>
    <t>3.</t>
  </si>
  <si>
    <t>u(tśr), s</t>
  </si>
  <si>
    <t>ua(tśr), s</t>
  </si>
  <si>
    <t>η, Pa*s</t>
  </si>
  <si>
    <t>u(η), Pa*s</t>
  </si>
  <si>
    <t>ρ, kg/m^3</t>
  </si>
  <si>
    <t>ρk</t>
  </si>
  <si>
    <t>4. K</t>
  </si>
  <si>
    <t>1/T, 1/C</t>
  </si>
  <si>
    <t>ln(η), ln(Pa*s)</t>
  </si>
  <si>
    <t>Regresja</t>
  </si>
  <si>
    <t>a</t>
  </si>
  <si>
    <t>b</t>
  </si>
  <si>
    <t>u(b)</t>
  </si>
  <si>
    <t>u(a)</t>
  </si>
  <si>
    <t>R^2</t>
  </si>
  <si>
    <t>8. i 9.</t>
  </si>
  <si>
    <t>10)</t>
  </si>
  <si>
    <t>k, J/K</t>
  </si>
  <si>
    <t>W, J/mol</t>
  </si>
  <si>
    <t>u(W), J/mol</t>
  </si>
  <si>
    <t>W, J</t>
  </si>
  <si>
    <t>u(W), J</t>
  </si>
  <si>
    <t>W, eV</t>
  </si>
  <si>
    <t>u(W), 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</si>
</sst>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212" formatCode="0.00000000000000000000000000000000000000000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Continuous" vertical="center"/>
    </xf>
    <xf numFmtId="0" fontId="0" fillId="0" borderId="2" xfId="0" applyBorder="1" applyAlignment="1">
      <alignment horizontal="centerContinuous" vertical="center"/>
    </xf>
    <xf numFmtId="0" fontId="0" fillId="0" borderId="1" xfId="0" applyBorder="1"/>
    <xf numFmtId="0" fontId="1" fillId="0" borderId="1" xfId="0" applyFont="1" applyBorder="1"/>
    <xf numFmtId="164" fontId="0" fillId="0" borderId="0" xfId="0" applyNumberFormat="1"/>
    <xf numFmtId="21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Zależności współczynnika lepkości oleju parafinowego od temperatury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Zadania!$G$11:$G$15</c:f>
                <c:numCache>
                  <c:formatCode>General</c:formatCode>
                  <c:ptCount val="5"/>
                  <c:pt idx="0">
                    <c:v>4.5726363118268895E-3</c:v>
                  </c:pt>
                  <c:pt idx="1">
                    <c:v>1.6059455763919032E-2</c:v>
                  </c:pt>
                  <c:pt idx="2">
                    <c:v>1.0649111819543967E-2</c:v>
                  </c:pt>
                  <c:pt idx="3">
                    <c:v>8.5304875633246801E-3</c:v>
                  </c:pt>
                  <c:pt idx="4">
                    <c:v>5.4746283125850226E-3</c:v>
                  </c:pt>
                </c:numCache>
              </c:numRef>
            </c:plus>
            <c:minus>
              <c:numRef>
                <c:f>Zadania!$G$11:$G$15</c:f>
                <c:numCache>
                  <c:formatCode>General</c:formatCode>
                  <c:ptCount val="5"/>
                  <c:pt idx="0">
                    <c:v>4.5726363118268895E-3</c:v>
                  </c:pt>
                  <c:pt idx="1">
                    <c:v>1.6059455763919032E-2</c:v>
                  </c:pt>
                  <c:pt idx="2">
                    <c:v>1.0649111819543967E-2</c:v>
                  </c:pt>
                  <c:pt idx="3">
                    <c:v>8.5304875633246801E-3</c:v>
                  </c:pt>
                  <c:pt idx="4">
                    <c:v>5.4746283125850226E-3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Zadania!$B$1</c:f>
                <c:numCache>
                  <c:formatCode>General</c:formatCode>
                  <c:ptCount val="1"/>
                  <c:pt idx="0">
                    <c:v>0.57735026918962584</c:v>
                  </c:pt>
                </c:numCache>
              </c:numRef>
            </c:plus>
            <c:minus>
              <c:numRef>
                <c:f>Zadania!$B$1</c:f>
                <c:numCache>
                  <c:formatCode>General</c:formatCode>
                  <c:ptCount val="1"/>
                  <c:pt idx="0">
                    <c:v>0.57735026918962584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Pomiary!$B$4:$B$8</c:f>
              <c:numCache>
                <c:formatCode>General</c:formatCode>
                <c:ptCount val="5"/>
                <c:pt idx="0">
                  <c:v>23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xVal>
          <c:yVal>
            <c:numRef>
              <c:f>Zadania!$F$11:$F$15</c:f>
              <c:numCache>
                <c:formatCode>General</c:formatCode>
                <c:ptCount val="5"/>
                <c:pt idx="0">
                  <c:v>1.0870729031040001</c:v>
                </c:pt>
                <c:pt idx="1">
                  <c:v>0.56099212784999997</c:v>
                </c:pt>
                <c:pt idx="2">
                  <c:v>0.43959928731399989</c:v>
                </c:pt>
                <c:pt idx="3">
                  <c:v>0.35502005248000001</c:v>
                </c:pt>
                <c:pt idx="4">
                  <c:v>0.29420268305999991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2D-4A21-BECB-E3E63C67C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522312"/>
        <c:axId val="569523752"/>
      </c:scatterChart>
      <c:valAx>
        <c:axId val="569522312"/>
        <c:scaling>
          <c:orientation val="minMax"/>
          <c:max val="52"/>
          <c:min val="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T, C</a:t>
                </a:r>
              </a:p>
              <a:p>
                <a:pPr>
                  <a:defRPr/>
                </a:pP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523752"/>
        <c:crosses val="autoZero"/>
        <c:crossBetween val="midCat"/>
        <c:majorUnit val="5"/>
      </c:valAx>
      <c:valAx>
        <c:axId val="569523752"/>
        <c:scaling>
          <c:orientation val="minMax"/>
          <c:max val="1.6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η, </a:t>
                </a:r>
                <a:r>
                  <a:rPr lang="pl-PL"/>
                  <a:t>Pa*s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522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wykres zależności logarytmu naturalnego współczynnika lepkości od odwrotności tempe-</a:t>
            </a:r>
            <a:br>
              <a:rPr lang="pl-PL" sz="1400" b="0" i="0" u="none" strike="noStrike" baseline="0"/>
            </a:br>
            <a:r>
              <a:rPr lang="pl-PL" sz="1400" b="0" i="0" u="none" strike="noStrike" baseline="0">
                <a:effectLst/>
              </a:rPr>
              <a:t>ratury wyrażonej w kelwinach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Zadania!$I$11:$I$15</c:f>
              <c:numCache>
                <c:formatCode>0.000000</c:formatCode>
                <c:ptCount val="5"/>
                <c:pt idx="0" formatCode="General">
                  <c:v>3.3766672294445383E-3</c:v>
                </c:pt>
                <c:pt idx="1">
                  <c:v>3.2451728054518907E-3</c:v>
                </c:pt>
                <c:pt idx="2">
                  <c:v>3.1933578157432542E-3</c:v>
                </c:pt>
                <c:pt idx="3">
                  <c:v>3.1431714600031434E-3</c:v>
                </c:pt>
                <c:pt idx="4">
                  <c:v>3.0945381401825778E-3</c:v>
                </c:pt>
              </c:numCache>
            </c:numRef>
          </c:xVal>
          <c:yVal>
            <c:numRef>
              <c:f>Zadania!$J$11:$J$15</c:f>
              <c:numCache>
                <c:formatCode>General</c:formatCode>
                <c:ptCount val="5"/>
                <c:pt idx="0">
                  <c:v>8.3488674063056184E-2</c:v>
                </c:pt>
                <c:pt idx="1">
                  <c:v>-0.57804840591083639</c:v>
                </c:pt>
                <c:pt idx="2">
                  <c:v>-0.82189167766872584</c:v>
                </c:pt>
                <c:pt idx="3">
                  <c:v>-1.0355810052428323</c:v>
                </c:pt>
                <c:pt idx="4">
                  <c:v>-1.2234863510059439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02-4A3C-8E18-40FDCCBE10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956720"/>
        <c:axId val="671949880"/>
      </c:scatterChart>
      <c:valAx>
        <c:axId val="671956720"/>
        <c:scaling>
          <c:orientation val="minMax"/>
          <c:min val="3.1000000000000008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1/T, 1/K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949880"/>
        <c:crossesAt val="-1.2"/>
        <c:crossBetween val="midCat"/>
      </c:valAx>
      <c:valAx>
        <c:axId val="671949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</a:t>
                </a:r>
                <a:r>
                  <a:rPr lang="el-GR"/>
                  <a:t>η), </a:t>
                </a:r>
                <a:r>
                  <a:rPr lang="pl-PL"/>
                  <a:t>ln(</a:t>
                </a:r>
                <a:r>
                  <a:rPr lang="en-US"/>
                  <a:t>Pa*s</a:t>
                </a:r>
                <a:r>
                  <a:rPr lang="pl-PL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956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234197</xdr:colOff>
      <xdr:row>27</xdr:row>
      <xdr:rowOff>90851</xdr:rowOff>
    </xdr:from>
    <xdr:to>
      <xdr:col>6</xdr:col>
      <xdr:colOff>240766</xdr:colOff>
      <xdr:row>45</xdr:row>
      <xdr:rowOff>158512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4139237-5150-B228-123B-7C5BC07592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398422</xdr:colOff>
      <xdr:row>27</xdr:row>
      <xdr:rowOff>119097</xdr:rowOff>
    </xdr:from>
    <xdr:to>
      <xdr:col>14</xdr:col>
      <xdr:colOff>56836</xdr:colOff>
      <xdr:row>45</xdr:row>
      <xdr:rowOff>40270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EC20268B-22D8-1DBC-12A9-A9A65F26A0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11</xdr:col>
      <xdr:colOff>416925</xdr:colOff>
      <xdr:row>28</xdr:row>
      <xdr:rowOff>18048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51D46135-5B29-06CC-EBDD-CD6A70BE8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31731"/>
          <a:ext cx="7163800" cy="331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B5C20-0EAF-4D24-AF85-7359C289AF95}">
  <dimension ref="A1:N27"/>
  <sheetViews>
    <sheetView topLeftCell="G17" zoomScale="93" zoomScaleNormal="100" workbookViewId="0">
      <selection activeCell="K20" sqref="K20"/>
    </sheetView>
  </sheetViews>
  <sheetFormatPr defaultRowHeight="14.5" x14ac:dyDescent="0.35"/>
  <cols>
    <col min="2" max="2" width="11.54296875" bestFit="1" customWidth="1"/>
    <col min="6" max="6" width="11.54296875" bestFit="1" customWidth="1"/>
    <col min="7" max="7" width="10.453125" bestFit="1" customWidth="1"/>
    <col min="9" max="9" width="10.26953125" customWidth="1"/>
    <col min="10" max="10" width="13.54296875" bestFit="1" customWidth="1"/>
    <col min="11" max="11" width="8.7265625" customWidth="1"/>
  </cols>
  <sheetData>
    <row r="1" spans="1:14" x14ac:dyDescent="0.35">
      <c r="A1" s="2" t="str">
        <f>Pomiary!A1</f>
        <v>ub(T), C</v>
      </c>
      <c r="B1" s="2">
        <f>Pomiary!B1</f>
        <v>0.57735026918962584</v>
      </c>
      <c r="C1" t="s">
        <v>9</v>
      </c>
      <c r="D1">
        <v>1.321</v>
      </c>
    </row>
    <row r="2" spans="1:14" x14ac:dyDescent="0.35">
      <c r="A2" s="2" t="str">
        <f>Pomiary!A2</f>
        <v>ub(t), s</v>
      </c>
      <c r="B2" s="2">
        <f>Pomiary!B2</f>
        <v>5.7735026918962581E-2</v>
      </c>
      <c r="C2" t="s">
        <v>3</v>
      </c>
      <c r="D2" t="s">
        <v>7</v>
      </c>
      <c r="F2" t="s">
        <v>10</v>
      </c>
    </row>
    <row r="3" spans="1:14" x14ac:dyDescent="0.35">
      <c r="A3" s="2" t="str">
        <f>Pomiary!A3</f>
        <v>LP</v>
      </c>
      <c r="B3" s="2" t="str">
        <f>Pomiary!B3</f>
        <v>T, C</v>
      </c>
      <c r="C3" s="5" t="s">
        <v>6</v>
      </c>
      <c r="D3" s="5" t="s">
        <v>8</v>
      </c>
      <c r="E3" s="5" t="s">
        <v>12</v>
      </c>
      <c r="F3" s="5" t="s">
        <v>11</v>
      </c>
    </row>
    <row r="4" spans="1:14" x14ac:dyDescent="0.35">
      <c r="A4" s="2">
        <f>Pomiary!A4</f>
        <v>1</v>
      </c>
      <c r="B4" s="2" t="str">
        <f>_xlfn.CONCAT(FIXED(Pomiary!B4,RIGHT(TEXT($B$1,"0,00E+00"),2)+1,TRUE),"(",LEFT($B$1*10^LEN($B$1),2),")")</f>
        <v>23,00(57)</v>
      </c>
      <c r="C4" s="5" t="str">
        <f>_xlfn.CONCAT(FIXED(Pomiary!G4,RIGHT(TEXT(F4,"0,00E+00"),2)+1,TRUE),"(",LEFT(F4*10^LEN(F4),2),")")</f>
        <v>124,40(52)</v>
      </c>
      <c r="D4" s="5">
        <f>STDEVA(Pomiary!C4:E4)</f>
        <v>0.55677643628300633</v>
      </c>
      <c r="E4" s="5">
        <f>D4*$D$1/SQRT(3-1)</f>
        <v>0.52007822007848392</v>
      </c>
      <c r="F4" s="5">
        <f>SQRT(E4^2+$B$2^2)</f>
        <v>0.52327305332239049</v>
      </c>
    </row>
    <row r="5" spans="1:14" x14ac:dyDescent="0.35">
      <c r="A5" s="2">
        <f>Pomiary!A5</f>
        <v>2</v>
      </c>
      <c r="B5" s="2" t="str">
        <f>_xlfn.CONCAT(FIXED(Pomiary!B5,RIGHT(TEXT($B$1,"0,00E+00"),2)+1,TRUE),"(",LEFT($B$1*10^LEN($B$1),2),")")</f>
        <v>35,00(57)</v>
      </c>
      <c r="C5" s="5" t="str">
        <f>_xlfn.CONCAT(FIXED(Pomiary!G5,RIGHT(TEXT(F5,"0,00E+00"),2)+1,TRUE),"(",LEFT(F5*10^LEN(F5),2),")")</f>
        <v>64,2(18)</v>
      </c>
      <c r="D5" s="5">
        <f>STDEVA(Pomiary!C5:E5)</f>
        <v>1.9655363983740781</v>
      </c>
      <c r="E5" s="5">
        <f t="shared" ref="E5:E8" si="0">D5*$D$1/SQRT(3-1)</f>
        <v>1.8359840771822271</v>
      </c>
      <c r="F5" s="5">
        <f t="shared" ref="F5:F8" si="1">SQRT(E5^2+$B$2^2)</f>
        <v>1.836891631261901</v>
      </c>
    </row>
    <row r="6" spans="1:14" x14ac:dyDescent="0.35">
      <c r="A6" s="2">
        <f>Pomiary!A6</f>
        <v>3</v>
      </c>
      <c r="B6" s="2" t="str">
        <f>_xlfn.CONCAT(FIXED(Pomiary!B6,RIGHT(TEXT($B$1,"0,00E+00"),2)+1,TRUE),"(",LEFT($B$1*10^LEN($B$1),2),")")</f>
        <v>40,00(57)</v>
      </c>
      <c r="C6" s="5" t="str">
        <f>_xlfn.CONCAT(FIXED(Pomiary!G6,RIGHT(TEXT(F6,"0,00E+00"),2)+1,TRUE),"(",LEFT(F6*10^LEN(F6),2),")")</f>
        <v>50,2(12)</v>
      </c>
      <c r="D6" s="5">
        <f>STDEVA(Pomiary!C6:E6)</f>
        <v>1.301281419729543</v>
      </c>
      <c r="E6" s="5">
        <f t="shared" si="0"/>
        <v>1.2155114341982423</v>
      </c>
      <c r="F6" s="5">
        <f t="shared" si="1"/>
        <v>1.2168818266372463</v>
      </c>
    </row>
    <row r="7" spans="1:14" x14ac:dyDescent="0.35">
      <c r="A7" s="2">
        <f>Pomiary!A7</f>
        <v>4</v>
      </c>
      <c r="B7" s="2" t="str">
        <f>_xlfn.CONCAT(FIXED(Pomiary!B7,RIGHT(TEXT($B$1,"0,00E+00"),2)+1,TRUE),"(",LEFT($B$1*10^LEN($B$1),2),")")</f>
        <v>45,00(57)</v>
      </c>
      <c r="C7" s="5" t="str">
        <f>_xlfn.CONCAT(FIXED(Pomiary!G7,RIGHT(TEXT(F7,"0,00E+00"),2)+1,TRUE),"(",LEFT(F7*10^LEN(F7),2),")")</f>
        <v>40,53(97)</v>
      </c>
      <c r="D7" s="5">
        <f>STDEVA(Pomiary!C7:E7)</f>
        <v>1.0408329997330665</v>
      </c>
      <c r="E7" s="5">
        <f t="shared" si="0"/>
        <v>0.97222967536825722</v>
      </c>
      <c r="F7" s="5">
        <f t="shared" si="1"/>
        <v>0.9739424392642515</v>
      </c>
    </row>
    <row r="8" spans="1:14" x14ac:dyDescent="0.35">
      <c r="A8" s="2">
        <f>Pomiary!A8</f>
        <v>5</v>
      </c>
      <c r="B8" s="2" t="str">
        <f>_xlfn.CONCAT(FIXED(Pomiary!B8,RIGHT(TEXT($B$1,"0,00E+00"),2)+1,TRUE),"(",LEFT($B$1*10^LEN($B$1),2),")")</f>
        <v>50,00(57)</v>
      </c>
      <c r="C8" s="5" t="str">
        <f>_xlfn.CONCAT(FIXED(Pomiary!G8,RIGHT(TEXT(F8,"0,00E+00"),2)+1,TRUE),"(",LEFT(F8*10^LEN(F8),2),")")</f>
        <v>33,57(62)</v>
      </c>
      <c r="D8" s="5">
        <f>STDEVA(Pomiary!C8:E8)</f>
        <v>0.66583281184793786</v>
      </c>
      <c r="E8" s="5">
        <f t="shared" si="0"/>
        <v>0.62194647813671633</v>
      </c>
      <c r="F8" s="5">
        <f t="shared" si="1"/>
        <v>0.62462048877698395</v>
      </c>
    </row>
    <row r="9" spans="1:14" x14ac:dyDescent="0.35">
      <c r="A9" t="s">
        <v>17</v>
      </c>
      <c r="B9">
        <f>1.2018*10^(-6)</f>
        <v>1.2017999999999999E-6</v>
      </c>
      <c r="C9" t="s">
        <v>16</v>
      </c>
      <c r="D9">
        <v>8150</v>
      </c>
      <c r="K9" t="s">
        <v>26</v>
      </c>
      <c r="L9" t="s">
        <v>20</v>
      </c>
    </row>
    <row r="10" spans="1:14" x14ac:dyDescent="0.35">
      <c r="A10" s="2" t="str">
        <f t="shared" ref="A10:B15" si="2">A3</f>
        <v>LP</v>
      </c>
      <c r="B10" s="2" t="str">
        <f t="shared" si="2"/>
        <v>T, C</v>
      </c>
      <c r="C10" s="5" t="s">
        <v>15</v>
      </c>
      <c r="D10" s="5" t="str">
        <f>C3</f>
        <v>tśr, s</v>
      </c>
      <c r="E10" s="5" t="str">
        <f t="shared" ref="E10:E15" si="3">F3</f>
        <v>u(tśr), s</v>
      </c>
      <c r="F10" s="6" t="s">
        <v>13</v>
      </c>
      <c r="G10" s="6" t="s">
        <v>14</v>
      </c>
      <c r="I10" t="s">
        <v>18</v>
      </c>
      <c r="J10" t="s">
        <v>19</v>
      </c>
      <c r="L10" t="s">
        <v>21</v>
      </c>
      <c r="M10" t="s">
        <v>22</v>
      </c>
    </row>
    <row r="11" spans="1:14" x14ac:dyDescent="0.35">
      <c r="A11" s="2">
        <f t="shared" si="2"/>
        <v>1</v>
      </c>
      <c r="B11" s="2" t="str">
        <f t="shared" si="2"/>
        <v>23,00(57)</v>
      </c>
      <c r="C11" s="5">
        <v>878.8</v>
      </c>
      <c r="D11" s="5">
        <f>Pomiary!G4</f>
        <v>124.40000000000002</v>
      </c>
      <c r="E11" s="5">
        <f t="shared" si="3"/>
        <v>0.52327305332239049</v>
      </c>
      <c r="F11" s="5">
        <f>$B$9*($D$9-C11)*D11</f>
        <v>1.0870729031040001</v>
      </c>
      <c r="G11" s="5">
        <f>$B$9*($D$9-C11)*E11</f>
        <v>4.5726363118268895E-3</v>
      </c>
      <c r="I11">
        <f>1/(Pomiary!B4+273.15)</f>
        <v>3.3766672294445383E-3</v>
      </c>
      <c r="J11">
        <f>LN(F11)</f>
        <v>8.3488674063056184E-2</v>
      </c>
      <c r="L11">
        <f t="array" ref="L11:M13">LINEST(J11:J15,I11:I15,TRUE,TRUE)</f>
        <v>4668.142249714856</v>
      </c>
      <c r="M11">
        <v>-15.702554853545148</v>
      </c>
    </row>
    <row r="12" spans="1:14" x14ac:dyDescent="0.35">
      <c r="A12" s="2">
        <f t="shared" si="2"/>
        <v>2</v>
      </c>
      <c r="B12" s="2" t="str">
        <f t="shared" si="2"/>
        <v>35,00(57)</v>
      </c>
      <c r="C12" s="5">
        <v>875.3</v>
      </c>
      <c r="D12" s="5">
        <f>Pomiary!G5</f>
        <v>64.166666666666671</v>
      </c>
      <c r="E12" s="5">
        <f t="shared" si="3"/>
        <v>1.836891631261901</v>
      </c>
      <c r="F12" s="5">
        <f t="shared" ref="F12:F15" si="4">$B$9*($D$9-C12)*D12</f>
        <v>0.56099212784999997</v>
      </c>
      <c r="G12" s="5">
        <f t="shared" ref="G12:G15" si="5">$B$9*($D$9-C12)*E12</f>
        <v>1.6059455763919032E-2</v>
      </c>
      <c r="I12" s="7">
        <f>1/(Pomiary!B5+273.15)</f>
        <v>3.2451728054518907E-3</v>
      </c>
      <c r="J12">
        <f t="shared" ref="J12:J15" si="6">LN(F12)</f>
        <v>-0.57804840591083639</v>
      </c>
      <c r="K12" t="s">
        <v>24</v>
      </c>
      <c r="L12">
        <v>145.21101980352057</v>
      </c>
      <c r="M12">
        <v>0.4664247368566703</v>
      </c>
      <c r="N12" t="s">
        <v>23</v>
      </c>
    </row>
    <row r="13" spans="1:14" x14ac:dyDescent="0.35">
      <c r="A13" s="2">
        <f t="shared" si="2"/>
        <v>3</v>
      </c>
      <c r="B13" s="2" t="str">
        <f t="shared" si="2"/>
        <v>40,00(57)</v>
      </c>
      <c r="C13" s="5">
        <v>868.3</v>
      </c>
      <c r="D13" s="5">
        <f>Pomiary!G6</f>
        <v>50.233333333333327</v>
      </c>
      <c r="E13" s="5">
        <f t="shared" si="3"/>
        <v>1.2168818266372463</v>
      </c>
      <c r="F13" s="5">
        <f t="shared" si="4"/>
        <v>0.43959928731399989</v>
      </c>
      <c r="G13" s="5">
        <f t="shared" si="5"/>
        <v>1.0649111819543967E-2</v>
      </c>
      <c r="I13" s="7">
        <f>1/(Pomiary!B6+273.15)</f>
        <v>3.1933578157432542E-3</v>
      </c>
      <c r="J13">
        <f t="shared" si="6"/>
        <v>-0.82189167766872584</v>
      </c>
      <c r="K13" t="s">
        <v>25</v>
      </c>
      <c r="L13">
        <v>0.99710550132686027</v>
      </c>
      <c r="M13">
        <v>3.1510409225267606E-2</v>
      </c>
    </row>
    <row r="14" spans="1:14" x14ac:dyDescent="0.35">
      <c r="A14" s="2">
        <f t="shared" si="2"/>
        <v>4</v>
      </c>
      <c r="B14" s="2" t="str">
        <f t="shared" si="2"/>
        <v>45,00(57)</v>
      </c>
      <c r="C14" s="5">
        <v>862</v>
      </c>
      <c r="D14" s="5">
        <f>Pomiary!G7</f>
        <v>40.533333333333339</v>
      </c>
      <c r="E14" s="5">
        <f t="shared" si="3"/>
        <v>0.9739424392642515</v>
      </c>
      <c r="F14" s="5">
        <f t="shared" si="4"/>
        <v>0.35502005248000001</v>
      </c>
      <c r="G14" s="5">
        <f t="shared" si="5"/>
        <v>8.5304875633246801E-3</v>
      </c>
      <c r="I14" s="7">
        <f>1/(Pomiary!B7+273.15)</f>
        <v>3.1431714600031434E-3</v>
      </c>
      <c r="J14">
        <f t="shared" si="6"/>
        <v>-1.0355810052428323</v>
      </c>
    </row>
    <row r="15" spans="1:14" x14ac:dyDescent="0.35">
      <c r="A15" s="2">
        <f t="shared" si="2"/>
        <v>5</v>
      </c>
      <c r="B15" s="2" t="str">
        <f t="shared" si="2"/>
        <v>50,00(57)</v>
      </c>
      <c r="C15" s="5">
        <v>857</v>
      </c>
      <c r="D15" s="5">
        <f>Pomiary!G8</f>
        <v>33.566666666666663</v>
      </c>
      <c r="E15" s="5">
        <f t="shared" si="3"/>
        <v>0.62462048877698395</v>
      </c>
      <c r="F15" s="5">
        <f t="shared" si="4"/>
        <v>0.29420268305999991</v>
      </c>
      <c r="G15" s="5">
        <f t="shared" si="5"/>
        <v>5.4746283125850226E-3</v>
      </c>
      <c r="I15" s="7">
        <f>1/(Pomiary!B8+273.15)</f>
        <v>3.0945381401825778E-3</v>
      </c>
      <c r="J15">
        <f t="shared" si="6"/>
        <v>-1.2234863510059439</v>
      </c>
    </row>
    <row r="18" spans="2:11" x14ac:dyDescent="0.35">
      <c r="E18" t="s">
        <v>28</v>
      </c>
      <c r="F18">
        <f>1.38*10^(-23)</f>
        <v>1.3800000000000001E-23</v>
      </c>
      <c r="I18" t="s">
        <v>27</v>
      </c>
    </row>
    <row r="19" spans="2:11" x14ac:dyDescent="0.35">
      <c r="I19" t="s">
        <v>29</v>
      </c>
      <c r="J19" t="s">
        <v>30</v>
      </c>
      <c r="K19" t="s">
        <v>29</v>
      </c>
    </row>
    <row r="20" spans="2:11" x14ac:dyDescent="0.35">
      <c r="I20">
        <f>F18*L11</f>
        <v>6.4420363046065019E-20</v>
      </c>
      <c r="J20">
        <f>F18*L12</f>
        <v>2.003912073288584E-21</v>
      </c>
      <c r="K20" t="str">
        <f>_xlfn.CONCAT(FIXED(I20,RIGHT(TEXT(J20,"0,00E+00"),2)+1,TRUE),"(",LEFT(J20*10^LEN(J20),2),")")</f>
        <v>0,0000000000000000000644(0,)</v>
      </c>
    </row>
    <row r="21" spans="2:11" x14ac:dyDescent="0.35">
      <c r="I21" t="s">
        <v>31</v>
      </c>
      <c r="J21" t="s">
        <v>32</v>
      </c>
      <c r="K21" t="s">
        <v>31</v>
      </c>
    </row>
    <row r="22" spans="2:11" x14ac:dyDescent="0.35">
      <c r="I22">
        <f>I20*(1.66*10^(-24))</f>
        <v>1.0693780265646793E-43</v>
      </c>
      <c r="J22">
        <f>J20*(1.66*10^(-24))</f>
        <v>3.3264940416590494E-45</v>
      </c>
      <c r="K22" t="str">
        <f>_xlfn.CONCAT(FIXED(I22,RIGHT(TEXT(J22,"0,00E+00"),2)+1,TRUE),"(",LEFT(J22*10^LEN(J22),2),")")</f>
        <v>0,0000000000000000000000000000000000000000001069(3,)</v>
      </c>
    </row>
    <row r="23" spans="2:11" x14ac:dyDescent="0.35">
      <c r="I23" t="s">
        <v>33</v>
      </c>
      <c r="J23" t="s">
        <v>34</v>
      </c>
      <c r="K23" t="s">
        <v>33</v>
      </c>
    </row>
    <row r="24" spans="2:11" x14ac:dyDescent="0.35">
      <c r="I24">
        <f>I22*6.24*10^18</f>
        <v>6.6729188857635996E-25</v>
      </c>
      <c r="J24">
        <f>J22*6.24*10^18</f>
        <v>2.0757322819952467E-26</v>
      </c>
      <c r="K24" t="str">
        <f>_xlfn.CONCAT(FIXED(I24,RIGHT(TEXT(J24,"0,00E+00"),2)+1,TRUE),"(",LEFT(J24*10^LEN(J24),2),")")</f>
        <v>0,000000000000000000000000667(2,)</v>
      </c>
    </row>
    <row r="27" spans="2:11" x14ac:dyDescent="0.35">
      <c r="B27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35F9-60CB-49CA-BB40-675AA953A970}">
  <dimension ref="D9:F16"/>
  <sheetViews>
    <sheetView tabSelected="1" topLeftCell="D1" zoomScale="91" workbookViewId="0">
      <selection activeCell="F12" sqref="F12"/>
    </sheetView>
  </sheetViews>
  <sheetFormatPr defaultRowHeight="14.5" x14ac:dyDescent="0.35"/>
  <cols>
    <col min="4" max="4" width="77.90625" style="8" bestFit="1" customWidth="1"/>
    <col min="5" max="5" width="75.90625" style="8" bestFit="1" customWidth="1"/>
    <col min="6" max="6" width="52" style="8" bestFit="1" customWidth="1"/>
  </cols>
  <sheetData>
    <row r="9" spans="4:6" x14ac:dyDescent="0.35">
      <c r="D9" s="8">
        <f>10^22</f>
        <v>1E+22</v>
      </c>
      <c r="E9" s="8">
        <f>10^22</f>
        <v>1E+22</v>
      </c>
    </row>
    <row r="10" spans="4:6" x14ac:dyDescent="0.35">
      <c r="D10" s="8">
        <f>D12*D9</f>
        <v>644.20363046065017</v>
      </c>
      <c r="E10" s="8">
        <f>E12*E9</f>
        <v>20.039120732885841</v>
      </c>
    </row>
    <row r="11" spans="4:6" x14ac:dyDescent="0.35">
      <c r="D11" s="8" t="s">
        <v>29</v>
      </c>
      <c r="E11" s="8" t="s">
        <v>30</v>
      </c>
      <c r="F11" s="8" t="s">
        <v>29</v>
      </c>
    </row>
    <row r="12" spans="4:6" x14ac:dyDescent="0.35">
      <c r="D12" s="8">
        <v>6.4420363046065019E-20</v>
      </c>
      <c r="E12" s="8">
        <v>2.003912073288584E-21</v>
      </c>
      <c r="F12" t="str">
        <f>_xlfn.CONCAT(FIXED(D12,RIGHT(TEXT(E12,"0,00E+00"),2)+1,TRUE),"(",LEFT(E12*10^LEN(E12),5),")")</f>
        <v>0,0000000000000000000644(0,200)</v>
      </c>
    </row>
    <row r="13" spans="4:6" x14ac:dyDescent="0.35">
      <c r="D13" s="8" t="s">
        <v>31</v>
      </c>
      <c r="E13" s="8" t="s">
        <v>32</v>
      </c>
      <c r="F13" s="8" t="s">
        <v>31</v>
      </c>
    </row>
    <row r="14" spans="4:6" x14ac:dyDescent="0.35">
      <c r="D14" s="8">
        <v>1.0693780265646793E-43</v>
      </c>
      <c r="E14" s="8">
        <v>3.3264940416590494E-45</v>
      </c>
      <c r="F14" t="str">
        <f>_xlfn.CONCAT(FIXED(D14,RIGHT(TEXT(E14,"0,00E+00"),2)+1,TRUE),"(",LEFT(E14*10^LEN(E14),2),")")</f>
        <v>0,0000000000000000000000000000000000000000001069(3,)</v>
      </c>
    </row>
    <row r="15" spans="4:6" x14ac:dyDescent="0.35">
      <c r="D15" s="8" t="s">
        <v>33</v>
      </c>
      <c r="E15" s="8" t="s">
        <v>34</v>
      </c>
      <c r="F15" s="8" t="s">
        <v>33</v>
      </c>
    </row>
    <row r="16" spans="4:6" x14ac:dyDescent="0.35">
      <c r="D16" s="8">
        <v>6.6729188857635996E-25</v>
      </c>
      <c r="E16" s="8">
        <v>2.0757322819952467E-26</v>
      </c>
      <c r="F16" t="str">
        <f>_xlfn.CONCAT(FIXED(D16,RIGHT(TEXT(E16,"0,00E+00"),2)+1,TRUE),"(",LEFT(E16*10^LEN(E16),2),")")</f>
        <v>0,000000000000000000000000667(2,)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zoomScale="80" zoomScaleNormal="190" workbookViewId="0">
      <selection activeCell="C4" sqref="C4:E8"/>
    </sheetView>
  </sheetViews>
  <sheetFormatPr defaultColWidth="8.7265625" defaultRowHeight="14.5" x14ac:dyDescent="0.35"/>
  <cols>
    <col min="1" max="1" width="8.7265625" style="1"/>
    <col min="2" max="2" width="9.1796875" style="1" customWidth="1"/>
    <col min="3" max="16384" width="8.7265625" style="1"/>
  </cols>
  <sheetData>
    <row r="1" spans="1:7" x14ac:dyDescent="0.35">
      <c r="A1" s="2" t="s">
        <v>0</v>
      </c>
      <c r="B1" s="2">
        <f>1/SQRT(3)</f>
        <v>0.57735026918962584</v>
      </c>
    </row>
    <row r="2" spans="1:7" x14ac:dyDescent="0.35">
      <c r="A2" s="2" t="s">
        <v>1</v>
      </c>
      <c r="B2" s="2">
        <f>0.1/SQRT(3)</f>
        <v>5.7735026918962581E-2</v>
      </c>
      <c r="C2" s="4" t="s">
        <v>4</v>
      </c>
      <c r="D2" s="3"/>
      <c r="E2" s="3"/>
    </row>
    <row r="3" spans="1:7" x14ac:dyDescent="0.35">
      <c r="A3" s="2" t="s">
        <v>2</v>
      </c>
      <c r="B3" s="2" t="s">
        <v>5</v>
      </c>
      <c r="C3" s="2">
        <v>1</v>
      </c>
      <c r="D3" s="2">
        <v>2</v>
      </c>
      <c r="E3" s="2">
        <v>3</v>
      </c>
      <c r="G3" s="1" t="s">
        <v>6</v>
      </c>
    </row>
    <row r="4" spans="1:7" x14ac:dyDescent="0.35">
      <c r="A4" s="2">
        <v>1</v>
      </c>
      <c r="B4" s="2">
        <v>23</v>
      </c>
      <c r="C4" s="2">
        <v>124.5</v>
      </c>
      <c r="D4" s="2">
        <v>123.8</v>
      </c>
      <c r="E4" s="2">
        <v>124.9</v>
      </c>
      <c r="G4" s="1">
        <f>AVERAGE(C4:E4)</f>
        <v>124.40000000000002</v>
      </c>
    </row>
    <row r="5" spans="1:7" x14ac:dyDescent="0.35">
      <c r="A5" s="2">
        <v>2</v>
      </c>
      <c r="B5" s="2">
        <v>35</v>
      </c>
      <c r="C5" s="2">
        <v>66.400000000000006</v>
      </c>
      <c r="D5" s="2">
        <v>63.4</v>
      </c>
      <c r="E5" s="2">
        <v>62.7</v>
      </c>
      <c r="G5" s="1">
        <f>AVERAGE(C5:E5)</f>
        <v>64.166666666666671</v>
      </c>
    </row>
    <row r="6" spans="1:7" x14ac:dyDescent="0.35">
      <c r="A6" s="2">
        <v>3</v>
      </c>
      <c r="B6" s="2">
        <v>40</v>
      </c>
      <c r="C6" s="2">
        <v>51.5</v>
      </c>
      <c r="D6" s="2">
        <v>48.9</v>
      </c>
      <c r="E6" s="2">
        <v>50.3</v>
      </c>
      <c r="G6" s="1">
        <f>AVERAGE(C6:E6)</f>
        <v>50.233333333333327</v>
      </c>
    </row>
    <row r="7" spans="1:7" x14ac:dyDescent="0.35">
      <c r="A7" s="2">
        <v>4</v>
      </c>
      <c r="B7" s="2">
        <v>45</v>
      </c>
      <c r="C7" s="2">
        <v>41.7</v>
      </c>
      <c r="D7" s="2">
        <v>40.200000000000003</v>
      </c>
      <c r="E7" s="2">
        <v>39.700000000000003</v>
      </c>
      <c r="G7" s="1">
        <f>AVERAGE(C7:E7)</f>
        <v>40.533333333333339</v>
      </c>
    </row>
    <row r="8" spans="1:7" x14ac:dyDescent="0.35">
      <c r="A8" s="2">
        <v>5</v>
      </c>
      <c r="B8" s="2">
        <v>50</v>
      </c>
      <c r="C8" s="2">
        <v>34.299999999999997</v>
      </c>
      <c r="D8" s="2">
        <v>33.4</v>
      </c>
      <c r="E8" s="2">
        <v>33</v>
      </c>
      <c r="G8" s="1">
        <f>AVERAGE(C8:E8)</f>
        <v>33.566666666666663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Zadania</vt:lpstr>
      <vt:lpstr>Arkusz1</vt:lpstr>
      <vt:lpstr>Pomiary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Skrzypek</dc:creator>
  <cp:lastModifiedBy>Mateusz Skrzypek</cp:lastModifiedBy>
  <dcterms:created xsi:type="dcterms:W3CDTF">2015-06-05T18:19:34Z</dcterms:created>
  <dcterms:modified xsi:type="dcterms:W3CDTF">2023-05-22T15:39:20Z</dcterms:modified>
</cp:coreProperties>
</file>