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ulpit\Github\Fizyka-laby\8\"/>
    </mc:Choice>
  </mc:AlternateContent>
  <xr:revisionPtr revIDLastSave="0" documentId="13_ncr:1_{36EEB38D-B36B-40E2-8267-424DF6E97636}" xr6:coauthVersionLast="47" xr6:coauthVersionMax="47" xr10:uidLastSave="{00000000-0000-0000-0000-000000000000}"/>
  <bookViews>
    <workbookView xWindow="28680" yWindow="1875" windowWidth="29040" windowHeight="15840" activeTab="1" xr2:uid="{00000000-000D-0000-FFFF-FFFF00000000}"/>
  </bookViews>
  <sheets>
    <sheet name="Zadania" sheetId="2" r:id="rId1"/>
    <sheet name="Arkusz2" sheetId="4" r:id="rId2"/>
    <sheet name="Pomiar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4" l="1"/>
  <c r="Q3" i="4"/>
  <c r="R3" i="4"/>
  <c r="P4" i="4"/>
  <c r="Q4" i="4"/>
  <c r="R4" i="4"/>
  <c r="P5" i="4"/>
  <c r="Q5" i="4"/>
  <c r="R5" i="4"/>
  <c r="P6" i="4"/>
  <c r="Q6" i="4"/>
  <c r="R6" i="4"/>
  <c r="J22" i="2"/>
  <c r="I22" i="2"/>
  <c r="I20" i="2" l="1"/>
  <c r="I11" i="2" l="1"/>
  <c r="B2" i="1"/>
  <c r="B1" i="1"/>
  <c r="C12" i="2"/>
  <c r="J5" i="4" s="1"/>
  <c r="C13" i="2"/>
  <c r="C14" i="2"/>
  <c r="C15" i="2"/>
  <c r="J8" i="4" s="1"/>
  <c r="C11" i="2"/>
  <c r="J4" i="4" s="1"/>
  <c r="T3" i="2" a="1"/>
  <c r="T3" i="2" s="1"/>
  <c r="K3" i="4"/>
  <c r="J3" i="4"/>
  <c r="J6" i="4"/>
  <c r="J7" i="4"/>
  <c r="M3" i="4"/>
  <c r="I13" i="2"/>
  <c r="I14" i="2"/>
  <c r="I15" i="2"/>
  <c r="N3" i="4"/>
  <c r="L3" i="4"/>
  <c r="E3" i="4"/>
  <c r="F3" i="4"/>
  <c r="E4" i="4"/>
  <c r="E5" i="4"/>
  <c r="E6" i="4"/>
  <c r="E7" i="4"/>
  <c r="E8" i="4"/>
  <c r="B3" i="4"/>
  <c r="D3" i="4"/>
  <c r="B4" i="4"/>
  <c r="B5" i="4"/>
  <c r="B6" i="4"/>
  <c r="B7" i="4"/>
  <c r="B8" i="4"/>
  <c r="F18" i="2"/>
  <c r="D4" i="2"/>
  <c r="T4" i="2" l="1"/>
  <c r="U5" i="2"/>
  <c r="U3" i="2"/>
  <c r="U4" i="2"/>
  <c r="T5" i="2"/>
  <c r="I12" i="2"/>
  <c r="B9" i="2" l="1"/>
  <c r="E10" i="2"/>
  <c r="D10" i="2"/>
  <c r="G5" i="1"/>
  <c r="D12" i="2" s="1"/>
  <c r="G6" i="1"/>
  <c r="D13" i="2" s="1"/>
  <c r="F13" i="2" s="1"/>
  <c r="G7" i="1"/>
  <c r="G8" i="1"/>
  <c r="D15" i="2" s="1"/>
  <c r="G4" i="1"/>
  <c r="D11" i="2" s="1"/>
  <c r="D5" i="2"/>
  <c r="E5" i="2" s="1"/>
  <c r="D6" i="2"/>
  <c r="E6" i="2" s="1"/>
  <c r="D7" i="2"/>
  <c r="E7" i="2" s="1"/>
  <c r="D8" i="2"/>
  <c r="E8" i="2" s="1"/>
  <c r="E4" i="2"/>
  <c r="J13" i="2" l="1"/>
  <c r="F11" i="2"/>
  <c r="F15" i="2"/>
  <c r="F12" i="2"/>
  <c r="D14" i="2"/>
  <c r="F14" i="2" s="1"/>
  <c r="A1" i="2"/>
  <c r="B1" i="2"/>
  <c r="A2" i="2"/>
  <c r="B2" i="2"/>
  <c r="A3" i="2"/>
  <c r="A10" i="2" s="1"/>
  <c r="B3" i="2"/>
  <c r="A4" i="2"/>
  <c r="A11" i="2" s="1"/>
  <c r="A5" i="2"/>
  <c r="A12" i="2" s="1"/>
  <c r="A6" i="2"/>
  <c r="A13" i="2" s="1"/>
  <c r="A7" i="2"/>
  <c r="A14" i="2" s="1"/>
  <c r="A8" i="2"/>
  <c r="A15" i="2" s="1"/>
  <c r="B10" i="2" l="1"/>
  <c r="I3" i="4" s="1"/>
  <c r="C3" i="4"/>
  <c r="B7" i="2"/>
  <c r="C7" i="4" s="1"/>
  <c r="B6" i="2"/>
  <c r="C6" i="4" s="1"/>
  <c r="J12" i="2"/>
  <c r="J15" i="2"/>
  <c r="J14" i="2"/>
  <c r="L11" i="2" s="1" a="1"/>
  <c r="L13" i="2" s="1"/>
  <c r="J11" i="2"/>
  <c r="B5" i="2"/>
  <c r="B4" i="2"/>
  <c r="B8" i="2"/>
  <c r="B13" i="2"/>
  <c r="I6" i="4" s="1"/>
  <c r="B14" i="2"/>
  <c r="I7" i="4" s="1"/>
  <c r="F7" i="2"/>
  <c r="F7" i="4" s="1"/>
  <c r="F6" i="2"/>
  <c r="F6" i="4" s="1"/>
  <c r="F4" i="2"/>
  <c r="F4" i="4" s="1"/>
  <c r="F8" i="2"/>
  <c r="F8" i="4" s="1"/>
  <c r="F5" i="2"/>
  <c r="F5" i="4" s="1"/>
  <c r="B12" i="2" l="1"/>
  <c r="I5" i="4" s="1"/>
  <c r="C5" i="4"/>
  <c r="B11" i="2"/>
  <c r="I4" i="4" s="1"/>
  <c r="C4" i="4"/>
  <c r="B15" i="2"/>
  <c r="I8" i="4" s="1"/>
  <c r="C8" i="4"/>
  <c r="M12" i="2"/>
  <c r="L12" i="2"/>
  <c r="J20" i="2" s="1"/>
  <c r="M11" i="2"/>
  <c r="L11" i="2"/>
  <c r="M13" i="2"/>
  <c r="E15" i="2"/>
  <c r="C8" i="2"/>
  <c r="E11" i="2"/>
  <c r="C4" i="2"/>
  <c r="E13" i="2"/>
  <c r="C6" i="2"/>
  <c r="E12" i="2"/>
  <c r="C5" i="2"/>
  <c r="E14" i="2"/>
  <c r="C7" i="2"/>
  <c r="K7" i="4" l="1"/>
  <c r="D7" i="4"/>
  <c r="G15" i="2"/>
  <c r="L8" i="4"/>
  <c r="K5" i="4"/>
  <c r="D5" i="4"/>
  <c r="D6" i="4"/>
  <c r="K6" i="4"/>
  <c r="G14" i="2"/>
  <c r="N7" i="4" s="1"/>
  <c r="L7" i="4"/>
  <c r="G13" i="2"/>
  <c r="H13" i="2" s="1"/>
  <c r="M6" i="4" s="1"/>
  <c r="L6" i="4"/>
  <c r="K4" i="4"/>
  <c r="D4" i="4"/>
  <c r="G12" i="2"/>
  <c r="N5" i="4" s="1"/>
  <c r="L5" i="4"/>
  <c r="G11" i="2"/>
  <c r="N4" i="4" s="1"/>
  <c r="L4" i="4"/>
  <c r="K8" i="4"/>
  <c r="D8" i="4"/>
  <c r="O10" i="2"/>
  <c r="N6" i="4"/>
  <c r="N8" i="4"/>
  <c r="H15" i="2"/>
  <c r="M8" i="4" s="1"/>
  <c r="N10" i="2"/>
  <c r="H11" i="2" l="1"/>
  <c r="M4" i="4" s="1"/>
  <c r="H14" i="2"/>
  <c r="M7" i="4" s="1"/>
  <c r="H12" i="2"/>
  <c r="M5" i="4" s="1"/>
  <c r="K20" i="2"/>
  <c r="K22" i="2" l="1"/>
</calcChain>
</file>

<file path=xl/sharedStrings.xml><?xml version="1.0" encoding="utf-8"?>
<sst xmlns="http://schemas.openxmlformats.org/spreadsheetml/2006/main" count="46" uniqueCount="40">
  <si>
    <t>ub(T), C</t>
  </si>
  <si>
    <t>ub(t), s</t>
  </si>
  <si>
    <t>LP</t>
  </si>
  <si>
    <t>1.</t>
  </si>
  <si>
    <t>czas spadania kulki t, s</t>
  </si>
  <si>
    <t>T, C</t>
  </si>
  <si>
    <t>tśr, s</t>
  </si>
  <si>
    <t>2.</t>
  </si>
  <si>
    <t>odchyl</t>
  </si>
  <si>
    <t>s. F. n=3</t>
  </si>
  <si>
    <t>3.</t>
  </si>
  <si>
    <t>u(tśr), s</t>
  </si>
  <si>
    <t>ua(tśr), s</t>
  </si>
  <si>
    <t>η, Pa*s</t>
  </si>
  <si>
    <t>u(η), Pa*s</t>
  </si>
  <si>
    <t>ρ, kg/m^3</t>
  </si>
  <si>
    <t>ρk</t>
  </si>
  <si>
    <t>4. K</t>
  </si>
  <si>
    <t>ln(η), ln(Pa*s)</t>
  </si>
  <si>
    <t>Regresja</t>
  </si>
  <si>
    <t>a</t>
  </si>
  <si>
    <t>b</t>
  </si>
  <si>
    <t>u(b)</t>
  </si>
  <si>
    <t>u(a)</t>
  </si>
  <si>
    <t>R^2</t>
  </si>
  <si>
    <t>8. i 9.</t>
  </si>
  <si>
    <t>10)</t>
  </si>
  <si>
    <t>k, J/K</t>
  </si>
  <si>
    <t>W, J</t>
  </si>
  <si>
    <t>u(W), J</t>
  </si>
  <si>
    <t>W, eV</t>
  </si>
  <si>
    <t>u(W), eV</t>
  </si>
  <si>
    <t>J/K*X=J/mol</t>
  </si>
  <si>
    <t>X/K=1/mol</t>
  </si>
  <si>
    <t>X = K/mol</t>
  </si>
  <si>
    <r>
      <t>ρ, kg/m</t>
    </r>
    <r>
      <rPr>
        <sz val="11"/>
        <color theme="1"/>
        <rFont val="Courier New"/>
        <family val="3"/>
      </rPr>
      <t>3</t>
    </r>
  </si>
  <si>
    <t xml:space="preserve">T, ◦C </t>
  </si>
  <si>
    <t>1/T, 1/K</t>
  </si>
  <si>
    <t>a, K</t>
  </si>
  <si>
    <t>b,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</si>
</sst>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6" formatCode="0.0000"/>
    <numFmt numFmtId="174" formatCode="0.000"/>
    <numFmt numFmtId="17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1" xfId="0" applyBorder="1"/>
    <xf numFmtId="0" fontId="1" fillId="0" borderId="1" xfId="0" applyFont="1" applyBorder="1"/>
    <xf numFmtId="164" fontId="0" fillId="0" borderId="0" xfId="0" applyNumberFormat="1"/>
    <xf numFmtId="0" fontId="0" fillId="2" borderId="1" xfId="0" applyFill="1" applyBorder="1"/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Zależności współczynnika lepkości oleju parafinowego od temperatury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Zadania!$G$11:$G$15</c:f>
                <c:numCache>
                  <c:formatCode>General</c:formatCode>
                  <c:ptCount val="5"/>
                  <c:pt idx="0">
                    <c:v>1.1203559073080679E-2</c:v>
                  </c:pt>
                  <c:pt idx="1">
                    <c:v>1.0202042827005597E-2</c:v>
                  </c:pt>
                  <c:pt idx="2">
                    <c:v>1.0782987478782639E-2</c:v>
                  </c:pt>
                  <c:pt idx="3">
                    <c:v>1.2270061410172145E-2</c:v>
                  </c:pt>
                  <c:pt idx="4">
                    <c:v>1.1835273327265961E-2</c:v>
                  </c:pt>
                </c:numCache>
              </c:numRef>
            </c:plus>
            <c:minus>
              <c:numRef>
                <c:f>Zadania!$G$11:$G$15</c:f>
                <c:numCache>
                  <c:formatCode>General</c:formatCode>
                  <c:ptCount val="5"/>
                  <c:pt idx="0">
                    <c:v>1.1203559073080679E-2</c:v>
                  </c:pt>
                  <c:pt idx="1">
                    <c:v>1.0202042827005597E-2</c:v>
                  </c:pt>
                  <c:pt idx="2">
                    <c:v>1.0782987478782639E-2</c:v>
                  </c:pt>
                  <c:pt idx="3">
                    <c:v>1.2270061410172145E-2</c:v>
                  </c:pt>
                  <c:pt idx="4">
                    <c:v>1.1835273327265961E-2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Zadania!$B$1</c:f>
                <c:numCache>
                  <c:formatCode>General</c:formatCode>
                  <c:ptCount val="1"/>
                  <c:pt idx="0">
                    <c:v>0.28867513459481292</c:v>
                  </c:pt>
                </c:numCache>
              </c:numRef>
            </c:plus>
            <c:minus>
              <c:numRef>
                <c:f>Zadania!$B$1</c:f>
                <c:numCache>
                  <c:formatCode>General</c:formatCode>
                  <c:ptCount val="1"/>
                  <c:pt idx="0">
                    <c:v>0.28867513459481292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Pomiary!$B$4:$B$8</c:f>
              <c:numCache>
                <c:formatCode>General</c:formatCode>
                <c:ptCount val="5"/>
                <c:pt idx="0">
                  <c:v>21</c:v>
                </c:pt>
                <c:pt idx="1">
                  <c:v>29</c:v>
                </c:pt>
                <c:pt idx="2">
                  <c:v>37</c:v>
                </c:pt>
                <c:pt idx="3">
                  <c:v>42</c:v>
                </c:pt>
                <c:pt idx="4">
                  <c:v>47</c:v>
                </c:pt>
              </c:numCache>
            </c:numRef>
          </c:xVal>
          <c:yVal>
            <c:numRef>
              <c:f>Zadania!$F$11:$F$15</c:f>
              <c:numCache>
                <c:formatCode>General</c:formatCode>
                <c:ptCount val="5"/>
                <c:pt idx="0">
                  <c:v>1.1416737912711115</c:v>
                </c:pt>
                <c:pt idx="1">
                  <c:v>0.74648061806130006</c:v>
                </c:pt>
                <c:pt idx="2">
                  <c:v>0.48040385721321865</c:v>
                </c:pt>
                <c:pt idx="3">
                  <c:v>0.39451053793052143</c:v>
                </c:pt>
                <c:pt idx="4">
                  <c:v>0.29470510422585139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D-4A21-BECB-E3E63C67C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522312"/>
        <c:axId val="569523752"/>
      </c:scatterChart>
      <c:valAx>
        <c:axId val="569522312"/>
        <c:scaling>
          <c:orientation val="minMax"/>
          <c:max val="52"/>
          <c:min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T, C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9523752"/>
        <c:crosses val="autoZero"/>
        <c:crossBetween val="midCat"/>
        <c:majorUnit val="5"/>
      </c:valAx>
      <c:valAx>
        <c:axId val="569523752"/>
        <c:scaling>
          <c:orientation val="minMax"/>
          <c:max val="1.6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η, </a:t>
                </a:r>
                <a:r>
                  <a:rPr lang="pl-PL"/>
                  <a:t>Pa*s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952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 zależności logarytmu naturalnego współczynnika lepkości od odwrotności tempe-</a:t>
            </a:r>
            <a:br>
              <a:rPr lang="pl-PL" sz="1400" b="0" i="0" u="none" strike="noStrike" baseline="0"/>
            </a:br>
            <a:r>
              <a:rPr lang="pl-PL" sz="1400" b="0" i="0" u="none" strike="noStrike" baseline="0">
                <a:effectLst/>
              </a:rPr>
              <a:t>ratury wyrażonej w kelwinach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Zadania!$I$11:$I$15</c:f>
              <c:numCache>
                <c:formatCode>0.000000</c:formatCode>
                <c:ptCount val="5"/>
                <c:pt idx="0" formatCode="General">
                  <c:v>3.3996260411354754E-3</c:v>
                </c:pt>
                <c:pt idx="1">
                  <c:v>3.3096144299189145E-3</c:v>
                </c:pt>
                <c:pt idx="2">
                  <c:v>3.224246332419797E-3</c:v>
                </c:pt>
                <c:pt idx="3">
                  <c:v>3.1730921783277807E-3</c:v>
                </c:pt>
                <c:pt idx="4">
                  <c:v>3.1235358425737939E-3</c:v>
                </c:pt>
              </c:numCache>
            </c:numRef>
          </c:xVal>
          <c:yVal>
            <c:numRef>
              <c:f>Zadania!$J$11:$J$15</c:f>
              <c:numCache>
                <c:formatCode>General</c:formatCode>
                <c:ptCount val="5"/>
                <c:pt idx="0">
                  <c:v>0.1324954235560476</c:v>
                </c:pt>
                <c:pt idx="1">
                  <c:v>-0.29238562608905166</c:v>
                </c:pt>
                <c:pt idx="2">
                  <c:v>-0.73312815963864486</c:v>
                </c:pt>
                <c:pt idx="3">
                  <c:v>-0.93010942693504539</c:v>
                </c:pt>
                <c:pt idx="4">
                  <c:v>-1.2217800693143308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2-4A3C-8E18-40FDCCBE1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56720"/>
        <c:axId val="671949880"/>
      </c:scatterChart>
      <c:valAx>
        <c:axId val="671956720"/>
        <c:scaling>
          <c:orientation val="minMax"/>
          <c:max val="3.400000000000001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1/T, 1/K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949880"/>
        <c:crossesAt val="-1.3"/>
        <c:crossBetween val="midCat"/>
      </c:valAx>
      <c:valAx>
        <c:axId val="671949880"/>
        <c:scaling>
          <c:orientation val="minMax"/>
          <c:max val="0.2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</a:t>
                </a:r>
                <a:r>
                  <a:rPr lang="el-GR"/>
                  <a:t>η), </a:t>
                </a:r>
                <a:r>
                  <a:rPr lang="pl-PL"/>
                  <a:t>ln(</a:t>
                </a:r>
                <a:r>
                  <a:rPr lang="en-US"/>
                  <a:t>Pa*s</a:t>
                </a:r>
                <a:r>
                  <a:rPr lang="pl-PL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956720"/>
        <c:crossesAt val="3.1000000000000008E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263963</xdr:colOff>
      <xdr:row>27</xdr:row>
      <xdr:rowOff>1554</xdr:rowOff>
    </xdr:from>
    <xdr:to>
      <xdr:col>6</xdr:col>
      <xdr:colOff>270532</xdr:colOff>
      <xdr:row>45</xdr:row>
      <xdr:rowOff>69215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4139237-5150-B228-123B-7C5BC0759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398422</xdr:colOff>
      <xdr:row>27</xdr:row>
      <xdr:rowOff>119097</xdr:rowOff>
    </xdr:from>
    <xdr:to>
      <xdr:col>14</xdr:col>
      <xdr:colOff>56836</xdr:colOff>
      <xdr:row>45</xdr:row>
      <xdr:rowOff>40270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C20268B-22D8-1DBC-12A9-A9A65F26A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5C20-0EAF-4D24-AF85-7359C289AF95}">
  <dimension ref="A1:U27"/>
  <sheetViews>
    <sheetView topLeftCell="D4" zoomScale="160" zoomScaleNormal="160" workbookViewId="0">
      <selection activeCell="I19" sqref="I19:K22"/>
    </sheetView>
  </sheetViews>
  <sheetFormatPr defaultRowHeight="15" x14ac:dyDescent="0.25"/>
  <cols>
    <col min="2" max="2" width="11.5703125" bestFit="1" customWidth="1"/>
    <col min="3" max="3" width="10.140625" bestFit="1" customWidth="1"/>
    <col min="6" max="6" width="11.5703125" bestFit="1" customWidth="1"/>
    <col min="7" max="7" width="10.42578125" bestFit="1" customWidth="1"/>
    <col min="8" max="8" width="9.5703125" bestFit="1" customWidth="1"/>
    <col min="9" max="9" width="10.28515625" customWidth="1"/>
    <col min="10" max="10" width="13.5703125" bestFit="1" customWidth="1"/>
    <col min="11" max="11" width="8.7109375" customWidth="1"/>
    <col min="14" max="14" width="14" customWidth="1"/>
    <col min="15" max="15" width="12.85546875" customWidth="1"/>
  </cols>
  <sheetData>
    <row r="1" spans="1:21" x14ac:dyDescent="0.25">
      <c r="A1" s="2" t="str">
        <f>Pomiary!A1</f>
        <v>ub(T), C</v>
      </c>
      <c r="B1" s="2">
        <f>Pomiary!B1</f>
        <v>0.28867513459481292</v>
      </c>
      <c r="C1" t="s">
        <v>9</v>
      </c>
      <c r="D1">
        <v>1.321</v>
      </c>
    </row>
    <row r="2" spans="1:21" x14ac:dyDescent="0.25">
      <c r="A2" s="2" t="str">
        <f>Pomiary!A2</f>
        <v>ub(t), s</v>
      </c>
      <c r="B2" s="2">
        <f>Pomiary!B2</f>
        <v>1.1547005383792517</v>
      </c>
      <c r="C2" t="s">
        <v>3</v>
      </c>
      <c r="D2" t="s">
        <v>7</v>
      </c>
      <c r="F2" t="s">
        <v>10</v>
      </c>
      <c r="Q2" s="6" t="s">
        <v>36</v>
      </c>
      <c r="R2" s="6" t="s">
        <v>35</v>
      </c>
    </row>
    <row r="3" spans="1:21" x14ac:dyDescent="0.25">
      <c r="A3" s="2" t="str">
        <f>Pomiary!A3</f>
        <v>LP</v>
      </c>
      <c r="B3" s="2" t="str">
        <f>Pomiary!B3</f>
        <v xml:space="preserve">T, ◦C </v>
      </c>
      <c r="C3" s="5" t="s">
        <v>6</v>
      </c>
      <c r="D3" s="5" t="s">
        <v>8</v>
      </c>
      <c r="E3" s="5" t="s">
        <v>12</v>
      </c>
      <c r="F3" s="5" t="s">
        <v>11</v>
      </c>
      <c r="Q3" s="5">
        <v>20</v>
      </c>
      <c r="R3" s="5">
        <v>878.8</v>
      </c>
      <c r="T3">
        <f t="array" ref="T3:U5">LINEST(R3:R9,Q3:Q9,TRUE,TRUE)</f>
        <v>-0.70785714285714063</v>
      </c>
      <c r="U3">
        <v>893.01785714285711</v>
      </c>
    </row>
    <row r="4" spans="1:21" x14ac:dyDescent="0.25">
      <c r="A4" s="2">
        <f>Pomiary!A4</f>
        <v>1</v>
      </c>
      <c r="B4" s="2" t="str">
        <f>_xlfn.CONCAT(FIXED(Pomiary!B4,RIGHT(TEXT($B$1,"0,00E+00"),2)+1,TRUE),"(",LEFT($B$1*10^LEN($B$1),2),")")</f>
        <v>21,00(28)</v>
      </c>
      <c r="C4" s="5" t="str">
        <f>_xlfn.CONCAT(FIXED(Pomiary!G4,RIGHT(TEXT(F4,"0,00E+00"),2)+1,TRUE),"(",LEFT(F4*10^LEN(F4),2),")")</f>
        <v>130,6(12)</v>
      </c>
      <c r="D4" s="5">
        <f>STDEVA(Pomiary!C4:E4)</f>
        <v>0.59618229874203066</v>
      </c>
      <c r="E4" s="5">
        <f>D4*$D$1/SQRT(3-1)</f>
        <v>0.55688676561457751</v>
      </c>
      <c r="F4" s="5">
        <f>SQRT(E4^2+$B$2^2)</f>
        <v>1.2819735578591311</v>
      </c>
      <c r="Q4" s="5">
        <v>25</v>
      </c>
      <c r="R4" s="5">
        <v>875.3</v>
      </c>
      <c r="T4">
        <v>3.1134992453859776E-3</v>
      </c>
      <c r="U4">
        <v>0.11333308323300942</v>
      </c>
    </row>
    <row r="5" spans="1:21" x14ac:dyDescent="0.25">
      <c r="A5" s="2">
        <f>Pomiary!A5</f>
        <v>2</v>
      </c>
      <c r="B5" s="2" t="str">
        <f>_xlfn.CONCAT(FIXED(Pomiary!B5,RIGHT(TEXT($B$1,"0,00E+00"),2)+1,TRUE),"(",LEFT($B$1*10^LEN($B$1),2),")")</f>
        <v>29,00(28)</v>
      </c>
      <c r="C5" s="5" t="str">
        <f>_xlfn.CONCAT(FIXED(Pomiary!G5,RIGHT(TEXT(F5,"0,00E+00"),2)+1,TRUE),"(",LEFT(F5*10^LEN(F5),2),")")</f>
        <v>85,4(11)</v>
      </c>
      <c r="D5" s="5">
        <f>STDEVA(Pomiary!C5:E5)</f>
        <v>0.17691806012954628</v>
      </c>
      <c r="E5" s="5">
        <f t="shared" ref="E5:E8" si="0">D5*$D$1/SQRT(3-1)</f>
        <v>0.16525704720223439</v>
      </c>
      <c r="F5" s="5">
        <f t="shared" ref="F5:F8" si="1">SQRT(E5^2+$B$2^2)</f>
        <v>1.1664661268049472</v>
      </c>
      <c r="Q5" s="5">
        <v>30</v>
      </c>
      <c r="R5" s="5">
        <v>871.8</v>
      </c>
      <c r="T5">
        <v>0.99990327599126827</v>
      </c>
      <c r="U5">
        <v>8.2375447104785643E-2</v>
      </c>
    </row>
    <row r="6" spans="1:21" x14ac:dyDescent="0.25">
      <c r="A6" s="2">
        <f>Pomiary!A6</f>
        <v>3</v>
      </c>
      <c r="B6" s="2" t="str">
        <f>_xlfn.CONCAT(FIXED(Pomiary!B6,RIGHT(TEXT($B$1,"0,00E+00"),2)+1,TRUE),"(",LEFT($B$1*10^LEN($B$1),2),")")</f>
        <v>37,00(28)</v>
      </c>
      <c r="C6" s="5" t="str">
        <f>_xlfn.CONCAT(FIXED(Pomiary!G6,RIGHT(TEXT(F6,"0,00E+00"),2)+1,TRUE),"(",LEFT(F6*10^LEN(F6),2),")")</f>
        <v>54,9(12)</v>
      </c>
      <c r="D6" s="5">
        <f>STDEVA(Pomiary!D6:E6)</f>
        <v>0.45961940777125487</v>
      </c>
      <c r="E6" s="5">
        <f t="shared" si="0"/>
        <v>0.42932499999999896</v>
      </c>
      <c r="F6" s="5">
        <f t="shared" si="1"/>
        <v>1.2319307159732371</v>
      </c>
      <c r="Q6" s="5">
        <v>35</v>
      </c>
      <c r="R6" s="5">
        <v>868.3</v>
      </c>
    </row>
    <row r="7" spans="1:21" x14ac:dyDescent="0.25">
      <c r="A7" s="2">
        <f>Pomiary!A7</f>
        <v>4</v>
      </c>
      <c r="B7" s="2" t="str">
        <f>_xlfn.CONCAT(FIXED(Pomiary!B7,RIGHT(TEXT($B$1,"0,00E+00"),2)+1,TRUE),"(",LEFT($B$1*10^LEN($B$1),2),")")</f>
        <v>42,00(28)</v>
      </c>
      <c r="C7" s="5" t="str">
        <f>_xlfn.CONCAT(FIXED(Pomiary!G7,RIGHT(TEXT(F7,"0,00E+00"),2)+1,TRUE),"(",LEFT(F7*10^LEN(F7),2),")")</f>
        <v>45,1(14)</v>
      </c>
      <c r="D7" s="5">
        <f>STDEVA(Pomiary!C7:E7)</f>
        <v>0.84964698551810258</v>
      </c>
      <c r="E7" s="5">
        <f t="shared" si="0"/>
        <v>0.79364510264349197</v>
      </c>
      <c r="F7" s="5">
        <f t="shared" si="1"/>
        <v>1.4011444901520087</v>
      </c>
      <c r="Q7" s="5">
        <v>40</v>
      </c>
      <c r="R7" s="5">
        <v>864.8</v>
      </c>
    </row>
    <row r="8" spans="1:21" x14ac:dyDescent="0.25">
      <c r="A8" s="2">
        <f>Pomiary!A8</f>
        <v>5</v>
      </c>
      <c r="B8" s="2" t="str">
        <f>_xlfn.CONCAT(FIXED(Pomiary!B8,RIGHT(TEXT($B$1,"0,00E+00"),2)+1,TRUE),"(",LEFT($B$1*10^LEN($B$1),2),")")</f>
        <v>47,00(28)</v>
      </c>
      <c r="C8" s="5" t="str">
        <f>_xlfn.CONCAT(FIXED(Pomiary!G8,RIGHT(TEXT(F8,"0,00E+00"),2)+1,TRUE),"(",LEFT(F8*10^LEN(F8),2),")")</f>
        <v>33,6(13)</v>
      </c>
      <c r="D8" s="5">
        <f>STDEVA(Pomiary!C8:E8)</f>
        <v>0.75048872965110669</v>
      </c>
      <c r="E8" s="5">
        <f t="shared" si="0"/>
        <v>0.70102255999123542</v>
      </c>
      <c r="F8" s="5">
        <f t="shared" si="1"/>
        <v>1.35083898483498</v>
      </c>
      <c r="Q8" s="5">
        <v>45</v>
      </c>
      <c r="R8" s="5">
        <v>861.2</v>
      </c>
    </row>
    <row r="9" spans="1:21" x14ac:dyDescent="0.25">
      <c r="A9" t="s">
        <v>17</v>
      </c>
      <c r="B9">
        <f>1.2018*10^(-6)</f>
        <v>1.2017999999999999E-6</v>
      </c>
      <c r="C9" t="s">
        <v>16</v>
      </c>
      <c r="D9">
        <v>8150</v>
      </c>
      <c r="K9" t="s">
        <v>25</v>
      </c>
      <c r="L9" t="s">
        <v>19</v>
      </c>
      <c r="N9" s="2" t="s">
        <v>38</v>
      </c>
      <c r="O9" s="2" t="s">
        <v>39</v>
      </c>
      <c r="Q9" s="5">
        <v>50</v>
      </c>
      <c r="R9" s="5">
        <v>857.5</v>
      </c>
    </row>
    <row r="10" spans="1:21" x14ac:dyDescent="0.25">
      <c r="A10" s="2" t="str">
        <f t="shared" ref="A10:B15" si="2">A3</f>
        <v>LP</v>
      </c>
      <c r="B10" s="2" t="str">
        <f t="shared" si="2"/>
        <v xml:space="preserve">T, ◦C </v>
      </c>
      <c r="C10" s="8" t="s">
        <v>15</v>
      </c>
      <c r="D10" s="5" t="str">
        <f>C3</f>
        <v>tśr, s</v>
      </c>
      <c r="E10" s="5" t="str">
        <f t="shared" ref="E10:E15" si="3">F3</f>
        <v>u(tśr), s</v>
      </c>
      <c r="F10" s="6" t="s">
        <v>13</v>
      </c>
      <c r="G10" s="6" t="s">
        <v>14</v>
      </c>
      <c r="H10" s="6" t="s">
        <v>13</v>
      </c>
      <c r="I10" t="s">
        <v>37</v>
      </c>
      <c r="J10" t="s">
        <v>18</v>
      </c>
      <c r="L10" t="s">
        <v>20</v>
      </c>
      <c r="M10" t="s">
        <v>21</v>
      </c>
      <c r="N10" s="2" t="str">
        <f>_xlfn.CONCAT(FIXED(L11,RIGHT(TEXT(L12,"0,00E+00"),2)+1,TRUE),"(",LEFT(L12*10^LEN(L12),2),")")</f>
        <v>4856,289(11)</v>
      </c>
      <c r="O10" s="2" t="str">
        <f>_xlfn.CONCAT(FIXED(M11,RIGHT(TEXT(M12,"0,00E+00"),2)+1,TRUE),"(",LEFT(M12*10^LEN(M12),2),")")</f>
        <v>-16,37(36)</v>
      </c>
    </row>
    <row r="11" spans="1:21" x14ac:dyDescent="0.25">
      <c r="A11" s="2">
        <f t="shared" si="2"/>
        <v>1</v>
      </c>
      <c r="B11" s="2" t="str">
        <f t="shared" si="2"/>
        <v>21,00(28)</v>
      </c>
      <c r="C11" s="8">
        <f>$T$3*Pomiary!B4+$U$3</f>
        <v>878.1528571428571</v>
      </c>
      <c r="D11" s="5">
        <f>Pomiary!G4</f>
        <v>130.63666666666668</v>
      </c>
      <c r="E11" s="5">
        <f t="shared" si="3"/>
        <v>1.2819735578591311</v>
      </c>
      <c r="F11" s="5">
        <f>$B$9*($D$9-C11)*D11</f>
        <v>1.1416737912711115</v>
      </c>
      <c r="G11" s="5">
        <f>$B$9*($D$9-C11)*E11</f>
        <v>1.1203559073080679E-2</v>
      </c>
      <c r="H11" t="str">
        <f>_xlfn.CONCAT(FIXED(F11,RIGHT(TEXT(G11,"0,00E+00"),2)+1,TRUE),"(",LEFT(G11*10^LEN(G11),2),")")</f>
        <v>1,142(11)</v>
      </c>
      <c r="I11">
        <f>1/(Pomiary!B4+273.15)</f>
        <v>3.3996260411354754E-3</v>
      </c>
      <c r="J11">
        <f>LN(F11)</f>
        <v>0.1324954235560476</v>
      </c>
      <c r="L11">
        <f t="array" ref="L11:M13">LINEST(J11:J15,I11:I15,TRUE,TRUE)</f>
        <v>4856.2888337818931</v>
      </c>
      <c r="M11">
        <v>-16.372606650207</v>
      </c>
    </row>
    <row r="12" spans="1:21" x14ac:dyDescent="0.25">
      <c r="A12" s="2">
        <f t="shared" si="2"/>
        <v>2</v>
      </c>
      <c r="B12" s="2" t="str">
        <f t="shared" si="2"/>
        <v>29,00(28)</v>
      </c>
      <c r="C12" s="8">
        <f>$T$3*Pomiary!B5+$U$3</f>
        <v>872.49</v>
      </c>
      <c r="D12" s="5">
        <f>Pomiary!G5</f>
        <v>85.350000000000009</v>
      </c>
      <c r="E12" s="5">
        <f t="shared" si="3"/>
        <v>1.1664661268049472</v>
      </c>
      <c r="F12" s="5">
        <f t="shared" ref="F12:F15" si="4">$B$9*($D$9-C12)*D12</f>
        <v>0.74648061806130006</v>
      </c>
      <c r="G12" s="5">
        <f t="shared" ref="G12:G15" si="5">$B$9*($D$9-C12)*E12</f>
        <v>1.0202042827005597E-2</v>
      </c>
      <c r="H12" t="str">
        <f t="shared" ref="H12:H15" si="6">_xlfn.CONCAT(FIXED(F12,RIGHT(TEXT(G12,"0,00E+00"),2)+1,TRUE),"(",LEFT(G12*10^LEN(G12),2),")")</f>
        <v>0,746(10)</v>
      </c>
      <c r="I12" s="7">
        <f>1/(Pomiary!B5+273.15)</f>
        <v>3.3096144299189145E-3</v>
      </c>
      <c r="J12">
        <f t="shared" ref="J12:J15" si="7">LN(F12)</f>
        <v>-0.29238562608905166</v>
      </c>
      <c r="K12" t="s">
        <v>23</v>
      </c>
      <c r="L12">
        <v>112.33108560304034</v>
      </c>
      <c r="M12">
        <v>0.36479685454677663</v>
      </c>
      <c r="N12" t="s">
        <v>22</v>
      </c>
    </row>
    <row r="13" spans="1:21" x14ac:dyDescent="0.25">
      <c r="A13" s="2">
        <f t="shared" si="2"/>
        <v>3</v>
      </c>
      <c r="B13" s="2" t="str">
        <f t="shared" si="2"/>
        <v>37,00(28)</v>
      </c>
      <c r="C13" s="8">
        <f>$T$3*Pomiary!B6+$U$3</f>
        <v>866.82714285714292</v>
      </c>
      <c r="D13" s="5">
        <f>Pomiary!G6</f>
        <v>54.885000000000005</v>
      </c>
      <c r="E13" s="5">
        <f t="shared" si="3"/>
        <v>1.2319307159732371</v>
      </c>
      <c r="F13" s="5">
        <f t="shared" si="4"/>
        <v>0.48040385721321865</v>
      </c>
      <c r="G13" s="5">
        <f t="shared" si="5"/>
        <v>1.0782987478782639E-2</v>
      </c>
      <c r="H13" t="str">
        <f t="shared" si="6"/>
        <v>0,480(10)</v>
      </c>
      <c r="I13" s="7">
        <f>1/(Pomiary!B6+273.15)</f>
        <v>3.224246332419797E-3</v>
      </c>
      <c r="J13">
        <f t="shared" si="7"/>
        <v>-0.73312815963864486</v>
      </c>
      <c r="K13" t="s">
        <v>24</v>
      </c>
      <c r="L13">
        <v>0.99839743517744084</v>
      </c>
      <c r="M13">
        <v>2.4721516402055846E-2</v>
      </c>
    </row>
    <row r="14" spans="1:21" x14ac:dyDescent="0.25">
      <c r="A14" s="2">
        <f t="shared" si="2"/>
        <v>4</v>
      </c>
      <c r="B14" s="2" t="str">
        <f t="shared" si="2"/>
        <v>42,00(28)</v>
      </c>
      <c r="C14" s="8">
        <f>$T$3*Pomiary!B7+$U$3</f>
        <v>863.28785714285721</v>
      </c>
      <c r="D14" s="5">
        <f>Pomiary!G7</f>
        <v>45.050000000000004</v>
      </c>
      <c r="E14" s="5">
        <f t="shared" si="3"/>
        <v>1.4011444901520087</v>
      </c>
      <c r="F14" s="5">
        <f t="shared" si="4"/>
        <v>0.39451053793052143</v>
      </c>
      <c r="G14" s="5">
        <f t="shared" si="5"/>
        <v>1.2270061410172145E-2</v>
      </c>
      <c r="H14" t="str">
        <f t="shared" si="6"/>
        <v>0,395(12)</v>
      </c>
      <c r="I14" s="7">
        <f>1/(Pomiary!B7+273.15)</f>
        <v>3.1730921783277807E-3</v>
      </c>
      <c r="J14">
        <f t="shared" si="7"/>
        <v>-0.93010942693504539</v>
      </c>
    </row>
    <row r="15" spans="1:21" x14ac:dyDescent="0.25">
      <c r="A15" s="2">
        <f t="shared" si="2"/>
        <v>5</v>
      </c>
      <c r="B15" s="2" t="str">
        <f t="shared" si="2"/>
        <v>47,00(28)</v>
      </c>
      <c r="C15" s="8">
        <f>$T$3*Pomiary!B8+$U$3</f>
        <v>859.74857142857149</v>
      </c>
      <c r="D15" s="5">
        <f>Pomiary!G8</f>
        <v>33.63666666666667</v>
      </c>
      <c r="E15" s="5">
        <f t="shared" si="3"/>
        <v>1.35083898483498</v>
      </c>
      <c r="F15" s="5">
        <f t="shared" si="4"/>
        <v>0.29470510422585139</v>
      </c>
      <c r="G15" s="5">
        <f t="shared" si="5"/>
        <v>1.1835273327265961E-2</v>
      </c>
      <c r="H15" t="str">
        <f t="shared" si="6"/>
        <v>0,295(11)</v>
      </c>
      <c r="I15" s="7">
        <f>1/(Pomiary!B8+273.15)</f>
        <v>3.1235358425737939E-3</v>
      </c>
      <c r="J15">
        <f t="shared" si="7"/>
        <v>-1.2217800693143308</v>
      </c>
    </row>
    <row r="18" spans="2:11" x14ac:dyDescent="0.25">
      <c r="E18" t="s">
        <v>27</v>
      </c>
      <c r="F18">
        <f>1.38*10^(-23)</f>
        <v>1.3800000000000001E-23</v>
      </c>
      <c r="I18" t="s">
        <v>26</v>
      </c>
    </row>
    <row r="19" spans="2:11" x14ac:dyDescent="0.25">
      <c r="I19" s="5" t="s">
        <v>28</v>
      </c>
      <c r="J19" s="5" t="s">
        <v>29</v>
      </c>
      <c r="K19" s="5" t="s">
        <v>28</v>
      </c>
    </row>
    <row r="20" spans="2:11" x14ac:dyDescent="0.25">
      <c r="F20" t="s">
        <v>32</v>
      </c>
      <c r="I20" s="5">
        <f>F18*L11</f>
        <v>6.701678590619013E-20</v>
      </c>
      <c r="J20" s="5">
        <f>F18*L12</f>
        <v>1.5501689813219567E-21</v>
      </c>
      <c r="K20" s="5" t="str">
        <f>_xlfn.CONCAT(FIXED(I20,RIGHT(TEXT(J20,"0,00E+00"),2)+1,TRUE),"(",LEFT(J20*10^(LEN(J20)+2),2),")")</f>
        <v>0,0000000000000000000670(15)</v>
      </c>
    </row>
    <row r="21" spans="2:11" x14ac:dyDescent="0.25">
      <c r="F21" t="s">
        <v>33</v>
      </c>
      <c r="I21" s="5" t="s">
        <v>30</v>
      </c>
      <c r="J21" s="5" t="s">
        <v>31</v>
      </c>
      <c r="K21" s="5" t="s">
        <v>30</v>
      </c>
    </row>
    <row r="22" spans="2:11" x14ac:dyDescent="0.25">
      <c r="F22" t="s">
        <v>34</v>
      </c>
      <c r="I22" s="14">
        <f>I20*6.24*10^18</f>
        <v>0.41818474405462641</v>
      </c>
      <c r="J22" s="14">
        <f>J20*6.24*10^18</f>
        <v>9.6730544434490105E-3</v>
      </c>
      <c r="K22" s="5" t="str">
        <f>_xlfn.CONCAT(FIXED(I22,RIGHT(TEXT(J22,"0,00E+00"),2)+1,TRUE),"(",LEFT(J22*10^(LEN(J22)+2),2),")")</f>
        <v>0,4182(96)</v>
      </c>
    </row>
    <row r="27" spans="2:11" x14ac:dyDescent="0.25">
      <c r="B27">
        <v>6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9E99-E6F6-4E2C-9141-06A8457B8FBC}">
  <dimension ref="B3:R9"/>
  <sheetViews>
    <sheetView tabSelected="1" topLeftCell="C1" zoomScale="160" zoomScaleNormal="160" workbookViewId="0">
      <selection activeCell="I13" sqref="I13"/>
    </sheetView>
  </sheetViews>
  <sheetFormatPr defaultColWidth="8.7109375" defaultRowHeight="15" x14ac:dyDescent="0.25"/>
  <cols>
    <col min="1" max="1" width="8.7109375" style="1"/>
    <col min="2" max="2" width="2.5703125" style="1" bestFit="1" customWidth="1"/>
    <col min="3" max="3" width="8.5703125" style="1" bestFit="1" customWidth="1"/>
    <col min="4" max="4" width="9.5703125" style="1" bestFit="1" customWidth="1"/>
    <col min="5" max="5" width="8.42578125" style="1" customWidth="1"/>
    <col min="6" max="6" width="7.5703125" style="1" customWidth="1"/>
    <col min="7" max="7" width="8.7109375" style="1"/>
    <col min="8" max="8" width="3" style="1" bestFit="1" customWidth="1"/>
    <col min="9" max="9" width="9.140625" style="1" bestFit="1" customWidth="1"/>
    <col min="10" max="10" width="10.85546875" style="1" customWidth="1"/>
    <col min="11" max="11" width="10.140625" style="1" bestFit="1" customWidth="1"/>
    <col min="12" max="12" width="7.7109375" style="1" bestFit="1" customWidth="1"/>
    <col min="13" max="13" width="10.140625" style="1" bestFit="1" customWidth="1"/>
    <col min="14" max="14" width="12" style="1" customWidth="1"/>
    <col min="15" max="15" width="8.7109375" style="1"/>
    <col min="16" max="17" width="12.42578125" style="1" bestFit="1" customWidth="1"/>
    <col min="18" max="18" width="29.85546875" style="1" bestFit="1" customWidth="1"/>
    <col min="19" max="16384" width="8.7109375" style="1"/>
  </cols>
  <sheetData>
    <row r="3" spans="2:18" x14ac:dyDescent="0.25">
      <c r="B3" s="2" t="str">
        <f>Zadania!A3</f>
        <v>LP</v>
      </c>
      <c r="C3" s="2" t="str">
        <f>Zadania!B3</f>
        <v xml:space="preserve">T, ◦C </v>
      </c>
      <c r="D3" s="2" t="str">
        <f>Zadania!C3</f>
        <v>tśr, s</v>
      </c>
      <c r="E3" s="2" t="str">
        <f>Zadania!E3</f>
        <v>ua(tśr), s</v>
      </c>
      <c r="F3" s="2" t="str">
        <f>Zadania!F3</f>
        <v>u(tśr), s</v>
      </c>
      <c r="H3" s="2" t="s">
        <v>2</v>
      </c>
      <c r="I3" s="2" t="str">
        <f>Zadania!B10</f>
        <v xml:space="preserve">T, ◦C </v>
      </c>
      <c r="J3" s="2" t="str">
        <f>Zadania!C10</f>
        <v>ρ, kg/m^3</v>
      </c>
      <c r="K3" s="2" t="str">
        <f>Zadania!C3</f>
        <v>tśr, s</v>
      </c>
      <c r="L3" s="2" t="str">
        <f>Zadania!E10</f>
        <v>u(tśr), s</v>
      </c>
      <c r="M3" s="2" t="str">
        <f>Zadania!H10</f>
        <v>η, Pa*s</v>
      </c>
      <c r="N3" s="2" t="str">
        <f>Zadania!G10</f>
        <v>u(η), Pa*s</v>
      </c>
      <c r="P3" s="2" t="str">
        <f>Zadania!I19</f>
        <v>W, J</v>
      </c>
      <c r="Q3" s="2" t="str">
        <f>Zadania!J19</f>
        <v>u(W), J</v>
      </c>
      <c r="R3" s="2" t="str">
        <f>Zadania!K19</f>
        <v>W, J</v>
      </c>
    </row>
    <row r="4" spans="2:18" x14ac:dyDescent="0.25">
      <c r="B4" s="2">
        <f>Zadania!A4</f>
        <v>1</v>
      </c>
      <c r="C4" s="2" t="str">
        <f>Zadania!B4</f>
        <v>21,00(28)</v>
      </c>
      <c r="D4" s="2" t="str">
        <f>Zadania!C4</f>
        <v>130,6(12)</v>
      </c>
      <c r="E4" s="10">
        <f>Zadania!E4</f>
        <v>0.55688676561457751</v>
      </c>
      <c r="F4" s="13">
        <f>Zadania!F4</f>
        <v>1.2819735578591311</v>
      </c>
      <c r="H4" s="2">
        <v>1</v>
      </c>
      <c r="I4" s="2" t="str">
        <f>Zadania!B11</f>
        <v>21,00(28)</v>
      </c>
      <c r="J4" s="10">
        <f>Zadania!C11</f>
        <v>878.1528571428571</v>
      </c>
      <c r="K4" s="10" t="str">
        <f>Zadania!C4</f>
        <v>130,6(12)</v>
      </c>
      <c r="L4" s="10">
        <f>Zadania!E11</f>
        <v>1.2819735578591311</v>
      </c>
      <c r="M4" s="11" t="str">
        <f>Zadania!H11</f>
        <v>1,142(11)</v>
      </c>
      <c r="N4" s="12">
        <f>Zadania!G11</f>
        <v>1.1203559073080679E-2</v>
      </c>
      <c r="P4" s="2">
        <f>Zadania!I20</f>
        <v>6.701678590619013E-20</v>
      </c>
      <c r="Q4" s="2">
        <f>Zadania!J20</f>
        <v>1.5501689813219567E-21</v>
      </c>
      <c r="R4" s="2" t="str">
        <f>Zadania!K20</f>
        <v>0,0000000000000000000670(15)</v>
      </c>
    </row>
    <row r="5" spans="2:18" x14ac:dyDescent="0.25">
      <c r="B5" s="2">
        <f>Zadania!A5</f>
        <v>2</v>
      </c>
      <c r="C5" s="2" t="str">
        <f>Zadania!B5</f>
        <v>29,00(28)</v>
      </c>
      <c r="D5" s="2" t="str">
        <f>Zadania!C5</f>
        <v>85,4(11)</v>
      </c>
      <c r="E5" s="10">
        <f>Zadania!E5</f>
        <v>0.16525704720223439</v>
      </c>
      <c r="F5" s="13">
        <f>Zadania!F5</f>
        <v>1.1664661268049472</v>
      </c>
      <c r="H5" s="2">
        <v>2</v>
      </c>
      <c r="I5" s="2" t="str">
        <f>Zadania!B12</f>
        <v>29,00(28)</v>
      </c>
      <c r="J5" s="10">
        <f>Zadania!C12</f>
        <v>872.49</v>
      </c>
      <c r="K5" s="10" t="str">
        <f>Zadania!C5</f>
        <v>85,4(11)</v>
      </c>
      <c r="L5" s="10">
        <f>Zadania!E12</f>
        <v>1.1664661268049472</v>
      </c>
      <c r="M5" s="11" t="str">
        <f>Zadania!H12</f>
        <v>0,746(10)</v>
      </c>
      <c r="N5" s="12">
        <f>Zadania!G12</f>
        <v>1.0202042827005597E-2</v>
      </c>
      <c r="P5" s="2" t="str">
        <f>Zadania!I21</f>
        <v>W, eV</v>
      </c>
      <c r="Q5" s="2" t="str">
        <f>Zadania!J21</f>
        <v>u(W), eV</v>
      </c>
      <c r="R5" s="2" t="str">
        <f>Zadania!K21</f>
        <v>W, eV</v>
      </c>
    </row>
    <row r="6" spans="2:18" x14ac:dyDescent="0.25">
      <c r="B6" s="2">
        <f>Zadania!A6</f>
        <v>3</v>
      </c>
      <c r="C6" s="2" t="str">
        <f>Zadania!B6</f>
        <v>37,00(28)</v>
      </c>
      <c r="D6" s="2" t="str">
        <f>Zadania!C6</f>
        <v>54,9(12)</v>
      </c>
      <c r="E6" s="10">
        <f>Zadania!E6</f>
        <v>0.42932499999999896</v>
      </c>
      <c r="F6" s="13">
        <f>Zadania!F6</f>
        <v>1.2319307159732371</v>
      </c>
      <c r="H6" s="2">
        <v>3</v>
      </c>
      <c r="I6" s="2" t="str">
        <f>Zadania!B13</f>
        <v>37,00(28)</v>
      </c>
      <c r="J6" s="10">
        <f>Zadania!C13</f>
        <v>866.82714285714292</v>
      </c>
      <c r="K6" s="10" t="str">
        <f>Zadania!C6</f>
        <v>54,9(12)</v>
      </c>
      <c r="L6" s="10">
        <f>Zadania!E13</f>
        <v>1.2319307159732371</v>
      </c>
      <c r="M6" s="11" t="str">
        <f>Zadania!H13</f>
        <v>0,480(10)</v>
      </c>
      <c r="N6" s="12">
        <f>Zadania!G13</f>
        <v>1.0782987478782639E-2</v>
      </c>
      <c r="P6" s="11">
        <f>Zadania!I22</f>
        <v>0.41818474405462641</v>
      </c>
      <c r="Q6" s="11">
        <f>Zadania!J22</f>
        <v>9.6730544434490105E-3</v>
      </c>
      <c r="R6" s="2" t="str">
        <f>Zadania!K22</f>
        <v>0,4182(96)</v>
      </c>
    </row>
    <row r="7" spans="2:18" x14ac:dyDescent="0.25">
      <c r="B7" s="2">
        <f>Zadania!A7</f>
        <v>4</v>
      </c>
      <c r="C7" s="2" t="str">
        <f>Zadania!B7</f>
        <v>42,00(28)</v>
      </c>
      <c r="D7" s="2" t="str">
        <f>Zadania!C7</f>
        <v>45,1(14)</v>
      </c>
      <c r="E7" s="10">
        <f>Zadania!E7</f>
        <v>0.79364510264349197</v>
      </c>
      <c r="F7" s="13">
        <f>Zadania!F7</f>
        <v>1.4011444901520087</v>
      </c>
      <c r="H7" s="2">
        <v>4</v>
      </c>
      <c r="I7" s="2" t="str">
        <f>Zadania!B14</f>
        <v>42,00(28)</v>
      </c>
      <c r="J7" s="10">
        <f>Zadania!C14</f>
        <v>863.28785714285721</v>
      </c>
      <c r="K7" s="10" t="str">
        <f>Zadania!C7</f>
        <v>45,1(14)</v>
      </c>
      <c r="L7" s="10">
        <f>Zadania!E14</f>
        <v>1.4011444901520087</v>
      </c>
      <c r="M7" s="11" t="str">
        <f>Zadania!H14</f>
        <v>0,395(12)</v>
      </c>
      <c r="N7" s="12">
        <f>Zadania!G14</f>
        <v>1.2270061410172145E-2</v>
      </c>
    </row>
    <row r="8" spans="2:18" x14ac:dyDescent="0.25">
      <c r="B8" s="2">
        <f>Zadania!A8</f>
        <v>5</v>
      </c>
      <c r="C8" s="2" t="str">
        <f>Zadania!B8</f>
        <v>47,00(28)</v>
      </c>
      <c r="D8" s="2" t="str">
        <f>Zadania!C8</f>
        <v>33,6(13)</v>
      </c>
      <c r="E8" s="10">
        <f>Zadania!E8</f>
        <v>0.70102255999123542</v>
      </c>
      <c r="F8" s="13">
        <f>Zadania!F8</f>
        <v>1.35083898483498</v>
      </c>
      <c r="H8" s="2">
        <v>5</v>
      </c>
      <c r="I8" s="2" t="str">
        <f>Zadania!B15</f>
        <v>47,00(28)</v>
      </c>
      <c r="J8" s="10">
        <f>Zadania!C15</f>
        <v>859.74857142857149</v>
      </c>
      <c r="K8" s="10" t="str">
        <f>Zadania!C8</f>
        <v>33,6(13)</v>
      </c>
      <c r="L8" s="10">
        <f>Zadania!E15</f>
        <v>1.35083898483498</v>
      </c>
      <c r="M8" s="11" t="str">
        <f>Zadania!H15</f>
        <v>0,295(11)</v>
      </c>
      <c r="N8" s="12">
        <f>Zadania!G15</f>
        <v>1.1835273327265961E-2</v>
      </c>
    </row>
    <row r="9" spans="2:18" x14ac:dyDescent="0.25">
      <c r="E9" s="9"/>
      <c r="F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145" zoomScaleNormal="145" workbookViewId="0">
      <selection activeCell="B4" sqref="B4"/>
    </sheetView>
  </sheetViews>
  <sheetFormatPr defaultColWidth="8.7109375" defaultRowHeight="15" x14ac:dyDescent="0.25"/>
  <cols>
    <col min="1" max="1" width="8.7109375" style="1"/>
    <col min="2" max="2" width="9.140625" style="1" customWidth="1"/>
    <col min="3" max="16384" width="8.7109375" style="1"/>
  </cols>
  <sheetData>
    <row r="1" spans="1:7" x14ac:dyDescent="0.25">
      <c r="A1" s="2" t="s">
        <v>0</v>
      </c>
      <c r="B1" s="2">
        <f>0.5/SQRT(3)</f>
        <v>0.28867513459481292</v>
      </c>
    </row>
    <row r="2" spans="1:7" x14ac:dyDescent="0.25">
      <c r="A2" s="2" t="s">
        <v>1</v>
      </c>
      <c r="B2" s="2">
        <f>2/SQRT(3)</f>
        <v>1.1547005383792517</v>
      </c>
      <c r="C2" s="4" t="s">
        <v>4</v>
      </c>
      <c r="D2" s="3"/>
      <c r="E2" s="3"/>
    </row>
    <row r="3" spans="1:7" x14ac:dyDescent="0.25">
      <c r="A3" s="2" t="s">
        <v>2</v>
      </c>
      <c r="B3" s="2" t="s">
        <v>36</v>
      </c>
      <c r="C3" s="2">
        <v>1</v>
      </c>
      <c r="D3" s="2">
        <v>2</v>
      </c>
      <c r="E3" s="2">
        <v>3</v>
      </c>
      <c r="G3" s="1" t="s">
        <v>6</v>
      </c>
    </row>
    <row r="4" spans="1:7" x14ac:dyDescent="0.25">
      <c r="A4" s="2">
        <v>1</v>
      </c>
      <c r="B4" s="2">
        <v>21</v>
      </c>
      <c r="C4" s="2">
        <v>131.21</v>
      </c>
      <c r="D4" s="2">
        <v>130.02000000000001</v>
      </c>
      <c r="E4" s="2">
        <v>130.68</v>
      </c>
      <c r="G4" s="1">
        <f>AVERAGE(C4:E4)</f>
        <v>130.63666666666668</v>
      </c>
    </row>
    <row r="5" spans="1:7" x14ac:dyDescent="0.25">
      <c r="A5" s="2">
        <v>2</v>
      </c>
      <c r="B5" s="2">
        <v>29</v>
      </c>
      <c r="C5" s="2">
        <v>85.54</v>
      </c>
      <c r="D5" s="2">
        <v>85.19</v>
      </c>
      <c r="E5" s="2">
        <v>85.32</v>
      </c>
      <c r="G5" s="1">
        <f>AVERAGE(C5:E5)</f>
        <v>85.350000000000009</v>
      </c>
    </row>
    <row r="6" spans="1:7" x14ac:dyDescent="0.25">
      <c r="A6" s="2">
        <v>3</v>
      </c>
      <c r="B6" s="1">
        <v>37</v>
      </c>
      <c r="C6" s="2">
        <v>55.77</v>
      </c>
      <c r="D6" s="2">
        <v>54.56</v>
      </c>
      <c r="E6" s="2">
        <v>55.21</v>
      </c>
      <c r="G6" s="1">
        <f>AVERAGE(D6:E6)</f>
        <v>54.885000000000005</v>
      </c>
    </row>
    <row r="7" spans="1:7" x14ac:dyDescent="0.25">
      <c r="A7" s="2">
        <v>4</v>
      </c>
      <c r="B7" s="2">
        <v>42</v>
      </c>
      <c r="C7" s="2">
        <v>46.03</v>
      </c>
      <c r="D7" s="2">
        <v>44.6</v>
      </c>
      <c r="E7" s="2">
        <v>44.52</v>
      </c>
      <c r="G7" s="1">
        <f>AVERAGE(C7:E7)</f>
        <v>45.050000000000004</v>
      </c>
    </row>
    <row r="8" spans="1:7" x14ac:dyDescent="0.25">
      <c r="A8" s="2">
        <v>5</v>
      </c>
      <c r="B8" s="2">
        <v>47</v>
      </c>
      <c r="C8" s="2">
        <v>34.5</v>
      </c>
      <c r="D8" s="2">
        <v>33.270000000000003</v>
      </c>
      <c r="E8" s="2">
        <v>33.14</v>
      </c>
      <c r="G8" s="1">
        <f>AVERAGE(C8:E8)</f>
        <v>33.63666666666667</v>
      </c>
    </row>
    <row r="10" spans="1:7" x14ac:dyDescent="0.25">
      <c r="B10" s="2" t="s">
        <v>5</v>
      </c>
    </row>
    <row r="11" spans="1:7" x14ac:dyDescent="0.25">
      <c r="B11" s="2">
        <v>21</v>
      </c>
    </row>
    <row r="12" spans="1:7" x14ac:dyDescent="0.25">
      <c r="B12" s="2">
        <v>29</v>
      </c>
    </row>
    <row r="13" spans="1:7" x14ac:dyDescent="0.25">
      <c r="B13" s="1">
        <v>37</v>
      </c>
    </row>
    <row r="14" spans="1:7" x14ac:dyDescent="0.25">
      <c r="B14" s="2">
        <v>42</v>
      </c>
    </row>
    <row r="15" spans="1:7" x14ac:dyDescent="0.25">
      <c r="B15" s="2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Zadania</vt:lpstr>
      <vt:lpstr>Arkusz2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2015-06-05T18:19:34Z</dcterms:created>
  <dcterms:modified xsi:type="dcterms:W3CDTF">2023-06-07T16:29:46Z</dcterms:modified>
</cp:coreProperties>
</file>