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\OneDrive - Mathematica\Desktop\COVID19_hackathon\covid_risk_score\doc\"/>
    </mc:Choice>
  </mc:AlternateContent>
  <xr:revisionPtr revIDLastSave="92" documentId="13_ncr:1_{68271938-1002-4BB3-A9EB-D8915036C1ED}" xr6:coauthVersionLast="44" xr6:coauthVersionMax="44" xr10:uidLastSave="{A91E069B-8D33-4C7F-9197-99BD38BA0F95}"/>
  <bookViews>
    <workbookView xWindow="60" yWindow="-24120" windowWidth="38640" windowHeight="23640" activeTab="4" xr2:uid="{F2E07857-7E52-41DE-9EE1-01627E19B126}"/>
  </bookViews>
  <sheets>
    <sheet name="Data and methodology" sheetId="3" r:id="rId1"/>
    <sheet name="Odds ratios for app" sheetId="1" r:id="rId2"/>
    <sheet name="Calc hospital ratios" sheetId="2" r:id="rId3"/>
    <sheet name="Calc ICU rates (obesity only)" sheetId="5" r:id="rId4"/>
    <sheet name="Calc Prob(ICU|hosp)" sheetId="6" r:id="rId5"/>
    <sheet name="Calc death ratios" sheetId="4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D15" i="6"/>
  <c r="D13" i="6"/>
  <c r="D12" i="6"/>
  <c r="D11" i="6"/>
  <c r="D10" i="6"/>
  <c r="D9" i="6"/>
  <c r="D8" i="6"/>
  <c r="D7" i="6"/>
  <c r="D6" i="6"/>
  <c r="D5" i="6"/>
  <c r="D4" i="6"/>
  <c r="D3" i="6"/>
  <c r="D5" i="5"/>
  <c r="D4" i="5"/>
  <c r="D3" i="5"/>
  <c r="C20" i="4"/>
  <c r="C14" i="4"/>
  <c r="C10" i="4"/>
  <c r="F2" i="4"/>
  <c r="E2" i="4"/>
  <c r="H2" i="4"/>
  <c r="G2" i="4"/>
  <c r="C7" i="2"/>
  <c r="D7" i="2"/>
  <c r="C11" i="2"/>
  <c r="D11" i="2"/>
  <c r="D2" i="2"/>
  <c r="C10" i="2"/>
  <c r="D10" i="2"/>
  <c r="C9" i="2"/>
  <c r="D9" i="2"/>
  <c r="C8" i="2"/>
  <c r="D8" i="2"/>
  <c r="C6" i="2"/>
  <c r="D6" i="2"/>
  <c r="C5" i="2"/>
  <c r="D5" i="2"/>
  <c r="C4" i="2"/>
  <c r="D4" i="2"/>
  <c r="F4" i="2"/>
  <c r="C3" i="2"/>
  <c r="D3" i="2"/>
  <c r="C2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tc={C38A0EDC-4FB0-4685-A489-4DB24ADD9BD0}</author>
    <author>tc={E419212A-5901-437F-ADCB-180CABA12709}</author>
  </authors>
  <commentList>
    <comment ref="I6" authorId="0" shapeId="0" xr:uid="{C38A0EDC-4FB0-4685-A489-4DB24ADD9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.95</t>
      </text>
    </comment>
    <comment ref="C9" authorId="1" shapeId="0" xr:uid="{E419212A-5901-437F-ADCB-180CABA12709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.7</t>
      </text>
    </comment>
  </commentList>
</comments>
</file>

<file path=xl/sharedStrings.xml><?xml version="1.0" encoding="utf-8"?>
<sst xmlns="http://schemas.openxmlformats.org/spreadsheetml/2006/main" count="198" uniqueCount="126">
  <si>
    <t>hospitalization</t>
  </si>
  <si>
    <t>ICU</t>
  </si>
  <si>
    <t>death</t>
  </si>
  <si>
    <t>https://www.cdc.gov/mmwr/volumes/69/wr/mm6925e1.htm?s_cid=mm6925e1_e&amp;deliveryName=USCDC_921-DM30747#F1_down</t>
  </si>
  <si>
    <t>Renal</t>
  </si>
  <si>
    <t>Diabetes</t>
  </si>
  <si>
    <t>Hypertension</t>
  </si>
  <si>
    <t>Smoker</t>
  </si>
  <si>
    <t>Respiratory</t>
  </si>
  <si>
    <t>Other</t>
  </si>
  <si>
    <t>Cardiovascular</t>
  </si>
  <si>
    <t>Immuno</t>
  </si>
  <si>
    <t>Line</t>
  </si>
  <si>
    <t>Line length</t>
  </si>
  <si>
    <t>Log odds</t>
  </si>
  <si>
    <t>odds</t>
  </si>
  <si>
    <t>check</t>
  </si>
  <si>
    <t>error</t>
  </si>
  <si>
    <t>Kidney disease</t>
  </si>
  <si>
    <t>Smoking</t>
  </si>
  <si>
    <t>Reference</t>
  </si>
  <si>
    <t>test point odds 1</t>
  </si>
  <si>
    <t>test point log odds 10</t>
  </si>
  <si>
    <t>test point log odds .1</t>
  </si>
  <si>
    <t>Hospitalization study notes:</t>
  </si>
  <si>
    <t>Source:</t>
  </si>
  <si>
    <t>CDC</t>
  </si>
  <si>
    <t>Link:</t>
  </si>
  <si>
    <t xml:space="preserve">Sample: </t>
  </si>
  <si>
    <t>Publication date:</t>
  </si>
  <si>
    <t>ICU study notes</t>
  </si>
  <si>
    <t>Other notes:</t>
  </si>
  <si>
    <t>Mutually adjusted:</t>
  </si>
  <si>
    <t>Yes</t>
  </si>
  <si>
    <t>Some points are esimated from plot (see ppt file)</t>
  </si>
  <si>
    <t>Death study notes</t>
  </si>
  <si>
    <t>OpenSAFELY</t>
  </si>
  <si>
    <t>https://www.medrxiv.org/content/10.1101/2020.05.06.20092999v1.full.pdf</t>
  </si>
  <si>
    <t xml:space="preserve">Population: </t>
  </si>
  <si>
    <t>Sample of 531 pateitns in Atlanta, COVID patients in hospital and not in hospital, April-March 2020</t>
  </si>
  <si>
    <t xml:space="preserve">Population of 17,425,445 people (both with and without COVID) from England's NHS HER, Feurary-April 2020 </t>
  </si>
  <si>
    <t>2020 June</t>
  </si>
  <si>
    <t>2020 May</t>
  </si>
  <si>
    <t>Target CFR</t>
  </si>
  <si>
    <t>N</t>
  </si>
  <si>
    <t>deaths</t>
  </si>
  <si>
    <t>Estimated COVID cases</t>
  </si>
  <si>
    <t>Estimated incidence rate</t>
  </si>
  <si>
    <t>Check CFR</t>
  </si>
  <si>
    <t>1) For estimating number of cases - assumes CFR is the same in NHS HER population as general population</t>
  </si>
  <si>
    <t>Condition</t>
  </si>
  <si>
    <t>Estimated healthy people</t>
  </si>
  <si>
    <t>aOR (fully adjusted)</t>
  </si>
  <si>
    <t>category</t>
  </si>
  <si>
    <t>controlled</t>
  </si>
  <si>
    <t>uncontrolled</t>
  </si>
  <si>
    <t>unknown (no recent measure)</t>
  </si>
  <si>
    <t>overall</t>
  </si>
  <si>
    <t>?</t>
  </si>
  <si>
    <t>total</t>
  </si>
  <si>
    <t>current</t>
  </si>
  <si>
    <t>ex</t>
  </si>
  <si>
    <t>March</t>
  </si>
  <si>
    <t>June</t>
  </si>
  <si>
    <r>
      <t xml:space="preserve">Outcome is risk of death in entire population, </t>
    </r>
    <r>
      <rPr>
        <b/>
        <sz val="11"/>
        <color theme="1"/>
        <rFont val="Calibri"/>
        <family val="2"/>
        <scheme val="minor"/>
      </rPr>
      <t>not conditioned on having COVID. This is applicable if we assume infection rates are constant</t>
    </r>
  </si>
  <si>
    <t>Obesity</t>
  </si>
  <si>
    <t>class 1</t>
  </si>
  <si>
    <t>class 2</t>
  </si>
  <si>
    <t>class 3</t>
  </si>
  <si>
    <t>NA</t>
  </si>
  <si>
    <t>https://onlinelibrary.wiley.com/doi/full/10.1002/oby.22831?af=R</t>
  </si>
  <si>
    <t>April 202</t>
  </si>
  <si>
    <t>Note very small sample size</t>
  </si>
  <si>
    <t>BMI range</t>
  </si>
  <si>
    <t>OR vs &lt;25</t>
  </si>
  <si>
    <t>n</t>
  </si>
  <si>
    <t>OR vs &lt;30 (obese vs. not obese)</t>
  </si>
  <si>
    <t>25-30</t>
  </si>
  <si>
    <t>30-35</t>
  </si>
  <si>
    <t>&gt;35</t>
  </si>
  <si>
    <t>Total</t>
  </si>
  <si>
    <t>Sep</t>
  </si>
  <si>
    <t>same</t>
  </si>
  <si>
    <t>Cases where OR is not mutually adjusted for other demographic characteristics are highlighted in green</t>
  </si>
  <si>
    <t>Cases where OR is not directly from literature are highlighted in yellow</t>
  </si>
  <si>
    <t>Comorbidity</t>
  </si>
  <si>
    <t>Hospitalized, non-ICU</t>
  </si>
  <si>
    <t>ICU admission</t>
  </si>
  <si>
    <t>P(ICU | hosp)</t>
  </si>
  <si>
    <t>Diabetes mellitus (784, 10.9%)</t>
  </si>
  <si>
    <t>251 (24)</t>
  </si>
  <si>
    <t>148 (32)</t>
  </si>
  <si>
    <t>Chronic lung disease* (656, 9.2%)</t>
  </si>
  <si>
    <t>152 (15)</t>
  </si>
  <si>
    <t>94 (21)</t>
  </si>
  <si>
    <t>Cardiovascular disease (647, 9.0%)</t>
  </si>
  <si>
    <t>242 (23)</t>
  </si>
  <si>
    <t>132 (29)</t>
  </si>
  <si>
    <t>Immunocompromised condition (264, 3.7%)</t>
  </si>
  <si>
    <t>63 (6)</t>
  </si>
  <si>
    <t>41 (9)</t>
  </si>
  <si>
    <t>Chronic renal disease (213, 3.0%)</t>
  </si>
  <si>
    <t>95 (9)</t>
  </si>
  <si>
    <t>56 (12)</t>
  </si>
  <si>
    <t>Pregnancy (143, 2.0%)</t>
  </si>
  <si>
    <t>31 (3)</t>
  </si>
  <si>
    <t>4 (1)</t>
  </si>
  <si>
    <r>
      <t>Neurologic disorder, neurodevelopmental, intellectual disability (52, 0.7%)</t>
    </r>
    <r>
      <rPr>
        <vertAlign val="superscript"/>
        <sz val="11"/>
        <color theme="1"/>
        <rFont val="Calibri"/>
        <family val="2"/>
        <scheme val="minor"/>
      </rPr>
      <t>†</t>
    </r>
  </si>
  <si>
    <t>25 (2)</t>
  </si>
  <si>
    <t>7 (2)</t>
  </si>
  <si>
    <t>Chronic liver disease (41, 0.6%)</t>
  </si>
  <si>
    <t>9 (1)</t>
  </si>
  <si>
    <r>
      <t>Other chronic disease (1,182, 16.5%)</t>
    </r>
    <r>
      <rPr>
        <vertAlign val="superscript"/>
        <sz val="11"/>
        <color theme="1"/>
        <rFont val="Calibri"/>
        <family val="2"/>
        <scheme val="minor"/>
      </rPr>
      <t>§</t>
    </r>
  </si>
  <si>
    <t>359 (35)</t>
  </si>
  <si>
    <t>170 (37)</t>
  </si>
  <si>
    <t>Former smoker (165, 2.3%)</t>
  </si>
  <si>
    <t>45 (4)</t>
  </si>
  <si>
    <t>33 (7)</t>
  </si>
  <si>
    <t>Current smoker (96, 1.3%)</t>
  </si>
  <si>
    <t>22 (2)</t>
  </si>
  <si>
    <t>5 (1)</t>
  </si>
  <si>
    <r>
      <t>None of the above conditions</t>
    </r>
    <r>
      <rPr>
        <vertAlign val="superscript"/>
        <sz val="11"/>
        <color theme="1"/>
        <rFont val="Calibri"/>
        <family val="2"/>
        <scheme val="minor"/>
      </rPr>
      <t>¶</t>
    </r>
    <r>
      <rPr>
        <sz val="11"/>
        <color theme="1"/>
        <rFont val="Calibri"/>
        <family val="2"/>
        <scheme val="minor"/>
      </rPr>
      <t> (4,470, 62.4%)</t>
    </r>
  </si>
  <si>
    <t>305 (29)</t>
  </si>
  <si>
    <t>99 (22)</t>
  </si>
  <si>
    <t>Table 1 in CDC MMWR 69(13) https://www.cdc.gov/mmwr/volumes/69/wr/mm6913e2.htm?s_cid=mm6913e2_w</t>
  </si>
  <si>
    <t>Ever smoker (165+96 = 261)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</si>
</sst>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17" fontId="0" fillId="0" borderId="0" xfId="0" applyNumberFormat="1" applyAlignment="1">
      <alignment horizontal="left" vertical="center" wrapText="1"/>
    </xf>
    <xf numFmtId="0" fontId="2" fillId="0" borderId="0" xfId="1" applyAlignment="1">
      <alignment wrapText="1"/>
    </xf>
    <xf numFmtId="1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7" fontId="0" fillId="0" borderId="0" xfId="0" applyNumberFormat="1"/>
    <xf numFmtId="0" fontId="1" fillId="2" borderId="0" xfId="0" applyFont="1" applyFill="1"/>
    <xf numFmtId="3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2" fontId="3" fillId="0" borderId="0" xfId="0" applyNumberFormat="1" applyFont="1" applyAlignment="1">
      <alignment horizontal="left"/>
    </xf>
    <xf numFmtId="0" fontId="2" fillId="0" borderId="0" xfId="1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1" fillId="3" borderId="0" xfId="0" applyFont="1" applyFill="1"/>
    <xf numFmtId="0" fontId="0" fillId="3" borderId="0" xfId="0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/>
    <xf numFmtId="9" fontId="0" fillId="0" borderId="0" xfId="2" applyFont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Lipman" id="{8D3E2C0F-4A3B-4698-B547-21D7821E0DE5}" userId="S::ELipman@mathematica-mpr.com::c709206b-1260-4a78-bf9b-8aa5a208ba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6" dT="2020-06-23T21:31:55.87" personId="{8D3E2C0F-4A3B-4698-B547-21D7821E0DE5}" id="{C38A0EDC-4FB0-4685-A489-4DB24ADD9BD0}">
    <text>Brought up to 1 from .95</text>
  </threadedComment>
  <threadedComment ref="C9" dT="2020-06-23T21:16:18.73" personId="{8D3E2C0F-4A3B-4698-B547-21D7821E0DE5}" id="{E419212A-5901-437F-ADCB-180CABA12709}">
    <text>Brought up to 1 from .7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.wiley.com/doi/full/10.1002/oby.22831?af=R" TargetMode="External"/><Relationship Id="rId2" Type="http://schemas.openxmlformats.org/officeDocument/2006/relationships/hyperlink" Target="https://www.medrxiv.org/content/10.1101/2020.05.06.20092999v1.full.pdf" TargetMode="External"/><Relationship Id="rId1" Type="http://schemas.openxmlformats.org/officeDocument/2006/relationships/hyperlink" Target="https://www.cdc.gov/mmwr/volumes/69/wr/mm6925e1.htm?s_cid=mm6925e1_e&amp;deliveryName=USCDC_921-DM3074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4AB8-B5B9-4996-8D6E-379FBB0299BF}">
  <dimension ref="A1:B23"/>
  <sheetViews>
    <sheetView workbookViewId="0">
      <selection activeCell="B31" sqref="B31"/>
    </sheetView>
  </sheetViews>
  <sheetFormatPr defaultRowHeight="14.5" x14ac:dyDescent="0.35"/>
  <cols>
    <col min="1" max="1" width="15.7265625" bestFit="1" customWidth="1"/>
    <col min="2" max="2" width="61" style="5" customWidth="1"/>
  </cols>
  <sheetData>
    <row r="1" spans="1:2" x14ac:dyDescent="0.35">
      <c r="A1" s="1" t="s">
        <v>24</v>
      </c>
    </row>
    <row r="2" spans="1:2" x14ac:dyDescent="0.35">
      <c r="A2" t="s">
        <v>25</v>
      </c>
      <c r="B2" s="5" t="s">
        <v>26</v>
      </c>
    </row>
    <row r="3" spans="1:2" ht="29" x14ac:dyDescent="0.35">
      <c r="A3" t="s">
        <v>27</v>
      </c>
      <c r="B3" s="6" t="s">
        <v>3</v>
      </c>
    </row>
    <row r="4" spans="1:2" x14ac:dyDescent="0.35">
      <c r="A4" t="s">
        <v>29</v>
      </c>
      <c r="B4" s="7" t="s">
        <v>41</v>
      </c>
    </row>
    <row r="5" spans="1:2" ht="29" x14ac:dyDescent="0.35">
      <c r="A5" t="s">
        <v>38</v>
      </c>
      <c r="B5" s="5" t="s">
        <v>39</v>
      </c>
    </row>
    <row r="6" spans="1:2" x14ac:dyDescent="0.35">
      <c r="A6" t="s">
        <v>32</v>
      </c>
      <c r="B6" s="5" t="s">
        <v>33</v>
      </c>
    </row>
    <row r="7" spans="1:2" x14ac:dyDescent="0.35">
      <c r="A7" t="s">
        <v>31</v>
      </c>
      <c r="B7" s="5" t="s">
        <v>34</v>
      </c>
    </row>
    <row r="9" spans="1:2" x14ac:dyDescent="0.35">
      <c r="A9" s="1" t="s">
        <v>30</v>
      </c>
    </row>
    <row r="10" spans="1:2" x14ac:dyDescent="0.35">
      <c r="A10" t="s">
        <v>25</v>
      </c>
    </row>
    <row r="11" spans="1:2" x14ac:dyDescent="0.35">
      <c r="A11" t="s">
        <v>27</v>
      </c>
      <c r="B11" s="24" t="s">
        <v>70</v>
      </c>
    </row>
    <row r="12" spans="1:2" x14ac:dyDescent="0.35">
      <c r="A12" t="s">
        <v>29</v>
      </c>
      <c r="B12" s="5" t="s">
        <v>71</v>
      </c>
    </row>
    <row r="13" spans="1:2" x14ac:dyDescent="0.35">
      <c r="A13" t="s">
        <v>28</v>
      </c>
      <c r="B13" s="5">
        <v>124</v>
      </c>
    </row>
    <row r="14" spans="1:2" x14ac:dyDescent="0.35">
      <c r="A14" t="s">
        <v>32</v>
      </c>
      <c r="B14" s="5" t="s">
        <v>33</v>
      </c>
    </row>
    <row r="15" spans="1:2" x14ac:dyDescent="0.35">
      <c r="A15" t="s">
        <v>31</v>
      </c>
      <c r="B15" s="5" t="s">
        <v>72</v>
      </c>
    </row>
    <row r="17" spans="1:2" x14ac:dyDescent="0.35">
      <c r="A17" s="1" t="s">
        <v>35</v>
      </c>
    </row>
    <row r="18" spans="1:2" x14ac:dyDescent="0.35">
      <c r="A18" t="s">
        <v>25</v>
      </c>
      <c r="B18" s="5" t="s">
        <v>36</v>
      </c>
    </row>
    <row r="19" spans="1:2" ht="29" x14ac:dyDescent="0.35">
      <c r="A19" t="s">
        <v>27</v>
      </c>
      <c r="B19" s="8" t="s">
        <v>37</v>
      </c>
    </row>
    <row r="20" spans="1:2" x14ac:dyDescent="0.35">
      <c r="A20" t="s">
        <v>29</v>
      </c>
      <c r="B20" s="9" t="s">
        <v>42</v>
      </c>
    </row>
    <row r="21" spans="1:2" ht="29" x14ac:dyDescent="0.35">
      <c r="A21" t="s">
        <v>28</v>
      </c>
      <c r="B21" s="10" t="s">
        <v>40</v>
      </c>
    </row>
    <row r="22" spans="1:2" x14ac:dyDescent="0.35">
      <c r="A22" t="s">
        <v>32</v>
      </c>
      <c r="B22" s="5" t="s">
        <v>33</v>
      </c>
    </row>
    <row r="23" spans="1:2" ht="44.25" customHeight="1" x14ac:dyDescent="0.35">
      <c r="A23" s="3" t="s">
        <v>31</v>
      </c>
      <c r="B23" s="4" t="s">
        <v>64</v>
      </c>
    </row>
  </sheetData>
  <hyperlinks>
    <hyperlink ref="B3" r:id="rId1" location="F1_down" display="https://www.cdc.gov/mmwr/volumes/69/wr/mm6925e1.htm?s_cid=mm6925e1_e&amp;deliveryName=USCDC_921-DM30747 - F1_down" xr:uid="{C4128523-1D22-4506-B540-6305E3743FC6}"/>
    <hyperlink ref="B19" r:id="rId2" xr:uid="{0A8EE84C-479D-4B3C-A99E-BD5E48C5E7E6}"/>
    <hyperlink ref="B11" r:id="rId3" xr:uid="{646A037C-CECB-45F6-9C6E-FD5168AD41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4789-FE1E-4700-85D9-429D138DADB9}">
  <dimension ref="A1:XFD36"/>
  <sheetViews>
    <sheetView workbookViewId="0">
      <selection activeCell="I53" sqref="I53"/>
    </sheetView>
  </sheetViews>
  <sheetFormatPr defaultRowHeight="14.5" x14ac:dyDescent="0.35"/>
  <cols>
    <col min="1" max="1" width="18.81640625" customWidth="1"/>
    <col min="2" max="2" width="7.1796875" bestFit="1" customWidth="1"/>
  </cols>
  <sheetData>
    <row r="1" spans="1:16384" x14ac:dyDescent="0.35">
      <c r="B1" s="27" t="s">
        <v>0</v>
      </c>
      <c r="C1" s="27"/>
      <c r="D1" s="27"/>
      <c r="E1" s="27" t="s">
        <v>1</v>
      </c>
      <c r="F1" s="27"/>
      <c r="G1" s="27"/>
      <c r="H1" s="27" t="s">
        <v>2</v>
      </c>
      <c r="I1" s="27"/>
      <c r="J1" s="27"/>
    </row>
    <row r="2" spans="1:16384" x14ac:dyDescent="0.35">
      <c r="B2" s="15" t="s">
        <v>62</v>
      </c>
      <c r="C2" t="s">
        <v>63</v>
      </c>
      <c r="D2" t="s">
        <v>81</v>
      </c>
      <c r="E2" s="15" t="s">
        <v>62</v>
      </c>
      <c r="F2" t="s">
        <v>63</v>
      </c>
      <c r="G2" t="s">
        <v>81</v>
      </c>
      <c r="H2" s="15" t="s">
        <v>62</v>
      </c>
      <c r="I2" t="s">
        <v>63</v>
      </c>
      <c r="J2" t="s">
        <v>81</v>
      </c>
    </row>
    <row r="3" spans="1:16384" x14ac:dyDescent="0.35">
      <c r="A3" t="s">
        <v>4</v>
      </c>
      <c r="B3" s="13">
        <v>10.17</v>
      </c>
      <c r="C3" s="13">
        <v>2.6</v>
      </c>
      <c r="D3" s="28" t="s">
        <v>82</v>
      </c>
      <c r="E3" s="31">
        <v>5.82</v>
      </c>
      <c r="F3" s="13" t="s">
        <v>82</v>
      </c>
      <c r="G3" s="13" t="s">
        <v>82</v>
      </c>
      <c r="H3" s="13">
        <v>6.11</v>
      </c>
      <c r="I3" s="19">
        <v>1.72</v>
      </c>
      <c r="J3" t="s">
        <v>82</v>
      </c>
    </row>
    <row r="4" spans="1:16384" x14ac:dyDescent="0.35">
      <c r="A4" t="s">
        <v>10</v>
      </c>
      <c r="B4" s="13">
        <v>6.6</v>
      </c>
      <c r="C4" s="13">
        <v>1.4</v>
      </c>
      <c r="D4" s="28" t="s">
        <v>82</v>
      </c>
      <c r="E4" s="31">
        <v>4.88</v>
      </c>
      <c r="F4" s="13" t="s">
        <v>82</v>
      </c>
      <c r="G4" s="13" t="s">
        <v>82</v>
      </c>
      <c r="H4" s="13">
        <v>7.43</v>
      </c>
      <c r="I4" s="19">
        <v>1.27</v>
      </c>
      <c r="J4" t="s">
        <v>82</v>
      </c>
    </row>
    <row r="5" spans="1:16384" x14ac:dyDescent="0.35">
      <c r="A5" t="s">
        <v>5</v>
      </c>
      <c r="B5" s="13">
        <v>5</v>
      </c>
      <c r="C5" s="13">
        <v>3.1</v>
      </c>
      <c r="D5" s="28" t="s">
        <v>82</v>
      </c>
      <c r="E5" s="13">
        <v>4.57</v>
      </c>
      <c r="F5" s="13" t="s">
        <v>82</v>
      </c>
      <c r="G5" s="13">
        <v>1.6</v>
      </c>
      <c r="H5" s="13">
        <v>4.7</v>
      </c>
      <c r="I5" s="19">
        <v>1.79</v>
      </c>
      <c r="J5" t="s">
        <v>82</v>
      </c>
    </row>
    <row r="6" spans="1:16384" x14ac:dyDescent="0.35">
      <c r="A6" t="s">
        <v>6</v>
      </c>
      <c r="B6" s="13">
        <v>5</v>
      </c>
      <c r="C6" s="13">
        <v>1.1000000000000001</v>
      </c>
      <c r="D6" s="28" t="s">
        <v>82</v>
      </c>
      <c r="E6" s="13">
        <v>4.57</v>
      </c>
      <c r="F6" s="13" t="s">
        <v>82</v>
      </c>
      <c r="G6" s="13">
        <v>2.29</v>
      </c>
      <c r="H6" s="13">
        <v>4.7</v>
      </c>
      <c r="I6" s="21">
        <v>1</v>
      </c>
      <c r="J6" t="s">
        <v>82</v>
      </c>
    </row>
    <row r="7" spans="1:16384" x14ac:dyDescent="0.35">
      <c r="A7" t="s">
        <v>7</v>
      </c>
      <c r="B7" s="13">
        <v>2.67</v>
      </c>
      <c r="C7" s="13">
        <v>2.2999999999999998</v>
      </c>
      <c r="D7" s="28" t="s">
        <v>82</v>
      </c>
      <c r="E7" s="31">
        <v>2.64</v>
      </c>
      <c r="F7" s="13" t="s">
        <v>82</v>
      </c>
      <c r="G7" s="13" t="s">
        <v>82</v>
      </c>
      <c r="H7" s="13">
        <v>6.11</v>
      </c>
      <c r="I7" s="19">
        <v>1.1200000000000001</v>
      </c>
      <c r="J7" t="s">
        <v>82</v>
      </c>
    </row>
    <row r="8" spans="1:16384" x14ac:dyDescent="0.35">
      <c r="A8" t="s">
        <v>11</v>
      </c>
      <c r="B8" s="13">
        <v>2.58</v>
      </c>
      <c r="C8" s="28" t="s">
        <v>82</v>
      </c>
      <c r="D8" s="28" t="s">
        <v>82</v>
      </c>
      <c r="E8" s="31">
        <v>2.86</v>
      </c>
      <c r="F8" s="13" t="s">
        <v>82</v>
      </c>
      <c r="G8" s="13" t="s">
        <v>82</v>
      </c>
      <c r="H8" s="13">
        <v>6.11</v>
      </c>
      <c r="I8" s="19">
        <v>1.69</v>
      </c>
      <c r="J8" t="s">
        <v>82</v>
      </c>
    </row>
    <row r="9" spans="1:16384" x14ac:dyDescent="0.35">
      <c r="A9" t="s">
        <v>8</v>
      </c>
      <c r="B9" s="13">
        <v>2.5299999999999998</v>
      </c>
      <c r="C9" s="22">
        <v>1</v>
      </c>
      <c r="D9" s="28" t="s">
        <v>82</v>
      </c>
      <c r="E9" s="31">
        <v>2.83</v>
      </c>
      <c r="F9" s="13" t="s">
        <v>82</v>
      </c>
      <c r="G9" s="13" t="s">
        <v>82</v>
      </c>
      <c r="H9" s="13">
        <v>3.59</v>
      </c>
      <c r="I9" s="19">
        <v>1.78</v>
      </c>
      <c r="J9" t="s">
        <v>82</v>
      </c>
    </row>
    <row r="10" spans="1:16384" x14ac:dyDescent="0.35">
      <c r="A10" s="19" t="s">
        <v>65</v>
      </c>
      <c r="B10" s="19" t="s">
        <v>69</v>
      </c>
      <c r="C10" s="19">
        <v>1.9</v>
      </c>
      <c r="D10" s="29" t="s">
        <v>82</v>
      </c>
      <c r="E10" s="19">
        <v>3.41</v>
      </c>
      <c r="F10" s="13" t="s">
        <v>82</v>
      </c>
      <c r="G10" s="20" t="s">
        <v>82</v>
      </c>
      <c r="H10" s="19" t="s">
        <v>69</v>
      </c>
      <c r="I10" s="19">
        <v>1.46</v>
      </c>
      <c r="J10" s="19" t="s">
        <v>82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  <c r="WXJ10" s="18"/>
      <c r="WXK10" s="18"/>
      <c r="WXL10" s="18"/>
      <c r="WXM10" s="18"/>
      <c r="WXN10" s="18"/>
      <c r="WXO10" s="18"/>
      <c r="WXP10" s="18"/>
      <c r="WXQ10" s="18"/>
      <c r="WXR10" s="18"/>
      <c r="WXS10" s="18"/>
      <c r="WXT10" s="18"/>
      <c r="WXU10" s="18"/>
      <c r="WXV10" s="18"/>
      <c r="WXW10" s="18"/>
      <c r="WXX10" s="18"/>
      <c r="WXY10" s="18"/>
      <c r="WXZ10" s="18"/>
      <c r="WYA10" s="18"/>
      <c r="WYB10" s="18"/>
      <c r="WYC10" s="18"/>
      <c r="WYD10" s="18"/>
      <c r="WYE10" s="18"/>
      <c r="WYF10" s="18"/>
      <c r="WYG10" s="18"/>
      <c r="WYH10" s="18"/>
      <c r="WYI10" s="18"/>
      <c r="WYJ10" s="18"/>
      <c r="WYK10" s="18"/>
      <c r="WYL10" s="18"/>
      <c r="WYM10" s="18"/>
      <c r="WYN10" s="18"/>
      <c r="WYO10" s="18"/>
      <c r="WYP10" s="18"/>
      <c r="WYQ10" s="18"/>
      <c r="WYR10" s="18"/>
      <c r="WYS10" s="18"/>
      <c r="WYT10" s="18"/>
      <c r="WYU10" s="18"/>
      <c r="WYV10" s="18"/>
      <c r="WYW10" s="18"/>
      <c r="WYX10" s="18"/>
      <c r="WYY10" s="18"/>
      <c r="WYZ10" s="18"/>
      <c r="WZA10" s="18"/>
      <c r="WZB10" s="18"/>
      <c r="WZC10" s="18"/>
      <c r="WZD10" s="18"/>
      <c r="WZE10" s="18"/>
      <c r="WZF10" s="18"/>
      <c r="WZG10" s="18"/>
      <c r="WZH10" s="18"/>
      <c r="WZI10" s="18"/>
      <c r="WZJ10" s="18"/>
      <c r="WZK10" s="18"/>
      <c r="WZL10" s="18"/>
      <c r="WZM10" s="18"/>
      <c r="WZN10" s="18"/>
      <c r="WZO10" s="18"/>
      <c r="WZP10" s="18"/>
      <c r="WZQ10" s="18"/>
      <c r="WZR10" s="18"/>
      <c r="WZS10" s="18"/>
      <c r="WZT10" s="18"/>
      <c r="WZU10" s="18"/>
      <c r="WZV10" s="18"/>
      <c r="WZW10" s="18"/>
      <c r="WZX10" s="18"/>
      <c r="WZY10" s="18"/>
      <c r="WZZ10" s="18"/>
      <c r="XAA10" s="18"/>
      <c r="XAB10" s="18"/>
      <c r="XAC10" s="18"/>
      <c r="XAD10" s="18"/>
      <c r="XAE10" s="18"/>
      <c r="XAF10" s="18"/>
      <c r="XAG10" s="18"/>
      <c r="XAH10" s="18"/>
      <c r="XAI10" s="18"/>
      <c r="XAJ10" s="18"/>
      <c r="XAK10" s="18"/>
      <c r="XAL10" s="18"/>
      <c r="XAM10" s="18"/>
      <c r="XAN10" s="18"/>
      <c r="XAO10" s="18"/>
      <c r="XAP10" s="18"/>
      <c r="XAQ10" s="18"/>
      <c r="XAR10" s="18"/>
      <c r="XAS10" s="18"/>
      <c r="XAT10" s="18"/>
      <c r="XAU10" s="18"/>
      <c r="XAV10" s="18"/>
      <c r="XAW10" s="18"/>
      <c r="XAX10" s="18"/>
      <c r="XAY10" s="18"/>
      <c r="XAZ10" s="18"/>
      <c r="XBA10" s="18"/>
      <c r="XBB10" s="18"/>
      <c r="XBC10" s="18"/>
      <c r="XBD10" s="18"/>
      <c r="XBE10" s="18"/>
      <c r="XBF10" s="18"/>
      <c r="XBG10" s="18"/>
      <c r="XBH10" s="18"/>
      <c r="XBI10" s="18"/>
      <c r="XBJ10" s="18"/>
      <c r="XBK10" s="18"/>
      <c r="XBL10" s="18"/>
      <c r="XBM10" s="18"/>
      <c r="XBN10" s="18"/>
      <c r="XBO10" s="18"/>
      <c r="XBP10" s="18"/>
      <c r="XBQ10" s="18"/>
      <c r="XBR10" s="18"/>
      <c r="XBS10" s="18"/>
      <c r="XBT10" s="18"/>
      <c r="XBU10" s="18"/>
      <c r="XBV10" s="18"/>
      <c r="XBW10" s="18"/>
      <c r="XBX10" s="18"/>
      <c r="XBY10" s="18"/>
      <c r="XBZ10" s="18"/>
      <c r="XCA10" s="18"/>
      <c r="XCB10" s="18"/>
      <c r="XCC10" s="18"/>
      <c r="XCD10" s="18"/>
      <c r="XCE10" s="18"/>
      <c r="XCF10" s="18"/>
      <c r="XCG10" s="18"/>
      <c r="XCH10" s="18"/>
      <c r="XCI10" s="18"/>
      <c r="XCJ10" s="18"/>
      <c r="XCK10" s="18"/>
      <c r="XCL10" s="18"/>
      <c r="XCM10" s="18"/>
      <c r="XCN10" s="18"/>
      <c r="XCO10" s="18"/>
      <c r="XCP10" s="18"/>
      <c r="XCQ10" s="18"/>
      <c r="XCR10" s="18"/>
      <c r="XCS10" s="18"/>
      <c r="XCT10" s="18"/>
      <c r="XCU10" s="18"/>
      <c r="XCV10" s="18"/>
      <c r="XCW10" s="18"/>
      <c r="XCX10" s="18"/>
      <c r="XCY10" s="18"/>
      <c r="XCZ10" s="18"/>
      <c r="XDA10" s="18"/>
      <c r="XDB10" s="18"/>
      <c r="XDC10" s="18"/>
      <c r="XDD10" s="18"/>
      <c r="XDE10" s="18"/>
      <c r="XDF10" s="18"/>
      <c r="XDG10" s="18"/>
      <c r="XDH10" s="18"/>
      <c r="XDI10" s="18"/>
      <c r="XDJ10" s="18"/>
      <c r="XDK10" s="18"/>
      <c r="XDL10" s="18"/>
      <c r="XDM10" s="18"/>
      <c r="XDN10" s="18"/>
      <c r="XDO10" s="18"/>
      <c r="XDP10" s="18"/>
      <c r="XDQ10" s="18"/>
      <c r="XDR10" s="18"/>
      <c r="XDS10" s="18"/>
      <c r="XDT10" s="18"/>
      <c r="XDU10" s="18"/>
      <c r="XDV10" s="18"/>
      <c r="XDW10" s="18"/>
      <c r="XDX10" s="18"/>
      <c r="XDY10" s="18"/>
      <c r="XDZ10" s="18"/>
      <c r="XEA10" s="18"/>
      <c r="XEB10" s="18"/>
      <c r="XEC10" s="18"/>
      <c r="XED10" s="18"/>
      <c r="XEE10" s="18"/>
      <c r="XEF10" s="18"/>
      <c r="XEG10" s="18"/>
      <c r="XEH10" s="18"/>
      <c r="XEI10" s="18"/>
      <c r="XEJ10" s="18"/>
      <c r="XEK10" s="18"/>
      <c r="XEL10" s="18"/>
      <c r="XEM10" s="18"/>
      <c r="XEN10" s="18"/>
      <c r="XEO10" s="18"/>
      <c r="XEP10" s="18"/>
      <c r="XEQ10" s="18"/>
      <c r="XER10" s="18"/>
      <c r="XES10" s="18"/>
      <c r="XET10" s="18"/>
      <c r="XEU10" s="18"/>
      <c r="XEV10" s="18"/>
      <c r="XEW10" s="18"/>
      <c r="XEX10" s="18"/>
      <c r="XEY10" s="18"/>
      <c r="XEZ10" s="18"/>
      <c r="XFA10" s="18"/>
      <c r="XFB10" s="18"/>
      <c r="XFC10" s="18"/>
      <c r="XFD10" s="18"/>
    </row>
    <row r="11" spans="1:16384" x14ac:dyDescent="0.35">
      <c r="A11" t="s">
        <v>9</v>
      </c>
      <c r="B11" s="22">
        <v>4.21</v>
      </c>
      <c r="C11" s="29" t="s">
        <v>82</v>
      </c>
      <c r="D11" s="28" t="s">
        <v>82</v>
      </c>
      <c r="E11" s="22">
        <v>3.33</v>
      </c>
      <c r="F11" s="13" t="s">
        <v>82</v>
      </c>
      <c r="G11" s="13" t="s">
        <v>82</v>
      </c>
      <c r="H11" s="22">
        <v>6.11</v>
      </c>
      <c r="I11" s="29" t="s">
        <v>82</v>
      </c>
      <c r="J11" s="19" t="s">
        <v>82</v>
      </c>
    </row>
    <row r="13" spans="1:16384" x14ac:dyDescent="0.35">
      <c r="A13" s="16" t="s">
        <v>84</v>
      </c>
    </row>
    <row r="14" spans="1:16384" x14ac:dyDescent="0.35">
      <c r="A14" s="30" t="s">
        <v>83</v>
      </c>
    </row>
    <row r="36" ht="42" customHeight="1" x14ac:dyDescent="0.35"/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2EF7-39B6-418D-96D3-2336859E22BB}">
  <dimension ref="A1:F11"/>
  <sheetViews>
    <sheetView workbookViewId="0">
      <selection activeCell="D5" sqref="D5"/>
    </sheetView>
  </sheetViews>
  <sheetFormatPr defaultRowHeight="14.5" x14ac:dyDescent="0.35"/>
  <cols>
    <col min="1" max="1" width="20.1796875" bestFit="1" customWidth="1"/>
    <col min="4" max="4" width="9.1796875" style="2"/>
  </cols>
  <sheetData>
    <row r="1" spans="1:6" x14ac:dyDescent="0.35">
      <c r="A1" t="s">
        <v>12</v>
      </c>
      <c r="B1" t="s">
        <v>13</v>
      </c>
      <c r="C1" t="s">
        <v>14</v>
      </c>
      <c r="D1" s="2" t="s">
        <v>15</v>
      </c>
      <c r="E1" s="1" t="s">
        <v>16</v>
      </c>
      <c r="F1" t="s">
        <v>17</v>
      </c>
    </row>
    <row r="2" spans="1:6" x14ac:dyDescent="0.35">
      <c r="A2" t="s">
        <v>5</v>
      </c>
      <c r="B2">
        <v>1.24</v>
      </c>
      <c r="C2">
        <f>B2/$B$8</f>
        <v>0.51028806584362141</v>
      </c>
      <c r="D2" s="2">
        <f>10^C2</f>
        <v>3.2380836654601564</v>
      </c>
      <c r="E2" s="1">
        <v>3.1</v>
      </c>
      <c r="F2">
        <f>(D2-E2)/E2</f>
        <v>4.4543117890372991E-2</v>
      </c>
    </row>
    <row r="3" spans="1:6" x14ac:dyDescent="0.35">
      <c r="A3" t="s">
        <v>18</v>
      </c>
      <c r="B3">
        <v>1</v>
      </c>
      <c r="C3">
        <f t="shared" ref="C3:C11" si="0">B3/$B$8</f>
        <v>0.41152263374485593</v>
      </c>
      <c r="D3" s="2">
        <f t="shared" ref="D3:D11" si="1">10^C3</f>
        <v>2.5794233904725603</v>
      </c>
      <c r="E3" s="1"/>
    </row>
    <row r="4" spans="1:6" x14ac:dyDescent="0.35">
      <c r="A4" t="s">
        <v>19</v>
      </c>
      <c r="B4">
        <v>0.92</v>
      </c>
      <c r="C4">
        <f t="shared" si="0"/>
        <v>0.37860082304526749</v>
      </c>
      <c r="D4" s="2">
        <f t="shared" si="1"/>
        <v>2.3911169774271364</v>
      </c>
      <c r="E4" s="1">
        <v>2.2999999999999998</v>
      </c>
      <c r="F4">
        <f>(D4-E4)/E4</f>
        <v>3.961607714223328E-2</v>
      </c>
    </row>
    <row r="5" spans="1:6" x14ac:dyDescent="0.35">
      <c r="A5" t="s">
        <v>10</v>
      </c>
      <c r="B5">
        <v>0.36</v>
      </c>
      <c r="C5">
        <f t="shared" si="0"/>
        <v>0.14814814814814814</v>
      </c>
      <c r="D5" s="2">
        <f t="shared" si="1"/>
        <v>1.4065272421052373</v>
      </c>
      <c r="E5" s="1"/>
    </row>
    <row r="6" spans="1:6" x14ac:dyDescent="0.35">
      <c r="A6" t="s">
        <v>6</v>
      </c>
      <c r="B6">
        <v>0.13</v>
      </c>
      <c r="C6">
        <f t="shared" si="0"/>
        <v>5.3497942386831275E-2</v>
      </c>
      <c r="D6" s="2">
        <f t="shared" si="1"/>
        <v>1.1310920303999246</v>
      </c>
      <c r="E6" s="1"/>
    </row>
    <row r="7" spans="1:6" x14ac:dyDescent="0.35">
      <c r="A7" t="s">
        <v>8</v>
      </c>
      <c r="B7">
        <v>-0.38</v>
      </c>
      <c r="C7">
        <f t="shared" ref="C7" si="2">B7/$B$8</f>
        <v>-0.15637860082304525</v>
      </c>
      <c r="D7" s="2">
        <f t="shared" ref="D7" si="3">10^C7</f>
        <v>0.69762397780929575</v>
      </c>
      <c r="E7" s="1"/>
    </row>
    <row r="8" spans="1:6" x14ac:dyDescent="0.35">
      <c r="A8" t="s">
        <v>20</v>
      </c>
      <c r="B8" s="1">
        <v>2.4300000000000002</v>
      </c>
      <c r="C8">
        <f t="shared" si="0"/>
        <v>1</v>
      </c>
      <c r="D8" s="2">
        <f t="shared" si="1"/>
        <v>10</v>
      </c>
      <c r="E8" s="1"/>
    </row>
    <row r="9" spans="1:6" x14ac:dyDescent="0.35">
      <c r="A9" t="s">
        <v>21</v>
      </c>
      <c r="B9">
        <v>0</v>
      </c>
      <c r="C9">
        <f t="shared" si="0"/>
        <v>0</v>
      </c>
      <c r="D9" s="2">
        <f t="shared" si="1"/>
        <v>1</v>
      </c>
      <c r="E9" s="1"/>
    </row>
    <row r="10" spans="1:6" x14ac:dyDescent="0.35">
      <c r="A10" t="s">
        <v>22</v>
      </c>
      <c r="B10">
        <v>2.4300000000000002</v>
      </c>
      <c r="C10">
        <f t="shared" si="0"/>
        <v>1</v>
      </c>
      <c r="D10" s="2">
        <f t="shared" si="1"/>
        <v>10</v>
      </c>
      <c r="E10" s="1"/>
    </row>
    <row r="11" spans="1:6" x14ac:dyDescent="0.35">
      <c r="A11" t="s">
        <v>23</v>
      </c>
      <c r="B11">
        <v>-2.4300000000000002</v>
      </c>
      <c r="C11">
        <f t="shared" si="0"/>
        <v>-1</v>
      </c>
      <c r="D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BEA5-6FF4-4288-BCC9-5F2A2834F6D4}">
  <dimension ref="A1:D5"/>
  <sheetViews>
    <sheetView workbookViewId="0">
      <selection activeCell="D5" sqref="D5"/>
    </sheetView>
  </sheetViews>
  <sheetFormatPr defaultRowHeight="14.5" x14ac:dyDescent="0.35"/>
  <cols>
    <col min="4" max="4" width="29.26953125" bestFit="1" customWidth="1"/>
  </cols>
  <sheetData>
    <row r="1" spans="1:4" x14ac:dyDescent="0.35">
      <c r="A1" t="s">
        <v>73</v>
      </c>
      <c r="B1" t="s">
        <v>75</v>
      </c>
      <c r="C1" t="s">
        <v>74</v>
      </c>
      <c r="D1" s="26" t="s">
        <v>76</v>
      </c>
    </row>
    <row r="2" spans="1:4" x14ac:dyDescent="0.35">
      <c r="A2" t="s">
        <v>77</v>
      </c>
      <c r="C2" s="25">
        <v>1.69</v>
      </c>
      <c r="D2" s="26"/>
    </row>
    <row r="3" spans="1:4" x14ac:dyDescent="0.35">
      <c r="A3" t="s">
        <v>78</v>
      </c>
      <c r="B3">
        <v>24</v>
      </c>
      <c r="C3" s="25">
        <v>3.45</v>
      </c>
      <c r="D3" s="26">
        <f>C3/$C$2</f>
        <v>2.0414201183431953</v>
      </c>
    </row>
    <row r="4" spans="1:4" x14ac:dyDescent="0.35">
      <c r="A4" t="s">
        <v>79</v>
      </c>
      <c r="B4">
        <v>35</v>
      </c>
      <c r="C4" s="25">
        <v>7.36</v>
      </c>
      <c r="D4" s="26">
        <f>C4/$C$2</f>
        <v>4.3550295857988166</v>
      </c>
    </row>
    <row r="5" spans="1:4" x14ac:dyDescent="0.35">
      <c r="A5" s="1" t="s">
        <v>80</v>
      </c>
      <c r="D5" s="26">
        <f>SUMPRODUCT(B3:B4,D3:D4)/SUM(B3:B4)</f>
        <v>3.4139003109016146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60E6-39C8-4521-8F2D-426955DC2738}">
  <dimension ref="A1:D15"/>
  <sheetViews>
    <sheetView tabSelected="1" workbookViewId="0">
      <selection activeCell="B15" sqref="B15"/>
    </sheetView>
  </sheetViews>
  <sheetFormatPr defaultColWidth="22.08984375" defaultRowHeight="14.5" x14ac:dyDescent="0.35"/>
  <sheetData>
    <row r="1" spans="1:4" x14ac:dyDescent="0.35">
      <c r="A1" s="34" t="s">
        <v>124</v>
      </c>
    </row>
    <row r="2" spans="1:4" x14ac:dyDescent="0.35">
      <c r="A2" s="32" t="s">
        <v>85</v>
      </c>
      <c r="B2" s="32" t="s">
        <v>86</v>
      </c>
      <c r="C2" s="32" t="s">
        <v>87</v>
      </c>
      <c r="D2" s="32" t="s">
        <v>88</v>
      </c>
    </row>
    <row r="3" spans="1:4" ht="29" x14ac:dyDescent="0.35">
      <c r="A3" s="33" t="s">
        <v>89</v>
      </c>
      <c r="B3" s="33" t="s">
        <v>90</v>
      </c>
      <c r="C3" s="33" t="s">
        <v>91</v>
      </c>
      <c r="D3" s="35">
        <f>148/(148+251)</f>
        <v>0.37092731829573933</v>
      </c>
    </row>
    <row r="4" spans="1:4" ht="29" x14ac:dyDescent="0.35">
      <c r="A4" s="33" t="s">
        <v>92</v>
      </c>
      <c r="B4" s="33" t="s">
        <v>93</v>
      </c>
      <c r="C4" s="33" t="s">
        <v>94</v>
      </c>
      <c r="D4" s="35">
        <f>94/(94+152)</f>
        <v>0.38211382113821141</v>
      </c>
    </row>
    <row r="5" spans="1:4" ht="29" x14ac:dyDescent="0.35">
      <c r="A5" s="33" t="s">
        <v>95</v>
      </c>
      <c r="B5" s="33" t="s">
        <v>96</v>
      </c>
      <c r="C5" s="33" t="s">
        <v>97</v>
      </c>
      <c r="D5" s="35">
        <f>132/(132+242)</f>
        <v>0.35294117647058826</v>
      </c>
    </row>
    <row r="6" spans="1:4" ht="29" x14ac:dyDescent="0.35">
      <c r="A6" s="33" t="s">
        <v>98</v>
      </c>
      <c r="B6" s="33" t="s">
        <v>99</v>
      </c>
      <c r="C6" s="33" t="s">
        <v>100</v>
      </c>
      <c r="D6" s="35">
        <f>41/(41+63)</f>
        <v>0.39423076923076922</v>
      </c>
    </row>
    <row r="7" spans="1:4" ht="29" x14ac:dyDescent="0.35">
      <c r="A7" s="33" t="s">
        <v>101</v>
      </c>
      <c r="B7" s="33" t="s">
        <v>102</v>
      </c>
      <c r="C7" s="33" t="s">
        <v>103</v>
      </c>
      <c r="D7" s="35">
        <f>56/(56+95)</f>
        <v>0.37086092715231789</v>
      </c>
    </row>
    <row r="8" spans="1:4" x14ac:dyDescent="0.35">
      <c r="A8" s="33" t="s">
        <v>104</v>
      </c>
      <c r="B8" s="33" t="s">
        <v>105</v>
      </c>
      <c r="C8" s="33" t="s">
        <v>106</v>
      </c>
      <c r="D8" s="35">
        <f>4/(4+31)</f>
        <v>0.11428571428571428</v>
      </c>
    </row>
    <row r="9" spans="1:4" ht="60" x14ac:dyDescent="0.35">
      <c r="A9" s="33" t="s">
        <v>107</v>
      </c>
      <c r="B9" s="33" t="s">
        <v>108</v>
      </c>
      <c r="C9" s="33" t="s">
        <v>109</v>
      </c>
      <c r="D9" s="35">
        <f>7/(7+25)</f>
        <v>0.21875</v>
      </c>
    </row>
    <row r="10" spans="1:4" ht="29" x14ac:dyDescent="0.35">
      <c r="A10" s="33" t="s">
        <v>110</v>
      </c>
      <c r="B10" s="33" t="s">
        <v>111</v>
      </c>
      <c r="C10" s="33" t="s">
        <v>109</v>
      </c>
      <c r="D10" s="35">
        <f>7/(7+9)</f>
        <v>0.4375</v>
      </c>
    </row>
    <row r="11" spans="1:4" ht="31" x14ac:dyDescent="0.35">
      <c r="A11" s="33" t="s">
        <v>112</v>
      </c>
      <c r="B11" s="33" t="s">
        <v>113</v>
      </c>
      <c r="C11" s="33" t="s">
        <v>114</v>
      </c>
      <c r="D11" s="35">
        <f>170/(170+359)</f>
        <v>0.32136105860113423</v>
      </c>
    </row>
    <row r="12" spans="1:4" ht="29" x14ac:dyDescent="0.35">
      <c r="A12" s="33" t="s">
        <v>115</v>
      </c>
      <c r="B12" s="33" t="s">
        <v>116</v>
      </c>
      <c r="C12" s="33" t="s">
        <v>117</v>
      </c>
      <c r="D12" s="35">
        <f>33/(33+45)</f>
        <v>0.42307692307692307</v>
      </c>
    </row>
    <row r="13" spans="1:4" ht="29" x14ac:dyDescent="0.35">
      <c r="A13" s="33" t="s">
        <v>118</v>
      </c>
      <c r="B13" s="33" t="s">
        <v>119</v>
      </c>
      <c r="C13" s="33" t="s">
        <v>120</v>
      </c>
      <c r="D13" s="35">
        <f>5/(5+22)</f>
        <v>0.18518518518518517</v>
      </c>
    </row>
    <row r="14" spans="1:4" ht="29" x14ac:dyDescent="0.35">
      <c r="A14" s="33" t="s">
        <v>125</v>
      </c>
      <c r="B14" s="33">
        <v>67</v>
      </c>
      <c r="C14" s="33">
        <v>38</v>
      </c>
      <c r="D14" s="35">
        <f>C14/(C14+B14)</f>
        <v>0.3619047619047619</v>
      </c>
    </row>
    <row r="15" spans="1:4" ht="45.5" x14ac:dyDescent="0.35">
      <c r="A15" s="33" t="s">
        <v>121</v>
      </c>
      <c r="B15" s="33" t="s">
        <v>122</v>
      </c>
      <c r="C15" s="33" t="s">
        <v>123</v>
      </c>
      <c r="D15" s="35">
        <f>99/(99+305)</f>
        <v>0.24504950495049505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B198-172C-4241-84B1-7346FBD233A4}">
  <dimension ref="A1:H23"/>
  <sheetViews>
    <sheetView workbookViewId="0">
      <selection activeCell="C66" sqref="C66"/>
    </sheetView>
  </sheetViews>
  <sheetFormatPr defaultColWidth="9.1796875" defaultRowHeight="14.5" x14ac:dyDescent="0.35"/>
  <cols>
    <col min="1" max="1" width="28.26953125" style="13" customWidth="1"/>
    <col min="2" max="2" width="28.26953125" style="13" bestFit="1" customWidth="1"/>
    <col min="3" max="3" width="18.81640625" style="13" customWidth="1"/>
    <col min="4" max="4" width="9.1796875" style="13"/>
    <col min="5" max="5" width="21.54296875" style="13" bestFit="1" customWidth="1"/>
    <col min="6" max="6" width="21.54296875" style="13" customWidth="1"/>
    <col min="7" max="7" width="23.26953125" style="13" bestFit="1" customWidth="1"/>
    <col min="8" max="8" width="10" style="13" bestFit="1" customWidth="1"/>
    <col min="9" max="16384" width="9.1796875" style="13"/>
  </cols>
  <sheetData>
    <row r="1" spans="1:8" x14ac:dyDescent="0.35">
      <c r="A1" s="11" t="s">
        <v>43</v>
      </c>
      <c r="C1" s="11" t="s">
        <v>44</v>
      </c>
      <c r="D1" s="11" t="s">
        <v>45</v>
      </c>
      <c r="E1" s="11" t="s">
        <v>46</v>
      </c>
      <c r="F1" s="11" t="s">
        <v>51</v>
      </c>
      <c r="G1" s="11" t="s">
        <v>47</v>
      </c>
      <c r="H1" s="11" t="s">
        <v>48</v>
      </c>
    </row>
    <row r="2" spans="1:8" x14ac:dyDescent="0.35">
      <c r="A2" s="13">
        <v>1.38E-2</v>
      </c>
      <c r="C2" s="12">
        <v>17425445</v>
      </c>
      <c r="D2" s="12">
        <v>5683</v>
      </c>
      <c r="E2" s="13">
        <f>D2/A2</f>
        <v>411811.59420289856</v>
      </c>
      <c r="F2" s="12">
        <f>C2-E2</f>
        <v>17013633.405797102</v>
      </c>
      <c r="G2" s="14">
        <f>E2/C2</f>
        <v>2.3632773464488197E-2</v>
      </c>
      <c r="H2" s="13">
        <f>D2/E2</f>
        <v>1.38E-2</v>
      </c>
    </row>
    <row r="4" spans="1:8" x14ac:dyDescent="0.35">
      <c r="A4" s="11" t="s">
        <v>50</v>
      </c>
      <c r="B4" s="11" t="s">
        <v>53</v>
      </c>
      <c r="C4" s="11" t="s">
        <v>52</v>
      </c>
      <c r="D4" s="11" t="s">
        <v>44</v>
      </c>
    </row>
    <row r="5" spans="1:8" x14ac:dyDescent="0.35">
      <c r="A5" s="13" t="s">
        <v>4</v>
      </c>
      <c r="C5" s="18">
        <v>1.72</v>
      </c>
    </row>
    <row r="6" spans="1:8" x14ac:dyDescent="0.35">
      <c r="A6" s="13" t="s">
        <v>10</v>
      </c>
      <c r="C6" s="18">
        <v>1.27</v>
      </c>
    </row>
    <row r="7" spans="1:8" x14ac:dyDescent="0.35">
      <c r="A7" s="13" t="s">
        <v>5</v>
      </c>
      <c r="B7" s="13" t="s">
        <v>54</v>
      </c>
      <c r="C7" s="19">
        <v>1.5</v>
      </c>
      <c r="D7" s="17">
        <v>1043176</v>
      </c>
    </row>
    <row r="8" spans="1:8" x14ac:dyDescent="0.35">
      <c r="B8" s="13" t="s">
        <v>55</v>
      </c>
      <c r="C8" s="20">
        <v>2.36</v>
      </c>
      <c r="D8" s="17">
        <v>489297</v>
      </c>
    </row>
    <row r="9" spans="1:8" x14ac:dyDescent="0.35">
      <c r="B9" s="13" t="s">
        <v>56</v>
      </c>
      <c r="C9" s="20">
        <v>1.87</v>
      </c>
      <c r="D9" s="17">
        <v>195243</v>
      </c>
    </row>
    <row r="10" spans="1:8" x14ac:dyDescent="0.35">
      <c r="B10" s="13" t="s">
        <v>57</v>
      </c>
      <c r="C10" s="18">
        <f>SUMPRODUCT(C7:C9,D7:D9)/SUM(D7:D9)</f>
        <v>1.7853682723317954</v>
      </c>
    </row>
    <row r="11" spans="1:8" x14ac:dyDescent="0.35">
      <c r="A11" s="13" t="s">
        <v>6</v>
      </c>
      <c r="C11" s="20">
        <v>0.95</v>
      </c>
    </row>
    <row r="12" spans="1:8" x14ac:dyDescent="0.35">
      <c r="A12" s="13" t="s">
        <v>7</v>
      </c>
      <c r="B12" s="13" t="s">
        <v>61</v>
      </c>
      <c r="C12" s="20">
        <v>1.25</v>
      </c>
      <c r="D12" s="17">
        <v>5737545</v>
      </c>
    </row>
    <row r="13" spans="1:8" x14ac:dyDescent="0.35">
      <c r="B13" s="13" t="s">
        <v>60</v>
      </c>
      <c r="C13" s="19">
        <v>0.88</v>
      </c>
      <c r="D13" s="17">
        <v>2962373</v>
      </c>
    </row>
    <row r="14" spans="1:8" x14ac:dyDescent="0.35">
      <c r="B14" s="13" t="s">
        <v>59</v>
      </c>
      <c r="C14" s="18">
        <f>SUMPRODUCT(C12:C13,D12:D13)/SUM(D12:D13)</f>
        <v>1.1240128343738411</v>
      </c>
    </row>
    <row r="15" spans="1:8" x14ac:dyDescent="0.35">
      <c r="A15" s="13" t="s">
        <v>11</v>
      </c>
      <c r="C15" s="18">
        <v>1.69</v>
      </c>
    </row>
    <row r="16" spans="1:8" x14ac:dyDescent="0.35">
      <c r="A16" s="13" t="s">
        <v>8</v>
      </c>
      <c r="C16" s="18">
        <v>1.78</v>
      </c>
      <c r="E16" s="11"/>
    </row>
    <row r="17" spans="1:5" x14ac:dyDescent="0.35">
      <c r="A17" s="13" t="s">
        <v>65</v>
      </c>
      <c r="B17" s="13" t="s">
        <v>66</v>
      </c>
      <c r="C17" s="18">
        <v>1.27</v>
      </c>
      <c r="D17" s="17">
        <v>2404098</v>
      </c>
      <c r="E17" s="23"/>
    </row>
    <row r="18" spans="1:5" x14ac:dyDescent="0.35">
      <c r="B18" s="13" t="s">
        <v>67</v>
      </c>
      <c r="C18" s="18">
        <v>1.56</v>
      </c>
      <c r="D18" s="17">
        <v>929803</v>
      </c>
      <c r="E18" s="23"/>
    </row>
    <row r="19" spans="1:5" x14ac:dyDescent="0.35">
      <c r="B19" s="13" t="s">
        <v>68</v>
      </c>
      <c r="C19" s="18">
        <v>2.27</v>
      </c>
      <c r="D19" s="17">
        <v>466762</v>
      </c>
      <c r="E19" s="23"/>
    </row>
    <row r="20" spans="1:5" x14ac:dyDescent="0.35">
      <c r="B20" s="13" t="s">
        <v>59</v>
      </c>
      <c r="C20" s="18">
        <f>SUMPRODUCT(C17:C19,D17:D19)/SUM(D17:D19)</f>
        <v>1.4637569497742893</v>
      </c>
      <c r="E20" s="18"/>
    </row>
    <row r="21" spans="1:5" x14ac:dyDescent="0.35">
      <c r="A21" s="13" t="s">
        <v>9</v>
      </c>
      <c r="C21" s="13" t="s">
        <v>58</v>
      </c>
    </row>
    <row r="23" spans="1:5" x14ac:dyDescent="0.35">
      <c r="A23" s="13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and methodology</vt:lpstr>
      <vt:lpstr>Odds ratios for app</vt:lpstr>
      <vt:lpstr>Calc hospital ratios</vt:lpstr>
      <vt:lpstr>Calc ICU rates (obesity only)</vt:lpstr>
      <vt:lpstr>Calc Prob(ICU|hosp)</vt:lpstr>
      <vt:lpstr>Calc death ratios</vt:lpstr>
    </vt:vector>
  </TitlesOfParts>
  <Company>Mathematica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Lipman</dc:creator>
  <cp:lastModifiedBy>Cindy Hu</cp:lastModifiedBy>
  <dcterms:created xsi:type="dcterms:W3CDTF">2020-06-18T14:54:04Z</dcterms:created>
  <dcterms:modified xsi:type="dcterms:W3CDTF">2020-09-17T05:23:58Z</dcterms:modified>
</cp:coreProperties>
</file>