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601"/>
  </bookViews>
  <sheets>
    <sheet name="人物卡" sheetId="1" r:id="rId1"/>
    <sheet name="各序列技能计算" sheetId="2" r:id="rId2"/>
    <sheet name="职业列表" sheetId="4" r:id="rId3"/>
    <sheet name="非凡职业列表" sheetId="5" r:id="rId4"/>
    <sheet name="分支技能" sheetId="3" r:id="rId5"/>
    <sheet name="资产对照表" sheetId="6" r:id="rId6"/>
    <sheet name="武器列表" sheetId="7" r:id="rId7"/>
    <sheet name="属性和掷骰" sheetId="8" r:id="rId8"/>
    <sheet name="版本说明" sheetId="9" r:id="rId9"/>
    <sheet name="附表" sheetId="10" state="hidden" r:id="rId10"/>
    <sheet name="附表2" sheetId="11" state="hidden" r:id="rId11"/>
    <sheet name="附表3" sheetId="12" state="hidden" r:id="rId12"/>
    <sheet name="附表4" sheetId="13" state="hidden" r:id="rId13"/>
    <sheet name="附表5" sheetId="14" state="hidden" r:id="rId14"/>
    <sheet name="附表6" sheetId="15" state="hidden" r:id="rId15"/>
  </sheets>
  <externalReferences>
    <externalReference r:id="rId16"/>
    <externalReference r:id="rId17"/>
  </externalReferences>
  <definedNames>
    <definedName name="_xlnm._FilterDatabase" localSheetId="2" hidden="1">职业列表!$A$1:$F$116</definedName>
    <definedName name="APP">人物卡!$J$15</definedName>
    <definedName name="Build">人物卡!$AV$72</definedName>
    <definedName name="CON">人物卡!$D$15</definedName>
    <definedName name="DB">人物卡!$AV$70</definedName>
    <definedName name="DEX">人物卡!$J$13</definedName>
    <definedName name="EDU">人物卡!$P$15</definedName>
    <definedName name="HP">人物卡!$F$22</definedName>
    <definedName name="HPMAX">人物卡!$H$22</definedName>
    <definedName name="INT">人物卡!$J$17</definedName>
    <definedName name="Luck">人物卡!$V$22</definedName>
    <definedName name="MOV">人物卡!$P$17</definedName>
    <definedName name="MP">人物卡!$AD$22</definedName>
    <definedName name="MPMAX">人物卡!$AF$22</definedName>
    <definedName name="POW">人物卡!$P$13</definedName>
    <definedName name="SAN">人物卡!$N$22</definedName>
    <definedName name="SANMAX">人物卡!$P$22</definedName>
    <definedName name="SIZ">人物卡!$D$17</definedName>
    <definedName name="SPI">人物卡!$D$19</definedName>
    <definedName name="STR">人物卡!$D$13</definedName>
    <definedName name="APP" localSheetId="5">[1]人物卡!$Y$5</definedName>
    <definedName name="Build" localSheetId="5">[1]人物卡!$AL$51</definedName>
    <definedName name="CON" localSheetId="5">[1]人物卡!$S$5</definedName>
    <definedName name="DB" localSheetId="5">[1]人物卡!$AL$49</definedName>
    <definedName name="DEX" localSheetId="5">[1]人物卡!$Y$3</definedName>
    <definedName name="EDU" localSheetId="5">[1]人物卡!$AE$5</definedName>
    <definedName name="HP" localSheetId="5">[1]人物卡!$F$10</definedName>
    <definedName name="HPMAX" localSheetId="5">[1]人物卡!$H$10</definedName>
    <definedName name="INT" localSheetId="5">[1]人物卡!$Y$7</definedName>
    <definedName name="Luck" localSheetId="5">[1]人物卡!$V$10</definedName>
    <definedName name="MOV" localSheetId="5">[1]人物卡!$AE$7</definedName>
    <definedName name="MP" localSheetId="5">[1]人物卡!$AD$10</definedName>
    <definedName name="MPMAX" localSheetId="5">[1]人物卡!$AF$10</definedName>
    <definedName name="POW" localSheetId="5">[1]人物卡!$AE$3</definedName>
    <definedName name="SAN" localSheetId="5">[1]人物卡!$N$10</definedName>
    <definedName name="SANMAX" localSheetId="5">[1]人物卡!$P$10</definedName>
    <definedName name="SIZ" localSheetId="5">[1]人物卡!$S$7</definedName>
    <definedName name="SPI" localSheetId="5">[2]人物卡!$T$9</definedName>
    <definedName name="STR" localSheetId="5">[1]人物卡!$S$3</definedName>
  </definedNames>
  <calcPr calcId="144525"/>
</workbook>
</file>

<file path=xl/sharedStrings.xml><?xml version="1.0" encoding="utf-8"?>
<sst xmlns="http://schemas.openxmlformats.org/spreadsheetml/2006/main" count="3515" uniqueCount="1321">
  <si>
    <t>调查员信息</t>
  </si>
  <si>
    <t>姓名</t>
  </si>
  <si>
    <t>玩家</t>
  </si>
  <si>
    <t>时代</t>
  </si>
  <si>
    <t>职业</t>
  </si>
  <si>
    <t>职业序号</t>
  </si>
  <si>
    <t>非凡
技能点</t>
  </si>
  <si>
    <t>序列9</t>
  </si>
  <si>
    <t>序列8</t>
  </si>
  <si>
    <t>序列7</t>
  </si>
  <si>
    <t>序列6</t>
  </si>
  <si>
    <t>序列5</t>
  </si>
  <si>
    <t>序列4</t>
  </si>
  <si>
    <t>序列3</t>
  </si>
  <si>
    <t>序列2</t>
  </si>
  <si>
    <t>序列1</t>
  </si>
  <si>
    <t>序列0</t>
  </si>
  <si>
    <t>年龄</t>
  </si>
  <si>
    <t>性别</t>
  </si>
  <si>
    <t>住地</t>
  </si>
  <si>
    <t>故乡</t>
  </si>
  <si>
    <t>体力
加值</t>
  </si>
  <si>
    <t>魔药</t>
  </si>
  <si>
    <t>魔药序列</t>
  </si>
  <si>
    <t>魔药序号</t>
  </si>
  <si>
    <t>加成前属性（计算普通职业技能点）</t>
  </si>
  <si>
    <t>加成后属性</t>
  </si>
  <si>
    <t>此处应有头像</t>
  </si>
  <si>
    <t>力量</t>
  </si>
  <si>
    <t>敏捷</t>
  </si>
  <si>
    <t>意志</t>
  </si>
  <si>
    <t>临时±</t>
  </si>
  <si>
    <t>STR</t>
  </si>
  <si>
    <t>DEX</t>
  </si>
  <si>
    <t>POW</t>
  </si>
  <si>
    <t>体质</t>
  </si>
  <si>
    <t>外貌</t>
  </si>
  <si>
    <t>教育</t>
  </si>
  <si>
    <t>CON</t>
  </si>
  <si>
    <t>APP</t>
  </si>
  <si>
    <t>EDU</t>
  </si>
  <si>
    <t>体型</t>
  </si>
  <si>
    <t>智力</t>
  </si>
  <si>
    <t>移动力</t>
  </si>
  <si>
    <t>调整值</t>
  </si>
  <si>
    <t>SIZ</t>
  </si>
  <si>
    <t>INT</t>
  </si>
  <si>
    <t>MOV</t>
  </si>
  <si>
    <t>灵性</t>
  </si>
  <si>
    <t>消化度</t>
  </si>
  <si>
    <t>——</t>
  </si>
  <si>
    <t>灵性上限</t>
  </si>
  <si>
    <t>SPI</t>
  </si>
  <si>
    <t>溢出灵性</t>
  </si>
  <si>
    <t>体力</t>
  </si>
  <si>
    <t>理智
Sanity</t>
  </si>
  <si>
    <t>幸运</t>
  </si>
  <si>
    <t>魔法</t>
  </si>
  <si>
    <t>状态 State</t>
  </si>
  <si>
    <t>健康</t>
  </si>
  <si>
    <t>护甲
Armor</t>
  </si>
  <si>
    <t>HP</t>
  </si>
  <si>
    <t>SAN</t>
  </si>
  <si>
    <t>Luck</t>
  </si>
  <si>
    <t>MP</t>
  </si>
  <si>
    <t>无特殊状态</t>
  </si>
  <si>
    <t>神志清醒</t>
  </si>
  <si>
    <t>技能表</t>
  </si>
  <si>
    <t>技能名称</t>
  </si>
  <si>
    <t>初始</t>
  </si>
  <si>
    <t>成长</t>
  </si>
  <si>
    <t>非凡</t>
  </si>
  <si>
    <t>兴趣</t>
  </si>
  <si>
    <t>成功率</t>
  </si>
  <si>
    <t>☐</t>
  </si>
  <si>
    <t>会计</t>
  </si>
  <si>
    <t>说服</t>
  </si>
  <si>
    <t>人类学</t>
  </si>
  <si>
    <t>驾驶:</t>
  </si>
  <si>
    <t>估价</t>
  </si>
  <si>
    <t>精神分析</t>
  </si>
  <si>
    <t>考古学</t>
  </si>
  <si>
    <t>心理学</t>
  </si>
  <si>
    <t>技艺:</t>
  </si>
  <si>
    <t>表演</t>
  </si>
  <si>
    <t>骑术</t>
  </si>
  <si>
    <t>美术</t>
  </si>
  <si>
    <t>科学:</t>
  </si>
  <si>
    <t>数学</t>
  </si>
  <si>
    <t>摄影</t>
  </si>
  <si>
    <t>物理学</t>
  </si>
  <si>
    <t>魅惑</t>
  </si>
  <si>
    <t>植物学</t>
  </si>
  <si>
    <t>攀爬</t>
  </si>
  <si>
    <t>妙手</t>
  </si>
  <si>
    <t>信用评级</t>
  </si>
  <si>
    <t>侦察</t>
  </si>
  <si>
    <t>乔装</t>
  </si>
  <si>
    <t>潜行</t>
  </si>
  <si>
    <t>闪避</t>
  </si>
  <si>
    <t>生存:</t>
  </si>
  <si>
    <t>马车驾驶</t>
  </si>
  <si>
    <t>游泳</t>
  </si>
  <si>
    <t>电气维修</t>
  </si>
  <si>
    <t>投掷</t>
  </si>
  <si>
    <t>话术</t>
  </si>
  <si>
    <t>追踪</t>
  </si>
  <si>
    <t>格斗:</t>
  </si>
  <si>
    <t>斗殴</t>
  </si>
  <si>
    <t>罕见:</t>
  </si>
  <si>
    <t>潜水</t>
  </si>
  <si>
    <t>剑</t>
  </si>
  <si>
    <t>☆</t>
  </si>
  <si>
    <t>神秘学</t>
  </si>
  <si>
    <t>鞭子</t>
  </si>
  <si>
    <t>仪式魔法</t>
  </si>
  <si>
    <t>射击:</t>
  </si>
  <si>
    <t>手枪</t>
  </si>
  <si>
    <t>冥想</t>
  </si>
  <si>
    <t>步枪/霰弹枪</t>
  </si>
  <si>
    <t>位格</t>
  </si>
  <si>
    <t>冲锋枪</t>
  </si>
  <si>
    <t>占卜</t>
  </si>
  <si>
    <t>急救</t>
  </si>
  <si>
    <t>环境利用</t>
  </si>
  <si>
    <t>历史</t>
  </si>
  <si>
    <t>恐吓</t>
  </si>
  <si>
    <t>跳跃</t>
  </si>
  <si>
    <t>语言:</t>
  </si>
  <si>
    <t>古弗萨克语</t>
  </si>
  <si>
    <t>赫密斯文</t>
  </si>
  <si>
    <t>古赫密斯文</t>
  </si>
  <si>
    <t>巨人语</t>
  </si>
  <si>
    <t>精灵语</t>
  </si>
  <si>
    <t>巨龙语</t>
  </si>
  <si>
    <t>母语:</t>
  </si>
  <si>
    <t>法律</t>
  </si>
  <si>
    <t>图书馆使用</t>
  </si>
  <si>
    <t>聆听</t>
  </si>
  <si>
    <t>锁匠</t>
  </si>
  <si>
    <t>机械维修</t>
  </si>
  <si>
    <t>医学</t>
  </si>
  <si>
    <t>博物学</t>
  </si>
  <si>
    <t>领航</t>
  </si>
  <si>
    <t>操作重型机械</t>
  </si>
  <si>
    <t>标●的非凡技能请将其初始值填写到同名通用技能初始值内使用</t>
  </si>
  <si>
    <t>武器</t>
  </si>
  <si>
    <t>格斗</t>
  </si>
  <si>
    <t>使用技能</t>
  </si>
  <si>
    <t>伤害</t>
  </si>
  <si>
    <t>射程</t>
  </si>
  <si>
    <t>穿刺</t>
  </si>
  <si>
    <t>次数</t>
  </si>
  <si>
    <t>装弹量</t>
  </si>
  <si>
    <t>故障值</t>
  </si>
  <si>
    <t>伤害加值
Damage Bonus</t>
  </si>
  <si>
    <t>空手战斗</t>
  </si>
  <si>
    <t>1D3+DB</t>
  </si>
  <si>
    <t>-</t>
  </si>
  <si>
    <t>x</t>
  </si>
  <si>
    <t>体格
Build</t>
  </si>
  <si>
    <t>闪避
Dodge</t>
  </si>
  <si>
    <t>Produced by Lost_Akiba   果园ID：秋叶EXODUS    群号：228689392  | 咕咕改   群号：308033779</t>
  </si>
  <si>
    <t>资产</t>
  </si>
  <si>
    <t>背景故事</t>
  </si>
  <si>
    <t>个人描述</t>
  </si>
  <si>
    <t>现金：</t>
  </si>
  <si>
    <t>消费水平：</t>
  </si>
  <si>
    <t>思想与信念</t>
  </si>
  <si>
    <t>重要之人</t>
  </si>
  <si>
    <t>意义非凡之地</t>
  </si>
  <si>
    <t>随身物品</t>
  </si>
  <si>
    <t>宝贵之物</t>
  </si>
  <si>
    <t>特质</t>
  </si>
  <si>
    <t>伤口和疤痕</t>
  </si>
  <si>
    <t>恐惧症和狂躁症</t>
  </si>
  <si>
    <t>调查员笔记</t>
  </si>
  <si>
    <t>调查员同伴</t>
  </si>
  <si>
    <t>特殊设定</t>
  </si>
  <si>
    <t>额外技能数值</t>
  </si>
  <si>
    <t>数值</t>
  </si>
  <si>
    <t>幸运儿-累积幸运</t>
  </si>
  <si>
    <t>连环杀手-案发现场数</t>
  </si>
  <si>
    <t>快速参考规则</t>
  </si>
  <si>
    <t>技能和属性检定
成功等级</t>
  </si>
  <si>
    <t>大失败</t>
  </si>
  <si>
    <t>失败</t>
  </si>
  <si>
    <t>成功</t>
  </si>
  <si>
    <t>困难</t>
  </si>
  <si>
    <t>极难</t>
  </si>
  <si>
    <t>大成功</t>
  </si>
  <si>
    <t>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</si>
  <si>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</si>
  <si>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</si>
  <si>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</si>
  <si>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</si>
  <si>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</si>
  <si>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</si>
  <si>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</si>
  <si>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</si>
  <si>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</si>
  <si>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</si>
  <si>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</si>
  <si>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</si>
  <si>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</si>
  <si>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</si>
  <si>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</si>
  <si>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塔骰指令快速输入</t>
  </si>
  <si>
    <t>复制下格导出使用（未避免数值错误，分支技能格请勿空置）</t>
  </si>
  <si>
    <t xml:space="preserve">.st </t>
  </si>
  <si>
    <t>咕咕改：未校验版本</t>
  </si>
  <si>
    <t>感谢陈末/Jigsaw大佬的帮助</t>
  </si>
  <si>
    <t>加成后属性（序列9）</t>
  </si>
  <si>
    <t>加成后属性（序列8）</t>
  </si>
  <si>
    <r>
      <rPr>
        <sz val="10"/>
        <color rgb="FF000000"/>
        <rFont val="微软雅黑"/>
        <charset val="134"/>
      </rPr>
      <t xml:space="preserve">力量
</t>
    </r>
    <r>
      <rPr>
        <sz val="8"/>
        <color rgb="FF000000"/>
        <rFont val="微软雅黑"/>
        <charset val="134"/>
      </rPr>
      <t>STR</t>
    </r>
  </si>
  <si>
    <r>
      <rPr>
        <sz val="10"/>
        <color rgb="FF000000"/>
        <rFont val="微软雅黑"/>
        <charset val="134"/>
      </rPr>
      <t xml:space="preserve">敏捷
</t>
    </r>
    <r>
      <rPr>
        <sz val="8"/>
        <color rgb="FF000000"/>
        <rFont val="微软雅黑"/>
        <charset val="134"/>
      </rPr>
      <t>DEX</t>
    </r>
  </si>
  <si>
    <r>
      <rPr>
        <sz val="10"/>
        <color rgb="FF000000"/>
        <rFont val="微软雅黑"/>
        <charset val="134"/>
      </rPr>
      <t xml:space="preserve">意志
</t>
    </r>
    <r>
      <rPr>
        <sz val="8"/>
        <color rgb="FF000000"/>
        <rFont val="微软雅黑"/>
        <charset val="134"/>
      </rPr>
      <t>POW</t>
    </r>
  </si>
  <si>
    <r>
      <rPr>
        <sz val="10"/>
        <color rgb="FF000000"/>
        <rFont val="微软雅黑"/>
        <charset val="134"/>
      </rPr>
      <t xml:space="preserve">体质
</t>
    </r>
    <r>
      <rPr>
        <sz val="8"/>
        <color rgb="FF000000"/>
        <rFont val="微软雅黑"/>
        <charset val="134"/>
      </rPr>
      <t>CON</t>
    </r>
  </si>
  <si>
    <r>
      <rPr>
        <sz val="10"/>
        <color rgb="FF000000"/>
        <rFont val="微软雅黑"/>
        <charset val="134"/>
      </rPr>
      <t xml:space="preserve">外貌
</t>
    </r>
    <r>
      <rPr>
        <sz val="8"/>
        <color rgb="FF000000"/>
        <rFont val="微软雅黑"/>
        <charset val="134"/>
      </rPr>
      <t>APP</t>
    </r>
  </si>
  <si>
    <r>
      <rPr>
        <sz val="10"/>
        <color rgb="FF000000"/>
        <rFont val="微软雅黑"/>
        <charset val="134"/>
      </rPr>
      <t xml:space="preserve">教育
</t>
    </r>
    <r>
      <rPr>
        <sz val="8"/>
        <color rgb="FF000000"/>
        <rFont val="微软雅黑"/>
        <charset val="134"/>
      </rPr>
      <t>EDU</t>
    </r>
  </si>
  <si>
    <r>
      <rPr>
        <sz val="10"/>
        <color rgb="FF000000"/>
        <rFont val="微软雅黑"/>
        <charset val="134"/>
      </rPr>
      <t xml:space="preserve">体型
</t>
    </r>
    <r>
      <rPr>
        <sz val="8"/>
        <color rgb="FF000000"/>
        <rFont val="微软雅黑"/>
        <charset val="134"/>
      </rPr>
      <t>SIZ</t>
    </r>
  </si>
  <si>
    <t>智力INT
灵感idea</t>
  </si>
  <si>
    <r>
      <rPr>
        <sz val="10"/>
        <color rgb="FF000000"/>
        <rFont val="微软雅黑"/>
        <charset val="134"/>
      </rPr>
      <t xml:space="preserve">移动力
</t>
    </r>
    <r>
      <rPr>
        <sz val="8"/>
        <color rgb="FF000000"/>
        <rFont val="微软雅黑"/>
        <charset val="134"/>
      </rPr>
      <t>MOV</t>
    </r>
  </si>
  <si>
    <t>灵性
SPI</t>
  </si>
  <si>
    <t>技能点</t>
  </si>
  <si>
    <t>*仅序列9、8、7的技能点和人物属性自动计算</t>
  </si>
  <si>
    <t>加成后属性（序列7）</t>
  </si>
  <si>
    <t>加成后属性（序列6）</t>
  </si>
  <si>
    <t>加成后属性（序列5）</t>
  </si>
  <si>
    <t>加成后属性（序列4）</t>
  </si>
  <si>
    <t>加成后属性（序列3）</t>
  </si>
  <si>
    <t>加成后属性（序列2）</t>
  </si>
  <si>
    <t>加成后属性（序列1）</t>
  </si>
  <si>
    <t>加成后属性（序列0）</t>
  </si>
  <si>
    <t>序号</t>
  </si>
  <si>
    <t>信誉</t>
  </si>
  <si>
    <t>职业属性</t>
  </si>
  <si>
    <t>本职技能</t>
  </si>
  <si>
    <t>选择职业序号为0，则清除职业模板提示和点数计算器，供强迫症患者使用。</t>
  </si>
  <si>
    <t>自定义职业</t>
  </si>
  <si>
    <t>0-99</t>
  </si>
  <si>
    <r>
      <rPr>
        <sz val="11"/>
        <color rgb="FF000000"/>
        <rFont val="微软雅黑 Light"/>
        <charset val="134"/>
      </rPr>
      <t>不多于7个本职技能。在职业属性中输入第二职业属性的</t>
    </r>
    <r>
      <rPr>
        <b/>
        <sz val="11"/>
        <color rgb="FFFF0000"/>
        <rFont val="微软雅黑 Light"/>
        <charset val="134"/>
      </rPr>
      <t>数值</t>
    </r>
    <r>
      <rPr>
        <sz val="11"/>
        <color rgb="FF000000"/>
        <rFont val="微软雅黑 Light"/>
        <charset val="134"/>
      </rPr>
      <t>（留空则视为EDU）并自行设置起始信誉。使用自定义职业前，请先咨询你的守秘人</t>
    </r>
  </si>
  <si>
    <t>会计师</t>
  </si>
  <si>
    <t>30-70</t>
  </si>
  <si>
    <r>
      <rPr>
        <sz val="11"/>
        <color rgb="FF000000"/>
        <rFont val="微软雅黑 Light"/>
        <charset val="134"/>
      </rPr>
      <t>教育×</t>
    </r>
    <r>
      <rPr>
        <sz val="10"/>
        <color rgb="FF000000"/>
        <rFont val="微软雅黑 Light"/>
        <charset val="134"/>
      </rPr>
      <t>4</t>
    </r>
  </si>
  <si>
    <t>会计，法律，图书馆，聆听，说服，侦查，任意其他两项个人或时代特长。</t>
  </si>
  <si>
    <t>杂技演员</t>
  </si>
  <si>
    <t>9-20</t>
  </si>
  <si>
    <r>
      <rPr>
        <sz val="11"/>
        <color rgb="FF000000"/>
        <rFont val="微软雅黑 Light"/>
        <charset val="134"/>
      </rPr>
      <t>教育×</t>
    </r>
    <r>
      <rPr>
        <sz val="10"/>
        <color rgb="FF000000"/>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</si>
  <si>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</si>
  <si>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</si>
  <si>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</si>
  <si>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</si>
  <si>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</si>
  <si>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</si>
  <si>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</si>
  <si>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</si>
  <si>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</si>
  <si>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</si>
  <si>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</si>
  <si>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</si>
  <si>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</si>
  <si>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</si>
  <si>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</si>
  <si>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</si>
  <si>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</si>
  <si>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</si>
  <si>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</si>
  <si>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</si>
  <si>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</si>
  <si>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</si>
  <si>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</si>
  <si>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</si>
  <si>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</si>
  <si>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</si>
  <si>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</si>
  <si>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</si>
  <si>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</si>
  <si>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</si>
  <si>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</si>
  <si>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</si>
  <si>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</si>
  <si>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</si>
  <si>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</si>
  <si>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</si>
  <si>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</si>
  <si>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</si>
  <si>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</si>
  <si>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</si>
  <si>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</si>
  <si>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</si>
  <si>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</si>
  <si>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</si>
  <si>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</si>
  <si>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</si>
  <si>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</si>
  <si>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</si>
  <si>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</si>
  <si>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</si>
  <si>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</si>
  <si>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</si>
  <si>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</si>
  <si>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</si>
  <si>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</si>
  <si>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</si>
  <si>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</si>
  <si>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</si>
  <si>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</si>
  <si>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</si>
  <si>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</si>
  <si>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</si>
  <si>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</si>
  <si>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</si>
  <si>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</si>
  <si>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计算机，电气维修，电子学、图书馆，科学（数学），侦查，任意两项其他个人或时代特长。</t>
  </si>
  <si>
    <t>黑客/骇客</t>
  </si>
  <si>
    <t>计算机，电气维修，电子学，图书馆，侦查，一项社交技能（魅惑、话术、恐吓、说服），任意两项其他技能。</t>
  </si>
  <si>
    <t>牛仔</t>
  </si>
  <si>
    <r>
      <rPr>
        <sz val="11"/>
        <color rgb="FF000000"/>
        <rFont val="微软雅黑 Light"/>
        <charset val="134"/>
      </rPr>
      <t>教育×</t>
    </r>
    <r>
      <rPr>
        <sz val="10"/>
        <color rgb="FF000000"/>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</si>
  <si>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</si>
  <si>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</si>
  <si>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</si>
  <si>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</si>
  <si>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</si>
  <si>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</si>
  <si>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rgb="FF000000"/>
        <rFont val="微软雅黑 Light"/>
        <charset val="134"/>
      </rPr>
      <t>教育×</t>
    </r>
    <r>
      <rPr>
        <sz val="10"/>
        <color rgb="FF000000"/>
        <rFont val="微软雅黑 Light"/>
        <charset val="134"/>
      </rPr>
      <t>2＋敏捷或力量×2</t>
    </r>
  </si>
  <si>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</si>
  <si>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</si>
  <si>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</si>
  <si>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</si>
  <si>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</si>
  <si>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</si>
  <si>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</si>
  <si>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</si>
  <si>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</si>
  <si>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</si>
  <si>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</si>
  <si>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</si>
  <si>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</si>
  <si>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</si>
  <si>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</si>
  <si>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</si>
  <si>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</si>
  <si>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</si>
  <si>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</si>
  <si>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</si>
  <si>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</si>
  <si>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</si>
  <si>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</si>
  <si>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</si>
  <si>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</si>
  <si>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</si>
  <si>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</si>
  <si>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</si>
  <si>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rgb="FF000000"/>
        <rFont val="微软雅黑 Light"/>
        <charset val="134"/>
      </rPr>
      <t>教育×</t>
    </r>
    <r>
      <rPr>
        <sz val="10"/>
        <color rgb="FF000000"/>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</si>
  <si>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</si>
  <si>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</si>
  <si>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</si>
  <si>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</si>
  <si>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</si>
  <si>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</si>
  <si>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</si>
  <si>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</si>
  <si>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</si>
  <si>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</si>
  <si>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</si>
  <si>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</si>
  <si>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</si>
  <si>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</si>
  <si>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</si>
  <si>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</si>
  <si>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</si>
  <si>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</si>
  <si>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</si>
  <si>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</si>
  <si>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</si>
  <si>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</si>
  <si>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</si>
  <si>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</si>
  <si>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</si>
  <si>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</si>
  <si>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</si>
  <si>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</si>
  <si>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</si>
  <si>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</si>
  <si>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</si>
  <si>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</si>
  <si>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</si>
  <si>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</si>
  <si>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</si>
  <si>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</si>
  <si>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</si>
  <si>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</si>
  <si>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</si>
  <si>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</si>
  <si>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</si>
  <si>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</si>
  <si>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</si>
  <si>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</si>
  <si>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</si>
  <si>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</si>
  <si>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</si>
  <si>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</si>
  <si>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</si>
  <si>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</si>
  <si>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</si>
  <si>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</si>
  <si>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</si>
  <si>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</si>
  <si>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</si>
  <si>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</si>
  <si>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</si>
  <si>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</si>
  <si>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</si>
  <si>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</si>
  <si>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</si>
  <si>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</si>
  <si>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</si>
  <si>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</si>
  <si>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</si>
  <si>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</si>
  <si>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</si>
  <si>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</si>
  <si>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</si>
  <si>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</si>
  <si>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</si>
  <si>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</si>
  <si>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</si>
  <si>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</si>
  <si>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</si>
  <si>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</si>
  <si>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</si>
  <si>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</si>
  <si>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</si>
  <si>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</si>
  <si>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</si>
  <si>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</si>
  <si>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</si>
  <si>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</si>
  <si>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</si>
  <si>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</si>
  <si>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</si>
  <si>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</si>
  <si>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</si>
  <si>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</si>
  <si>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</si>
  <si>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</si>
  <si>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</si>
  <si>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</si>
  <si>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</si>
  <si>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</si>
  <si>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</si>
  <si>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</si>
  <si>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</si>
  <si>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</si>
  <si>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</si>
  <si>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</si>
  <si>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</si>
  <si>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</si>
  <si>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</si>
  <si>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</si>
  <si>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</si>
  <si>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</si>
  <si>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</si>
  <si>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</si>
  <si>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</si>
  <si>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</si>
  <si>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</si>
  <si>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</si>
  <si>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</si>
  <si>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</si>
  <si>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</si>
  <si>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</si>
  <si>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</si>
  <si>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</si>
  <si>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</si>
  <si>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</si>
  <si>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</si>
  <si>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</si>
  <si>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</si>
  <si>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</si>
  <si>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</si>
  <si>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</si>
  <si>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</si>
  <si>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</si>
  <si>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</si>
  <si>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</si>
  <si>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</si>
  <si>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</si>
  <si>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</si>
  <si>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</si>
  <si>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</si>
  <si>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</si>
  <si>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</si>
  <si>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</si>
  <si>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</si>
  <si>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</si>
  <si>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</si>
  <si>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</si>
  <si>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</si>
  <si>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</si>
  <si>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</si>
  <si>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</si>
  <si>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</si>
  <si>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</si>
  <si>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</si>
  <si>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</si>
  <si>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</si>
  <si>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</si>
  <si>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</si>
  <si>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</si>
  <si>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</si>
  <si>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</si>
  <si>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</si>
  <si>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</si>
  <si>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</si>
  <si>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</si>
  <si>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</si>
  <si>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</si>
  <si>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</si>
  <si>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</si>
  <si>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</si>
  <si>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</si>
  <si>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</si>
  <si>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</si>
  <si>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</si>
  <si>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</si>
  <si>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</si>
  <si>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</si>
  <si>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</si>
  <si>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</si>
  <si>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</si>
  <si>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</si>
  <si>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</si>
  <si>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</si>
  <si>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</si>
  <si>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</si>
  <si>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驯兽，会计，闪避，急救，自然，医学，科学（制药，动物学）。</t>
  </si>
  <si>
    <t>普通人</t>
  </si>
  <si>
    <t>观众</t>
  </si>
  <si>
    <t>水手</t>
  </si>
  <si>
    <t>收尸人</t>
  </si>
  <si>
    <t>秘祈人</t>
  </si>
  <si>
    <t>不眠者</t>
  </si>
  <si>
    <t>囚犯</t>
  </si>
  <si>
    <t>罪犯</t>
  </si>
  <si>
    <t>窥秘人</t>
  </si>
  <si>
    <t>占卜家</t>
  </si>
  <si>
    <t>学徒</t>
  </si>
  <si>
    <t>偷盗者</t>
  </si>
  <si>
    <t>歌颂者</t>
  </si>
  <si>
    <t>战士</t>
  </si>
  <si>
    <t>阅读者</t>
  </si>
  <si>
    <t>耕种者</t>
  </si>
  <si>
    <t>药师</t>
  </si>
  <si>
    <t>仲裁人</t>
  </si>
  <si>
    <t>刺客</t>
  </si>
  <si>
    <t>通识者</t>
  </si>
  <si>
    <t>怪物</t>
  </si>
  <si>
    <t>读心者</t>
  </si>
  <si>
    <t>暴怒之民</t>
  </si>
  <si>
    <t>掘墓人</t>
  </si>
  <si>
    <t>倾听者</t>
  </si>
  <si>
    <t>午夜诗人</t>
  </si>
  <si>
    <t>疯子</t>
  </si>
  <si>
    <t>折翼天使</t>
  </si>
  <si>
    <t>格斗学者</t>
  </si>
  <si>
    <t>小丑</t>
  </si>
  <si>
    <t>戏法大师</t>
  </si>
  <si>
    <t>诈骗师</t>
  </si>
  <si>
    <t>祈光人</t>
  </si>
  <si>
    <t>格斗家</t>
  </si>
  <si>
    <t>推理学员</t>
  </si>
  <si>
    <t>医师</t>
  </si>
  <si>
    <t>驯兽师</t>
  </si>
  <si>
    <t>治安官</t>
  </si>
  <si>
    <t>野蛮人</t>
  </si>
  <si>
    <t>教唆者</t>
  </si>
  <si>
    <t>挑衅者</t>
  </si>
  <si>
    <t>考古学家</t>
  </si>
  <si>
    <t>机器</t>
  </si>
  <si>
    <t>心理医生</t>
  </si>
  <si>
    <t>航海家</t>
  </si>
  <si>
    <t>通灵者</t>
  </si>
  <si>
    <t>隐修士</t>
  </si>
  <si>
    <t>梦魇</t>
  </si>
  <si>
    <t>狼人</t>
  </si>
  <si>
    <t>连环杀手</t>
  </si>
  <si>
    <t>巫师</t>
  </si>
  <si>
    <t>魔术师</t>
  </si>
  <si>
    <t>占星人</t>
  </si>
  <si>
    <t>解密学者</t>
  </si>
  <si>
    <t>太阳神官</t>
  </si>
  <si>
    <t>武器大师</t>
  </si>
  <si>
    <t>侦探</t>
  </si>
  <si>
    <t>丰收祭司</t>
  </si>
  <si>
    <t>吸血鬼</t>
  </si>
  <si>
    <t>审讯官</t>
  </si>
  <si>
    <t>贿赂者</t>
  </si>
  <si>
    <t>女巫</t>
  </si>
  <si>
    <t>纵火家</t>
  </si>
  <si>
    <t>鉴定师</t>
  </si>
  <si>
    <t>幸运者</t>
  </si>
  <si>
    <t>催眠师</t>
  </si>
  <si>
    <t>风眷者</t>
  </si>
  <si>
    <t>死灵导师</t>
  </si>
  <si>
    <t>蔷薇主教</t>
  </si>
  <si>
    <t>安魂师</t>
  </si>
  <si>
    <t>活尸</t>
  </si>
  <si>
    <t>恶魔</t>
  </si>
  <si>
    <t>卷轴教授</t>
  </si>
  <si>
    <t>无面人</t>
  </si>
  <si>
    <t>记录官</t>
  </si>
  <si>
    <t>盗火人</t>
  </si>
  <si>
    <t>公证人</t>
  </si>
  <si>
    <t>黎明骑士</t>
  </si>
  <si>
    <t>博学者</t>
  </si>
  <si>
    <t>生物学家</t>
  </si>
  <si>
    <t>魔药教授</t>
  </si>
  <si>
    <t>腐化男爵</t>
  </si>
  <si>
    <t>欢愉</t>
  </si>
  <si>
    <t>阴谋家</t>
  </si>
  <si>
    <t>机械学家</t>
  </si>
  <si>
    <t>灾祸教士</t>
  </si>
  <si>
    <t>梦境行者</t>
  </si>
  <si>
    <t>海洋歌者</t>
  </si>
  <si>
    <t>看门人</t>
  </si>
  <si>
    <t>牧羊人</t>
  </si>
  <si>
    <t>灵巫</t>
  </si>
  <si>
    <t>怨魂</t>
  </si>
  <si>
    <t>欲望使徒</t>
  </si>
  <si>
    <t>星象师</t>
  </si>
  <si>
    <t>秘偶大师</t>
  </si>
  <si>
    <t>窃梦家</t>
  </si>
  <si>
    <t>光之祭司</t>
  </si>
  <si>
    <t>守护者</t>
  </si>
  <si>
    <t>秘术导师</t>
  </si>
  <si>
    <t>德鲁伊</t>
  </si>
  <si>
    <t>深红学者</t>
  </si>
  <si>
    <t>惩戒骑士</t>
  </si>
  <si>
    <t>混乱导师</t>
  </si>
  <si>
    <t>痛苦</t>
  </si>
  <si>
    <t>收割者</t>
  </si>
  <si>
    <t>天文学家</t>
  </si>
  <si>
    <t>赢家</t>
  </si>
  <si>
    <t>操纵师</t>
  </si>
  <si>
    <t>灾难主祭</t>
  </si>
  <si>
    <t>不死者</t>
  </si>
  <si>
    <t>黑骑士</t>
  </si>
  <si>
    <t>守夜人</t>
  </si>
  <si>
    <t>木偶</t>
  </si>
  <si>
    <t>魔鬼</t>
  </si>
  <si>
    <t>诡法师</t>
  </si>
  <si>
    <t>秘法师</t>
  </si>
  <si>
    <t>寄生者</t>
  </si>
  <si>
    <t>无暗者</t>
  </si>
  <si>
    <t>猎魔者</t>
  </si>
  <si>
    <t>预言家</t>
  </si>
  <si>
    <t>古代炼金师</t>
  </si>
  <si>
    <t>巫王</t>
  </si>
  <si>
    <t>律令法师</t>
  </si>
  <si>
    <t>堕落伯爵</t>
  </si>
  <si>
    <t>绝望</t>
  </si>
  <si>
    <t>铁血骑士</t>
  </si>
  <si>
    <t>炼金术士</t>
  </si>
  <si>
    <t>厄运法师</t>
  </si>
  <si>
    <t>织梦人</t>
  </si>
  <si>
    <t>海王</t>
  </si>
  <si>
    <t>摆渡人</t>
  </si>
  <si>
    <t>三首圣堂</t>
  </si>
  <si>
    <t>恐惧主教</t>
  </si>
  <si>
    <t>沉默门徒</t>
  </si>
  <si>
    <t>呓语者</t>
  </si>
  <si>
    <t>预言大师</t>
  </si>
  <si>
    <t>古代学者</t>
  </si>
  <si>
    <t>漫游者</t>
  </si>
  <si>
    <t>欺瞒导师</t>
  </si>
  <si>
    <t>正义导师</t>
  </si>
  <si>
    <t>银骑士</t>
  </si>
  <si>
    <t>洞悉者</t>
  </si>
  <si>
    <t>抬棺人</t>
  </si>
  <si>
    <t>召唤大师</t>
  </si>
  <si>
    <t>混乱猎手</t>
  </si>
  <si>
    <t>狂乱法师</t>
  </si>
  <si>
    <t>不老</t>
  </si>
  <si>
    <t>战争主教</t>
  </si>
  <si>
    <t>奥秘学者</t>
  </si>
  <si>
    <t>混乱行者</t>
  </si>
  <si>
    <t>洞察者</t>
  </si>
  <si>
    <t>天灾</t>
  </si>
  <si>
    <t>死亡执政官</t>
  </si>
  <si>
    <t>秽语长老</t>
  </si>
  <si>
    <t>隐秘之仆</t>
  </si>
  <si>
    <t>古代邪物</t>
  </si>
  <si>
    <t>鲜血大公</t>
  </si>
  <si>
    <t>贤者</t>
  </si>
  <si>
    <t>奇迹师</t>
  </si>
  <si>
    <t>旅法师</t>
  </si>
  <si>
    <t>命运木马</t>
  </si>
  <si>
    <t>逐光者</t>
  </si>
  <si>
    <t>荣耀者</t>
  </si>
  <si>
    <t>智天使</t>
  </si>
  <si>
    <t>荒芜主母</t>
  </si>
  <si>
    <t>创生者</t>
  </si>
  <si>
    <t>平衡者</t>
  </si>
  <si>
    <t>熵之公爵</t>
  </si>
  <si>
    <t>灾难</t>
  </si>
  <si>
    <t>天气术士</t>
  </si>
  <si>
    <t>知识导师</t>
  </si>
  <si>
    <t>先知</t>
  </si>
  <si>
    <t>作家</t>
  </si>
  <si>
    <t>雷神</t>
  </si>
  <si>
    <t>苍白皇帝</t>
  </si>
  <si>
    <t>暗天使</t>
  </si>
  <si>
    <t>厄难骑士</t>
  </si>
  <si>
    <t>神孽</t>
  </si>
  <si>
    <t>污秽君王</t>
  </si>
  <si>
    <t>知识皇帝</t>
  </si>
  <si>
    <t>诡秘侍者</t>
  </si>
  <si>
    <t>星之匙</t>
  </si>
  <si>
    <t>时之虫</t>
  </si>
  <si>
    <t>纯白天使</t>
  </si>
  <si>
    <t>神明之手</t>
  </si>
  <si>
    <t>全知之眼</t>
  </si>
  <si>
    <t>自然行者</t>
  </si>
  <si>
    <t>美神</t>
  </si>
  <si>
    <t>秩序之手</t>
  </si>
  <si>
    <t>弑序亲王</t>
  </si>
  <si>
    <t>末日</t>
  </si>
  <si>
    <t>征服者</t>
  </si>
  <si>
    <t>启蒙者</t>
  </si>
  <si>
    <t>水银之蛇</t>
  </si>
  <si>
    <t>空想家</t>
  </si>
  <si>
    <t>暴君</t>
  </si>
  <si>
    <t>死神</t>
  </si>
  <si>
    <t>倒吊人</t>
  </si>
  <si>
    <t>黑暗</t>
  </si>
  <si>
    <t>被缚者</t>
  </si>
  <si>
    <t>深渊</t>
  </si>
  <si>
    <t>隐者</t>
  </si>
  <si>
    <t>愚者</t>
  </si>
  <si>
    <t>门</t>
  </si>
  <si>
    <t>错误</t>
  </si>
  <si>
    <t>太阳</t>
  </si>
  <si>
    <t>黄昏巨人</t>
  </si>
  <si>
    <t>白塔</t>
  </si>
  <si>
    <t>母亲</t>
  </si>
  <si>
    <t>月亮</t>
  </si>
  <si>
    <t>审判者</t>
  </si>
  <si>
    <t>黑皇帝</t>
  </si>
  <si>
    <t>魔女</t>
  </si>
  <si>
    <t>红祭司</t>
  </si>
  <si>
    <t>完美者</t>
  </si>
  <si>
    <t>命运之轮</t>
  </si>
  <si>
    <t>艺术与手艺</t>
  </si>
  <si>
    <t>科学</t>
  </si>
  <si>
    <t>射击</t>
  </si>
  <si>
    <t>特殊技能</t>
  </si>
  <si>
    <t>技能</t>
  </si>
  <si>
    <t>基础值</t>
  </si>
  <si>
    <t>地质学</t>
  </si>
  <si>
    <t>爆破</t>
  </si>
  <si>
    <t>化学</t>
  </si>
  <si>
    <t>电锯</t>
  </si>
  <si>
    <t>催眠</t>
  </si>
  <si>
    <t>生物学</t>
  </si>
  <si>
    <t>弓术</t>
  </si>
  <si>
    <t>动物驯养</t>
  </si>
  <si>
    <t>伪造文书</t>
  </si>
  <si>
    <t>斧</t>
  </si>
  <si>
    <t>火焰喷射器</t>
  </si>
  <si>
    <t>读唇</t>
  </si>
  <si>
    <t>写作</t>
  </si>
  <si>
    <t>天文学</t>
  </si>
  <si>
    <t>机关枪</t>
  </si>
  <si>
    <t>炮术</t>
  </si>
  <si>
    <t>书法</t>
  </si>
  <si>
    <t>绞索</t>
  </si>
  <si>
    <t>音乐</t>
  </si>
  <si>
    <t>药学</t>
  </si>
  <si>
    <t>链枷</t>
  </si>
  <si>
    <t>重武器</t>
  </si>
  <si>
    <t>厨艺</t>
  </si>
  <si>
    <t>矛</t>
  </si>
  <si>
    <t>动物学</t>
  </si>
  <si>
    <t>理发</t>
  </si>
  <si>
    <t>密码学</t>
  </si>
  <si>
    <t>木匠</t>
  </si>
  <si>
    <t>工程学</t>
  </si>
  <si>
    <t>舞蹈</t>
  </si>
  <si>
    <t>气象学</t>
  </si>
  <si>
    <t>莫里斯舞蹈</t>
  </si>
  <si>
    <t>司法科学</t>
  </si>
  <si>
    <t>歌剧演唱</t>
  </si>
  <si>
    <t>粉刷/油漆工</t>
  </si>
  <si>
    <t>制陶</t>
  </si>
  <si>
    <t>雕塑</t>
  </si>
  <si>
    <t xml:space="preserve">   黑铁纪元 鲁恩</t>
  </si>
  <si>
    <t>生活水平</t>
  </si>
  <si>
    <t>现金</t>
  </si>
  <si>
    <t>其它资产</t>
  </si>
  <si>
    <t>消费水平</t>
  </si>
  <si>
    <t>身无分文</t>
  </si>
  <si>
    <t>0</t>
  </si>
  <si>
    <t>5便士</t>
  </si>
  <si>
    <t>贫穷</t>
  </si>
  <si>
    <t>1-9</t>
  </si>
  <si>
    <t>CR × 1</t>
  </si>
  <si>
    <t>CR × 10</t>
  </si>
  <si>
    <t>20苏勒</t>
  </si>
  <si>
    <t>标准</t>
  </si>
  <si>
    <t>10-49</t>
  </si>
  <si>
    <t>CR × 20</t>
  </si>
  <si>
    <t>2磅10苏勒</t>
  </si>
  <si>
    <t>小康</t>
  </si>
  <si>
    <t>50-89</t>
  </si>
  <si>
    <t>CR × 12</t>
  </si>
  <si>
    <t>CR × 200</t>
  </si>
  <si>
    <t>15</t>
  </si>
  <si>
    <t>富裕</t>
  </si>
  <si>
    <t>90-98</t>
  </si>
  <si>
    <t>CR × 50</t>
  </si>
  <si>
    <t>CR × 500</t>
  </si>
  <si>
    <t>50</t>
  </si>
  <si>
    <t>富豪</t>
  </si>
  <si>
    <t>99</t>
  </si>
  <si>
    <t>150000</t>
  </si>
  <si>
    <t>300000+</t>
  </si>
  <si>
    <t>250</t>
  </si>
  <si>
    <t>12便士=1苏勒；20苏勒=1镑</t>
  </si>
  <si>
    <t>名称</t>
  </si>
  <si>
    <t>利用技能</t>
  </si>
  <si>
    <t>常见时代</t>
  </si>
  <si>
    <t>价格20s/现代($)</t>
  </si>
  <si>
    <t>弓箭</t>
  </si>
  <si>
    <t>1D6+一半DB</t>
  </si>
  <si>
    <t>30码</t>
  </si>
  <si>
    <t>×</t>
  </si>
  <si>
    <t>1</t>
  </si>
  <si>
    <t>97</t>
  </si>
  <si>
    <t>1920s,现代</t>
  </si>
  <si>
    <t>7/75</t>
  </si>
  <si>
    <t>指虎</t>
  </si>
  <si>
    <t>1D3+1+DB</t>
  </si>
  <si>
    <t>接触</t>
  </si>
  <si>
    <t>1/10</t>
  </si>
  <si>
    <t>长鞭</t>
  </si>
  <si>
    <t>1D3+一半DB</t>
  </si>
  <si>
    <t>10步</t>
  </si>
  <si>
    <t>1920s</t>
  </si>
  <si>
    <t>5/50</t>
  </si>
  <si>
    <t>燃烧的火炬</t>
  </si>
  <si>
    <t>1D6+燃烧</t>
  </si>
  <si>
    <t>0.05/0.5</t>
  </si>
  <si>
    <t>包皮铁棍(甩棍、护身短棒)</t>
  </si>
  <si>
    <t>1D8+DB</t>
  </si>
  <si>
    <t>2/15</t>
  </si>
  <si>
    <t>大型棍状物(棒球棍、板球棒、拨火棍等)</t>
  </si>
  <si>
    <t>3/35</t>
  </si>
  <si>
    <t>小型棍状物(警棍等)</t>
  </si>
  <si>
    <t>1D6+DB</t>
  </si>
  <si>
    <t>十字弩</t>
  </si>
  <si>
    <t>1D8+2</t>
  </si>
  <si>
    <t>50码</t>
  </si>
  <si>
    <t>√</t>
  </si>
  <si>
    <t>1/2</t>
  </si>
  <si>
    <t>96</t>
  </si>
  <si>
    <t>10/100</t>
  </si>
  <si>
    <t>绞具</t>
  </si>
  <si>
    <t>0.5/3</t>
  </si>
  <si>
    <t>斧头/镰刀</t>
  </si>
  <si>
    <t>1D6+1+DB</t>
  </si>
  <si>
    <t>3/9</t>
  </si>
  <si>
    <t>大型刀具(大砍刀等)</t>
  </si>
  <si>
    <t>4/50</t>
  </si>
  <si>
    <t>中型刀具(雕刻刀等)</t>
  </si>
  <si>
    <t>1D4+2+DB</t>
  </si>
  <si>
    <t>小型刀具(水果刀等)</t>
  </si>
  <si>
    <t>1D4+DB</t>
  </si>
  <si>
    <t>2/6</t>
  </si>
  <si>
    <t>催泪瓦斯</t>
  </si>
  <si>
    <t>眩晕</t>
  </si>
  <si>
    <t>6步</t>
  </si>
  <si>
    <t>25次</t>
  </si>
  <si>
    <t>95</t>
  </si>
  <si>
    <t>-/10</t>
  </si>
  <si>
    <t>双截棍</t>
  </si>
  <si>
    <t>抛出的石块</t>
  </si>
  <si>
    <t>1D4+一半DB</t>
  </si>
  <si>
    <t>STR步</t>
  </si>
  <si>
    <t>苦无</t>
  </si>
  <si>
    <t>20码</t>
  </si>
  <si>
    <t>2</t>
  </si>
  <si>
    <t>一次性</t>
  </si>
  <si>
    <t>100</t>
  </si>
  <si>
    <t>矛(枪骑兵)</t>
  </si>
  <si>
    <t>1D8+1</t>
  </si>
  <si>
    <t>25/150</t>
  </si>
  <si>
    <t>掷矛</t>
  </si>
  <si>
    <t>1D8+一半DB</t>
  </si>
  <si>
    <t>STR码</t>
  </si>
  <si>
    <t>罕见</t>
  </si>
  <si>
    <t>1/25</t>
  </si>
  <si>
    <t>大型剑(骑兵大剑)</t>
  </si>
  <si>
    <t>1D8+1+DB</t>
  </si>
  <si>
    <t>30/75</t>
  </si>
  <si>
    <t>中型剑(佩剑等)</t>
  </si>
  <si>
    <t>15/100</t>
  </si>
  <si>
    <t>轻剑(击剑、剑仗等)</t>
  </si>
  <si>
    <t>25/100</t>
  </si>
  <si>
    <t>利刃回旋镖</t>
  </si>
  <si>
    <t>1D8+half STR</t>
  </si>
  <si>
    <t>2/4</t>
  </si>
  <si>
    <t>伐木斧</t>
  </si>
  <si>
    <t>1D8+2+DB</t>
  </si>
  <si>
    <t>5/10</t>
  </si>
  <si>
    <t>遂发枪</t>
  </si>
  <si>
    <t>1D6+1</t>
  </si>
  <si>
    <t>10</t>
  </si>
  <si>
    <t>1/4</t>
  </si>
  <si>
    <t>30/300</t>
  </si>
  <si>
    <t>.22 短口自动手枪</t>
  </si>
  <si>
    <t>1D6</t>
  </si>
  <si>
    <t>1(3)</t>
  </si>
  <si>
    <t>6</t>
  </si>
  <si>
    <t>25/190</t>
  </si>
  <si>
    <t>.25 短口手枪 (单管)</t>
  </si>
  <si>
    <t>3</t>
  </si>
  <si>
    <t>12/55</t>
  </si>
  <si>
    <t>.32 or 7.65mm 左轮手枪</t>
  </si>
  <si>
    <t>1D8</t>
  </si>
  <si>
    <t>15/200</t>
  </si>
  <si>
    <t>.38 or 9mm 左轮手枪</t>
  </si>
  <si>
    <t>1D10</t>
  </si>
  <si>
    <t>25/200</t>
  </si>
  <si>
    <t>鲁格P08</t>
  </si>
  <si>
    <t>8</t>
  </si>
  <si>
    <t>75/600</t>
  </si>
  <si>
    <t>.41 左轮手枪</t>
  </si>
  <si>
    <t>1920s,罕见</t>
  </si>
  <si>
    <t>30/-</t>
  </si>
  <si>
    <t>.45 左轮手枪</t>
  </si>
  <si>
    <t>1D10+2</t>
  </si>
  <si>
    <t>.58 斯普林菲尔德步枪</t>
  </si>
  <si>
    <t>1D10+4</t>
  </si>
  <si>
    <t>60</t>
  </si>
  <si>
    <t>25/350</t>
  </si>
  <si>
    <t>.22 杠杆式枪机步枪</t>
  </si>
  <si>
    <t>30</t>
  </si>
  <si>
    <t>13/70</t>
  </si>
  <si>
    <t>.30 卡宾枪</t>
  </si>
  <si>
    <t>2D6</t>
  </si>
  <si>
    <t>98</t>
  </si>
  <si>
    <t>19/150</t>
  </si>
  <si>
    <t>.45 马提尼·亨利步枪</t>
  </si>
  <si>
    <t>1D8+1D6+3</t>
  </si>
  <si>
    <t>80</t>
  </si>
  <si>
    <t>1/3</t>
  </si>
  <si>
    <t>20/200</t>
  </si>
  <si>
    <t>莫兰上校的气动步枪</t>
  </si>
  <si>
    <t>2D6+1</t>
  </si>
  <si>
    <t>20</t>
  </si>
  <si>
    <t>88</t>
  </si>
  <si>
    <t>200</t>
  </si>
  <si>
    <t>高压蒸汽步枪</t>
  </si>
  <si>
    <t>1D10+1D6+3</t>
  </si>
  <si>
    <t>90</t>
  </si>
  <si>
    <t>5</t>
  </si>
  <si>
    <t>.303 (7.7mm) 李恩菲尔德</t>
  </si>
  <si>
    <t>2D6+4</t>
  </si>
  <si>
    <t>110</t>
  </si>
  <si>
    <t>50/300</t>
  </si>
  <si>
    <t>.30-06 (7.62mm) 栓式枪机步枪</t>
  </si>
  <si>
    <t>75/175</t>
  </si>
  <si>
    <t>猎象枪(双管)</t>
  </si>
  <si>
    <t>3D6+4</t>
  </si>
  <si>
    <t>1 or 2</t>
  </si>
  <si>
    <t>400/1800</t>
  </si>
  <si>
    <t>20号霰弹枪(双管)</t>
  </si>
  <si>
    <t>2D6/1D6/1D3</t>
  </si>
  <si>
    <t>10/20/50</t>
  </si>
  <si>
    <t>35/稀有</t>
  </si>
  <si>
    <t>16号霰弹枪(双管)</t>
  </si>
  <si>
    <t>2D6+2/1D6+1/1D4</t>
  </si>
  <si>
    <t>40/稀有</t>
  </si>
  <si>
    <t>12号霰弹枪(双管)</t>
  </si>
  <si>
    <t>4D6/2D6/1D6</t>
  </si>
  <si>
    <t>40/200</t>
  </si>
  <si>
    <t>削短12号双管霰弹枪</t>
  </si>
  <si>
    <t>4D6/1D6</t>
  </si>
  <si>
    <t>N/A</t>
  </si>
  <si>
    <t>10号霰弹枪(双管)</t>
  </si>
  <si>
    <t>4D6+2/2D6+1/1D4</t>
  </si>
  <si>
    <t>1920s罕见</t>
  </si>
  <si>
    <t>稀有</t>
  </si>
  <si>
    <t>燃烧瓶</t>
  </si>
  <si>
    <t>2D6+燃烧</t>
  </si>
  <si>
    <t>信号枪</t>
  </si>
  <si>
    <t>1D10+1D3+燃烧</t>
  </si>
  <si>
    <t>15/75</t>
  </si>
  <si>
    <t>土制炸药</t>
  </si>
  <si>
    <t>4D10/3码</t>
  </si>
  <si>
    <t>2/5</t>
  </si>
  <si>
    <t>雷管</t>
  </si>
  <si>
    <t>电器维修</t>
  </si>
  <si>
    <t>2D10/1码</t>
  </si>
  <si>
    <t>20/box</t>
  </si>
  <si>
    <t>管状炸弹</t>
  </si>
  <si>
    <t>1D10/3码</t>
  </si>
  <si>
    <t>布置</t>
  </si>
  <si>
    <t>一次使用</t>
  </si>
  <si>
    <t>75mm野战炮</t>
  </si>
  <si>
    <t>10D10/2码</t>
  </si>
  <si>
    <t>500码</t>
  </si>
  <si>
    <t>独立</t>
  </si>
  <si>
    <t>1500</t>
  </si>
  <si>
    <t>反步兵地雷</t>
  </si>
  <si>
    <t>4D10/5码</t>
  </si>
  <si>
    <t>25码</t>
  </si>
  <si>
    <t>至少10</t>
  </si>
  <si>
    <t>93</t>
  </si>
  <si>
    <t>属性</t>
  </si>
  <si>
    <t>默认幸运</t>
  </si>
  <si>
    <t>您的角色可能</t>
  </si>
  <si>
    <t>力量
STR</t>
  </si>
  <si>
    <t>敏捷
DEX</t>
  </si>
  <si>
    <t>意志
POW</t>
  </si>
  <si>
    <t>体质
CON</t>
  </si>
  <si>
    <t>外貌
APP</t>
  </si>
  <si>
    <t>教育
EDU</t>
  </si>
  <si>
    <t>幸运#2</t>
  </si>
  <si>
    <t>体型
SIZ</t>
  </si>
  <si>
    <t>智力
INT</t>
  </si>
  <si>
    <t>按[F9]刷新。移动设备选择[菜单]-[公式]-[开始计算]。</t>
  </si>
  <si>
    <t>多面骰</t>
  </si>
  <si>
    <t>D2</t>
  </si>
  <si>
    <t>D4</t>
  </si>
  <si>
    <t>D6</t>
  </si>
  <si>
    <t>D8</t>
  </si>
  <si>
    <t>D10</t>
  </si>
  <si>
    <t>D20</t>
  </si>
  <si>
    <t>D100</t>
  </si>
  <si>
    <t>之前版本更新不做说明</t>
  </si>
  <si>
    <t>v2.2.0：</t>
  </si>
  <si>
    <t>删除了所有自动类枪械、只有现代才有的枪械；</t>
  </si>
  <si>
    <t>新增了序列8和序列9的人物属性自动计算；</t>
  </si>
  <si>
    <t>新增了序列8的技能点自动计算；</t>
  </si>
  <si>
    <t>新增了规则书v2.0版中出现的所有非凡技能；</t>
  </si>
  <si>
    <t>新增了加成后属性表格中的“检定数值”以方便计算；</t>
  </si>
  <si>
    <t>删除了计算机使用、电子维修、克苏鲁神话；</t>
  </si>
  <si>
    <t>汽车驾驶更改为马车驾驶，初始值调整为10；</t>
  </si>
  <si>
    <t>骑术初始值更改为1。</t>
  </si>
  <si>
    <t>v2.2.1:</t>
  </si>
  <si>
    <t>修复了序列8技能点计算问题的bug；</t>
  </si>
  <si>
    <t>修正了人物卡页面非凡技能点计算时的问题。</t>
  </si>
  <si>
    <t>v2.2.2:</t>
  </si>
  <si>
    <t>修复了兴趣点计算问题；</t>
  </si>
  <si>
    <t>修复了武器选择后不会自动对应技能的问题。</t>
  </si>
  <si>
    <t>2.2.2版更新by莉莉希尔</t>
  </si>
  <si>
    <t>v2.2.3:</t>
  </si>
  <si>
    <t>序列名更新至第7卷81章；</t>
  </si>
  <si>
    <t>将所有非凡技能单独列出一个表格，每个序列拥有的技能将自动填写。</t>
  </si>
  <si>
    <t>v2.2.3版更新byMrGTM&amp;莉莉希尔</t>
  </si>
  <si>
    <t>v3.0：</t>
  </si>
  <si>
    <t>非凡技能重新并回技能表；</t>
  </si>
  <si>
    <t>人物卡页面格式修正；</t>
  </si>
  <si>
    <t>人物卡页面新增了塔骰指令输入；</t>
  </si>
  <si>
    <t>当角色的序列技能中出现与普通职业通用的技能时，技能前会显示为●。</t>
  </si>
  <si>
    <t>by莉莉希尔</t>
  </si>
  <si>
    <t>新增了序列7的人物属性和技能点计算；</t>
  </si>
  <si>
    <t>新增了规则书v3.0版中出现的所有非凡技能；</t>
  </si>
  <si>
    <t>修改了部分序列的属性和技能点计算；</t>
  </si>
  <si>
    <t>新增了非凡技能的灵性消耗；</t>
  </si>
  <si>
    <t>人物卡页面的克苏鲁神话表格修改为特殊设定表格；</t>
  </si>
  <si>
    <t>现在会显示本序列没有但是有初始值的角色非凡技能，其灵性消耗为最大值；</t>
  </si>
  <si>
    <t>各序列技能计算和人物卡加成后属性工作单中解锁灵性现在会自动填写。</t>
  </si>
  <si>
    <t>byMrGTM</t>
  </si>
  <si>
    <t>v3.2:</t>
  </si>
  <si>
    <t>新增了魔药序号0，为普通人。现诡秘模组普通人也可用本卡。</t>
  </si>
  <si>
    <t>v4.0：</t>
  </si>
  <si>
    <t>将序列技能点、序列加成、灵性消耗、技能初始值修改为LOM4.0版数据。</t>
  </si>
  <si>
    <t>v4.1：</t>
  </si>
  <si>
    <t>修复审讯官序列非凡技能不显示的问题。</t>
  </si>
  <si>
    <t>v4.2：</t>
  </si>
  <si>
    <t>怪物途径技能修正；</t>
  </si>
  <si>
    <t>修正了魔药序号选择普通人时体力、理智、闪避等技能不计算的问题。</t>
  </si>
  <si>
    <t>Special Thanks:</t>
  </si>
  <si>
    <t>感谢楚无音同学付出的体力劳动</t>
  </si>
  <si>
    <t>STR+SIZ</t>
  </si>
  <si>
    <t>DB</t>
  </si>
  <si>
    <t>Build</t>
  </si>
  <si>
    <t>MOV减值</t>
  </si>
  <si>
    <t>+1D4</t>
  </si>
  <si>
    <t>+1D6</t>
  </si>
  <si>
    <t>+2D6</t>
  </si>
  <si>
    <t>+3D6</t>
  </si>
  <si>
    <t>判断MOV（加成后）</t>
  </si>
  <si>
    <t>判断MOV（加成前）</t>
  </si>
  <si>
    <t>+4D6</t>
  </si>
  <si>
    <t>+5D6</t>
  </si>
  <si>
    <t>+6D6</t>
  </si>
  <si>
    <t>+7D6</t>
  </si>
  <si>
    <t>STR&gt;SIZ?</t>
  </si>
  <si>
    <t>+8D6</t>
  </si>
  <si>
    <t>DEX&gt;SIZ?</t>
  </si>
  <si>
    <t>+9D6</t>
  </si>
  <si>
    <t>STR=SIZ?</t>
  </si>
  <si>
    <t>+10D6</t>
  </si>
  <si>
    <t>DEX=SIZ?</t>
  </si>
  <si>
    <t>+11D6</t>
  </si>
  <si>
    <t>STR&lt;SIZ?</t>
  </si>
  <si>
    <t>+12D6</t>
  </si>
  <si>
    <t>DEX&lt;SIZ?</t>
  </si>
  <si>
    <t>+13D6</t>
  </si>
  <si>
    <t>二者皆&lt;体</t>
  </si>
  <si>
    <t>+14D6</t>
  </si>
  <si>
    <t>二者皆&gt;体</t>
  </si>
  <si>
    <t>+15D6</t>
  </si>
  <si>
    <t>三者相等</t>
  </si>
  <si>
    <t>+16D6</t>
  </si>
  <si>
    <t>一者＞体</t>
  </si>
  <si>
    <t>+17D6</t>
  </si>
  <si>
    <t>MOV=7？</t>
  </si>
  <si>
    <t>+18D6</t>
  </si>
  <si>
    <t>+19D6</t>
  </si>
  <si>
    <t>MOV=9？</t>
  </si>
  <si>
    <t>+20D6</t>
  </si>
  <si>
    <t>MOV=8？</t>
  </si>
  <si>
    <t>+21D6</t>
  </si>
  <si>
    <t>最终结果</t>
  </si>
  <si>
    <t>+22D6</t>
  </si>
  <si>
    <t>+23D6</t>
  </si>
  <si>
    <t>+24D6</t>
  </si>
  <si>
    <t>+25D6</t>
  </si>
  <si>
    <t>+26D6</t>
  </si>
  <si>
    <t>智力/灵感</t>
  </si>
  <si>
    <t>序列名</t>
  </si>
  <si>
    <t>非凡技能点</t>
  </si>
  <si>
    <t>技能点演算</t>
  </si>
  <si>
    <t>加权</t>
  </si>
  <si>
    <t>极值</t>
  </si>
  <si>
    <t>INT*6</t>
  </si>
  <si>
    <t>[55,65]</t>
  </si>
  <si>
    <t>STR*4+DEX*3</t>
  </si>
  <si>
    <t>[65,80]</t>
  </si>
  <si>
    <t>[50,60]</t>
  </si>
  <si>
    <t>CON*2+STR*3</t>
  </si>
  <si>
    <t>SPI*2+POW*3</t>
  </si>
  <si>
    <t>[45,60]</t>
  </si>
  <si>
    <t>[70,85]</t>
  </si>
  <si>
    <t>INT*2+STR*3</t>
  </si>
  <si>
    <t>[60,75]</t>
  </si>
  <si>
    <t>(STR+CON+INT)*2</t>
  </si>
  <si>
    <t>[55,75]</t>
  </si>
  <si>
    <t>[65,75]</t>
  </si>
  <si>
    <t>SPI*6</t>
  </si>
  <si>
    <t>POW*2+SPI*3</t>
  </si>
  <si>
    <t>[40,65]</t>
  </si>
  <si>
    <t>DEX*4+CON*2</t>
  </si>
  <si>
    <t>[60,70]</t>
  </si>
  <si>
    <t>SPI*5</t>
  </si>
  <si>
    <t>STR*5+DEX</t>
  </si>
  <si>
    <t>[50,65]</t>
  </si>
  <si>
    <t>EDU*2+INT*3</t>
  </si>
  <si>
    <t>STR*4+CON*2</t>
  </si>
  <si>
    <t>INT*2+CON*4</t>
  </si>
  <si>
    <t>[70,80]</t>
  </si>
  <si>
    <t>STR*2+SPI*3</t>
  </si>
  <si>
    <t>[55,70]</t>
  </si>
  <si>
    <t>EDU*4+INT*3</t>
  </si>
  <si>
    <t>DEX*8</t>
  </si>
  <si>
    <t>DEX*3+STR*3</t>
  </si>
  <si>
    <t>EDU*4+INT*4</t>
  </si>
  <si>
    <t>SPI*4</t>
  </si>
  <si>
    <t>[70,100]</t>
  </si>
  <si>
    <t>INT*2</t>
  </si>
  <si>
    <t>STR+DEX</t>
  </si>
  <si>
    <t>[70,90]</t>
  </si>
  <si>
    <t>CON+DEX</t>
  </si>
  <si>
    <t>[65,85]</t>
  </si>
  <si>
    <t>[40,55]</t>
  </si>
  <si>
    <t>INT+DEX</t>
  </si>
  <si>
    <t>POW+CON</t>
  </si>
  <si>
    <t>[60,80]</t>
  </si>
  <si>
    <t>CON+POW</t>
  </si>
  <si>
    <t>[135,150]</t>
  </si>
  <si>
    <t>(STR+INT)*2+CON</t>
  </si>
  <si>
    <t>DEX*1</t>
  </si>
  <si>
    <t>[75,90]</t>
  </si>
  <si>
    <t>SPI*0.4+POW</t>
  </si>
  <si>
    <t>[45,70]</t>
  </si>
  <si>
    <t>[170,185]</t>
  </si>
  <si>
    <t>APP+INT*2</t>
  </si>
  <si>
    <t>SPI*0.4</t>
  </si>
  <si>
    <t>[170,180]</t>
  </si>
  <si>
    <t>INT*3</t>
  </si>
  <si>
    <t>SPI*2+CON*2</t>
  </si>
  <si>
    <t>[75,100]</t>
  </si>
  <si>
    <t>CON*3</t>
  </si>
  <si>
    <t>STR*2+CON</t>
  </si>
  <si>
    <t>STR+CON</t>
  </si>
  <si>
    <t>DEX+STR</t>
  </si>
  <si>
    <t>STR*2+DEX</t>
  </si>
  <si>
    <t>DEX*2+CON</t>
  </si>
  <si>
    <t>STR*2+DEX*2</t>
  </si>
  <si>
    <t>[75,95]</t>
  </si>
  <si>
    <t>[60,90]</t>
  </si>
  <si>
    <t>[230,275]</t>
  </si>
  <si>
    <t>[260,285]</t>
  </si>
  <si>
    <t>[75,85]</t>
  </si>
  <si>
    <t>STR+POW+CON</t>
  </si>
  <si>
    <t>[70,95]</t>
  </si>
  <si>
    <t>SPI*0.4+INT</t>
  </si>
  <si>
    <t>[210,230]</t>
  </si>
  <si>
    <t>DEX*3</t>
  </si>
  <si>
    <t>[80,100]</t>
  </si>
  <si>
    <t>[50,75]</t>
  </si>
  <si>
    <t>[325,345]</t>
  </si>
  <si>
    <t>INT+SPI*0.8</t>
  </si>
  <si>
    <t>[140,185]</t>
  </si>
  <si>
    <t>SPI*0.6</t>
  </si>
  <si>
    <t>[320,340]</t>
  </si>
  <si>
    <t>[60,85]</t>
  </si>
  <si>
    <t>[80,110]</t>
  </si>
  <si>
    <t>SPI*0.6+CON</t>
  </si>
  <si>
    <t>[145,190]</t>
  </si>
  <si>
    <t>STR+SPI*0.8</t>
  </si>
  <si>
    <t>[170,190]</t>
  </si>
  <si>
    <t>STR+INT</t>
  </si>
  <si>
    <t>APP+SPI*0.6</t>
  </si>
  <si>
    <t>[210,240]</t>
  </si>
  <si>
    <t>SPI*1.2</t>
  </si>
  <si>
    <t>[125,140]</t>
  </si>
  <si>
    <t>INT+EDU</t>
  </si>
  <si>
    <t>幸运儿</t>
  </si>
  <si>
    <t>[320,360]</t>
  </si>
  <si>
    <t>序列</t>
  </si>
  <si>
    <t>初始值</t>
  </si>
  <si>
    <t>黑暗视觉</t>
  </si>
  <si>
    <t>灵视</t>
  </si>
  <si>
    <t>倾听</t>
  </si>
  <si>
    <t>格斗专精任一</t>
  </si>
  <si>
    <t>射击专精任一</t>
  </si>
  <si>
    <t>肌肉控制</t>
  </si>
  <si>
    <t>科学（任二）</t>
  </si>
  <si>
    <t>生存</t>
  </si>
  <si>
    <t>鉴定</t>
  </si>
  <si>
    <t>斗殴或格斗专精任一或射击专精任一</t>
  </si>
  <si>
    <t>挑衅</t>
  </si>
  <si>
    <t>火系法术</t>
  </si>
  <si>
    <t>阴谋</t>
  </si>
  <si>
    <t>信仰之跃</t>
  </si>
  <si>
    <t>鹰眼</t>
  </si>
  <si>
    <t>致命一击</t>
  </si>
  <si>
    <t>教唆</t>
  </si>
  <si>
    <t>黑魔法</t>
  </si>
  <si>
    <t>黑炎</t>
  </si>
  <si>
    <t>冰霜</t>
  </si>
  <si>
    <t>替身</t>
  </si>
  <si>
    <t>贿赂</t>
  </si>
  <si>
    <t>裁决</t>
  </si>
  <si>
    <t>领地</t>
  </si>
  <si>
    <t>威慑</t>
  </si>
  <si>
    <t>侧写</t>
  </si>
  <si>
    <t>审讯</t>
  </si>
  <si>
    <t>精神穿刺</t>
  </si>
  <si>
    <t>驯兽</t>
  </si>
  <si>
    <t>动物感官</t>
  </si>
  <si>
    <t>腐蚀之爪</t>
  </si>
  <si>
    <t>黑暗类法术</t>
  </si>
  <si>
    <t>治疗光环</t>
  </si>
  <si>
    <t>灵魂手术</t>
  </si>
  <si>
    <t>植物操纵</t>
  </si>
  <si>
    <t>推理</t>
  </si>
  <si>
    <t>守知</t>
  </si>
  <si>
    <t>格斗专精（任二）</t>
  </si>
  <si>
    <t>角斗</t>
  </si>
  <si>
    <t>武器专精</t>
  </si>
  <si>
    <t>歌颂</t>
  </si>
  <si>
    <t>类神术</t>
  </si>
  <si>
    <t>太阳神术</t>
  </si>
  <si>
    <t>魔术</t>
  </si>
  <si>
    <t>解密</t>
  </si>
  <si>
    <t>开门</t>
  </si>
  <si>
    <t>戏法</t>
  </si>
  <si>
    <t>纸人替身</t>
  </si>
  <si>
    <t>火焰跳跃</t>
  </si>
  <si>
    <t>伤害转移</t>
  </si>
  <si>
    <t>空气弹</t>
  </si>
  <si>
    <t>科学（任一）</t>
  </si>
  <si>
    <t>窥密之眼</t>
  </si>
  <si>
    <t>巫术</t>
  </si>
  <si>
    <t>格斗专精（任一）</t>
  </si>
  <si>
    <t>射击专精（任一）</t>
  </si>
  <si>
    <t>恶魔类法术</t>
  </si>
  <si>
    <t>连环杀人</t>
  </si>
  <si>
    <t>痕迹处理</t>
  </si>
  <si>
    <t>犯罪技巧</t>
  </si>
  <si>
    <t>囚笼</t>
  </si>
  <si>
    <t>狂欢</t>
  </si>
  <si>
    <t>狼人化</t>
  </si>
  <si>
    <t>黑暗法术</t>
  </si>
  <si>
    <t>吟咏</t>
  </si>
  <si>
    <t>入梦</t>
  </si>
  <si>
    <t>隐居</t>
  </si>
  <si>
    <t>死亡之眼</t>
  </si>
  <si>
    <t>通灵</t>
  </si>
  <si>
    <t>驾驶船只</t>
  </si>
  <si>
    <t>幻鳞</t>
  </si>
  <si>
    <t>暴怒</t>
  </si>
  <si>
    <t>水系类法术</t>
  </si>
  <si>
    <t>风系法术</t>
  </si>
  <si>
    <t>暗示</t>
  </si>
  <si>
    <t>读心</t>
  </si>
  <si>
    <t>狂乱</t>
  </si>
  <si>
    <t>震慑</t>
  </si>
  <si>
    <t>技能灵性消耗</t>
  </si>
  <si>
    <t>/人</t>
  </si>
  <si>
    <t>侦查</t>
  </si>
  <si>
    <t>150，5/d</t>
  </si>
  <si>
    <t>各序列解锁灵性上限</t>
  </si>
</sst>
</file>

<file path=xl/styles.xml><?xml version="1.0" encoding="utf-8"?>
<styleSheet xmlns="http://schemas.openxmlformats.org/spreadsheetml/2006/main">
  <numFmts count="8">
    <numFmt numFmtId="43" formatCode="_ * #,##0.00_ ;_ * \-#,##0.00_ ;_ * &quot;-&quot;??_ ;_ @_ "/>
    <numFmt numFmtId="176" formatCode="0_ "/>
    <numFmt numFmtId="42" formatCode="_ &quot;￥&quot;* #,##0_ ;_ &quot;￥&quot;* \-#,##0_ ;_ &quot;￥&quot;* &quot;-&quot;_ ;_ @_ "/>
    <numFmt numFmtId="44" formatCode="_ &quot;￥&quot;* #,##0.00_ ;_ &quot;￥&quot;* \-#,##0.00_ ;_ &quot;￥&quot;* &quot;-&quot;??_ ;_ @_ "/>
    <numFmt numFmtId="177" formatCode="\/0_ "/>
    <numFmt numFmtId="41" formatCode="_ * #,##0_ ;_ * \-#,##0_ ;_ * &quot;-&quot;_ ;_ @_ "/>
    <numFmt numFmtId="178" formatCode="\+0;\-0;&quot;±&quot;0"/>
    <numFmt numFmtId="179" formatCode="0_);[Red]\(0\)"/>
  </numFmts>
  <fonts count="55">
    <font>
      <sz val="11"/>
      <name val="等线"/>
      <charset val="134"/>
    </font>
    <font>
      <sz val="11"/>
      <color rgb="FF000000"/>
      <name val="微软雅黑"/>
      <charset val="134"/>
    </font>
    <font>
      <sz val="11"/>
      <color rgb="FFC00000"/>
      <name val="微软雅黑"/>
      <charset val="134"/>
    </font>
    <font>
      <sz val="11"/>
      <color indexed="8"/>
      <name val="微软雅黑"/>
      <charset val="134"/>
    </font>
    <font>
      <sz val="11"/>
      <color rgb="FFBF0000"/>
      <name val="微软雅黑"/>
      <charset val="134"/>
    </font>
    <font>
      <sz val="11"/>
      <color indexed="8"/>
      <name val="宋体"/>
      <charset val="134"/>
    </font>
    <font>
      <sz val="11"/>
      <color rgb="FFFF0000"/>
      <name val="宋体"/>
      <charset val="134"/>
    </font>
    <font>
      <sz val="11"/>
      <name val="宋体"/>
      <charset val="134"/>
    </font>
    <font>
      <sz val="11"/>
      <color rgb="FF36363D"/>
      <name val="宋体"/>
      <charset val="134"/>
    </font>
    <font>
      <sz val="11"/>
      <color rgb="FF000000"/>
      <name val="等线"/>
      <charset val="134"/>
    </font>
    <font>
      <b/>
      <sz val="16"/>
      <color rgb="FFFF0000"/>
      <name val="等线"/>
      <charset val="134"/>
    </font>
    <font>
      <sz val="14"/>
      <color rgb="FF000000"/>
      <name val="等线"/>
      <charset val="134"/>
    </font>
    <font>
      <sz val="12"/>
      <color rgb="FF000000"/>
      <name val="微软雅黑 Light"/>
      <charset val="134"/>
    </font>
    <font>
      <sz val="12"/>
      <color rgb="FFFFFFFF"/>
      <name val="微软雅黑 Light"/>
      <charset val="134"/>
    </font>
    <font>
      <sz val="10"/>
      <color rgb="FF000000"/>
      <name val="微软雅黑"/>
      <charset val="134"/>
    </font>
    <font>
      <sz val="11"/>
      <color rgb="FFFFFFFF"/>
      <name val="微软雅黑"/>
      <charset val="134"/>
    </font>
    <font>
      <sz val="8"/>
      <color rgb="FF000000"/>
      <name val="微软雅黑 Light"/>
      <charset val="134"/>
    </font>
    <font>
      <b/>
      <sz val="8"/>
      <color rgb="FF000000"/>
      <name val="微软雅黑 Light"/>
      <charset val="134"/>
    </font>
    <font>
      <sz val="11"/>
      <name val="微软雅黑"/>
      <charset val="134"/>
    </font>
    <font>
      <sz val="11"/>
      <color rgb="FF000000"/>
      <name val="微软雅黑 Light"/>
      <charset val="134"/>
    </font>
    <font>
      <sz val="11"/>
      <color rgb="FFFFFFFF"/>
      <name val="微软雅黑 Light"/>
      <charset val="134"/>
    </font>
    <font>
      <sz val="11"/>
      <color rgb="FFC00000"/>
      <name val="微软雅黑 Light"/>
      <charset val="134"/>
    </font>
    <font>
      <sz val="10"/>
      <color rgb="FFFFFFFF"/>
      <name val="微软雅黑"/>
      <charset val="134"/>
    </font>
    <font>
      <sz val="8"/>
      <color rgb="FF000000"/>
      <name val="微软雅黑"/>
      <charset val="134"/>
    </font>
    <font>
      <sz val="10"/>
      <color rgb="FFBFBFBF"/>
      <name val="微软雅黑"/>
      <charset val="134"/>
    </font>
    <font>
      <sz val="9"/>
      <color rgb="FF000000"/>
      <name val="微软雅黑"/>
      <charset val="134"/>
    </font>
    <font>
      <sz val="9"/>
      <color rgb="FF7F7F7F"/>
      <name val="微软雅黑"/>
      <charset val="134"/>
    </font>
    <font>
      <sz val="10"/>
      <color rgb="FF000000"/>
      <name val="宋体"/>
      <charset val="134"/>
    </font>
    <font>
      <sz val="10"/>
      <name val="微软雅黑"/>
      <charset val="134"/>
    </font>
    <font>
      <sz val="9"/>
      <name val="微软雅黑"/>
      <charset val="134"/>
    </font>
    <font>
      <sz val="10"/>
      <color rgb="FF000000"/>
      <name val="等线"/>
      <charset val="134"/>
    </font>
    <font>
      <sz val="10"/>
      <color theme="0"/>
      <name val="微软雅黑"/>
      <charset val="134"/>
    </font>
    <font>
      <sz val="10"/>
      <color rgb="FF7F7F7F"/>
      <name val="微软雅黑"/>
      <charset val="134"/>
    </font>
    <font>
      <sz val="11"/>
      <color theme="0"/>
      <name val="等线"/>
      <charset val="0"/>
      <scheme val="minor"/>
    </font>
    <font>
      <b/>
      <sz val="11"/>
      <color rgb="FF3F3F3F"/>
      <name val="等线"/>
      <charset val="0"/>
      <scheme val="minor"/>
    </font>
    <font>
      <sz val="11"/>
      <color rgb="FFFF0000"/>
      <name val="等线"/>
      <charset val="0"/>
      <scheme val="minor"/>
    </font>
    <font>
      <sz val="11"/>
      <color theme="1"/>
      <name val="等线"/>
      <charset val="134"/>
      <scheme val="minor"/>
    </font>
    <font>
      <sz val="11"/>
      <color theme="1"/>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FFFFFF"/>
      <name val="等线"/>
      <charset val="0"/>
      <scheme val="minor"/>
    </font>
    <font>
      <i/>
      <sz val="11"/>
      <color rgb="FF7F7F7F"/>
      <name val="等线"/>
      <charset val="0"/>
      <scheme val="minor"/>
    </font>
    <font>
      <sz val="11"/>
      <color rgb="FFFA7D00"/>
      <name val="等线"/>
      <charset val="0"/>
      <scheme val="minor"/>
    </font>
    <font>
      <b/>
      <sz val="15"/>
      <color theme="3"/>
      <name val="等线"/>
      <charset val="134"/>
      <scheme val="minor"/>
    </font>
    <font>
      <b/>
      <sz val="11"/>
      <color rgb="FFFA7D00"/>
      <name val="等线"/>
      <charset val="0"/>
      <scheme val="minor"/>
    </font>
    <font>
      <b/>
      <sz val="18"/>
      <color theme="3"/>
      <name val="等线"/>
      <charset val="134"/>
      <scheme val="minor"/>
    </font>
    <font>
      <sz val="11"/>
      <color rgb="FF9C6500"/>
      <name val="等线"/>
      <charset val="0"/>
      <scheme val="minor"/>
    </font>
    <font>
      <sz val="11"/>
      <color rgb="FF3F3F76"/>
      <name val="等线"/>
      <charset val="0"/>
      <scheme val="minor"/>
    </font>
    <font>
      <b/>
      <sz val="11"/>
      <color theme="1"/>
      <name val="等线"/>
      <charset val="0"/>
      <scheme val="minor"/>
    </font>
    <font>
      <b/>
      <sz val="13"/>
      <color theme="3"/>
      <name val="等线"/>
      <charset val="134"/>
      <scheme val="minor"/>
    </font>
    <font>
      <sz val="11"/>
      <color rgb="FF006100"/>
      <name val="等线"/>
      <charset val="0"/>
      <scheme val="minor"/>
    </font>
    <font>
      <u/>
      <sz val="11"/>
      <color rgb="FF0000FF"/>
      <name val="等线"/>
      <charset val="0"/>
      <scheme val="minor"/>
    </font>
    <font>
      <b/>
      <sz val="11"/>
      <color rgb="FFFF0000"/>
      <name val="微软雅黑 Light"/>
      <charset val="134"/>
    </font>
    <font>
      <sz val="10"/>
      <color rgb="FF000000"/>
      <name val="微软雅黑 Light"/>
      <charset val="134"/>
    </font>
  </fonts>
  <fills count="43">
    <fill>
      <patternFill patternType="none"/>
    </fill>
    <fill>
      <patternFill patternType="gray125"/>
    </fill>
    <fill>
      <patternFill patternType="solid">
        <fgColor rgb="FFDEEBF6"/>
        <bgColor indexed="64"/>
      </patternFill>
    </fill>
    <fill>
      <patternFill patternType="solid">
        <fgColor rgb="FF3A3838"/>
        <bgColor indexed="64"/>
      </patternFill>
    </fill>
    <fill>
      <patternFill patternType="solid">
        <fgColor rgb="FF5C9BD5"/>
        <bgColor indexed="64"/>
      </patternFill>
    </fill>
    <fill>
      <patternFill patternType="solid">
        <fgColor rgb="FFDEEAF6"/>
        <bgColor indexed="64"/>
      </patternFill>
    </fill>
    <fill>
      <patternFill patternType="solid">
        <fgColor rgb="FFBED7EE"/>
        <bgColor indexed="64"/>
      </patternFill>
    </fill>
    <fill>
      <patternFill patternType="solid">
        <fgColor rgb="FF5C9BD5"/>
        <bgColor rgb="FF5C9BD5"/>
      </patternFill>
    </fill>
    <fill>
      <patternFill patternType="solid">
        <fgColor rgb="FF9DC3E5"/>
        <bgColor indexed="64"/>
      </patternFill>
    </fill>
    <fill>
      <patternFill patternType="solid">
        <fgColor rgb="FF9DC2E5"/>
        <bgColor indexed="64"/>
      </patternFill>
    </fill>
    <fill>
      <patternFill patternType="solid">
        <fgColor rgb="FFFFFFFF"/>
        <bgColor indexed="64"/>
      </patternFill>
    </fill>
    <fill>
      <patternFill patternType="solid">
        <fgColor rgb="FF4473C4"/>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7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medium">
        <color auto="1"/>
      </right>
      <top style="thick">
        <color auto="1"/>
      </top>
      <bottom style="thick">
        <color auto="1"/>
      </bottom>
      <diagonal/>
    </border>
    <border>
      <left style="medium">
        <color auto="1"/>
      </left>
      <right style="medium">
        <color auto="1"/>
      </right>
      <top style="thick">
        <color auto="1"/>
      </top>
      <bottom style="thick">
        <color auto="1"/>
      </bottom>
      <diagonal/>
    </border>
    <border>
      <left style="thick">
        <color auto="1"/>
      </left>
      <right style="thin">
        <color auto="1"/>
      </right>
      <top style="thick">
        <color auto="1"/>
      </top>
      <bottom style="thick">
        <color auto="1"/>
      </bottom>
      <diagonal/>
    </border>
    <border>
      <left/>
      <right style="thin">
        <color auto="1"/>
      </right>
      <top style="thick">
        <color auto="1"/>
      </top>
      <bottom style="thick">
        <color auto="1"/>
      </bottom>
      <diagonal/>
    </border>
    <border>
      <left style="thin">
        <color auto="1"/>
      </left>
      <right style="medium">
        <color auto="1"/>
      </right>
      <top style="thick">
        <color auto="1"/>
      </top>
      <bottom style="thick">
        <color auto="1"/>
      </bottom>
      <diagonal/>
    </border>
    <border>
      <left/>
      <right/>
      <top/>
      <bottom style="thick">
        <color auto="1"/>
      </bottom>
      <diagonal/>
    </border>
    <border>
      <left style="medium">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medium">
        <color auto="1"/>
      </right>
      <top/>
      <bottom style="thick">
        <color auto="1"/>
      </bottom>
      <diagonal/>
    </border>
    <border>
      <left/>
      <right style="thin">
        <color auto="1"/>
      </right>
      <top/>
      <bottom style="thick">
        <color auto="1"/>
      </bottom>
      <diagonal/>
    </border>
    <border>
      <left style="thick">
        <color auto="1"/>
      </left>
      <right style="thin">
        <color auto="1"/>
      </right>
      <top/>
      <bottom style="thick">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ck">
        <color auto="1"/>
      </left>
      <right style="thin">
        <color auto="1"/>
      </right>
      <top style="thin">
        <color auto="1"/>
      </top>
      <bottom style="thick">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style="thin">
        <color auto="1"/>
      </left>
      <right/>
      <top style="thin">
        <color auto="1"/>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medium">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n">
        <color auto="1"/>
      </left>
      <right style="thick">
        <color auto="1"/>
      </right>
      <top/>
      <bottom style="thick">
        <color auto="1"/>
      </bottom>
      <diagonal/>
    </border>
    <border>
      <left style="thin">
        <color auto="1"/>
      </left>
      <right style="thick">
        <color auto="1"/>
      </right>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style="thin">
        <color rgb="FFFFFFFF"/>
      </left>
      <right style="thin">
        <color rgb="FFFFFFFF"/>
      </right>
      <top style="thin">
        <color rgb="FFFFFFFF"/>
      </top>
      <bottom style="thin">
        <color rgb="FFFFFFFF"/>
      </bottom>
      <diagonal/>
    </border>
    <border>
      <left style="medium">
        <color rgb="FF000000"/>
      </left>
      <right/>
      <top style="medium">
        <color rgb="FF000000"/>
      </top>
      <bottom/>
      <diagonal/>
    </border>
    <border>
      <left style="medium">
        <color rgb="FF000000"/>
      </left>
      <right style="thin">
        <color rgb="FFE6E4E4"/>
      </right>
      <top style="medium">
        <color rgb="FF000000"/>
      </top>
      <bottom style="medium">
        <color rgb="FF000000"/>
      </bottom>
      <diagonal/>
    </border>
    <border>
      <left style="thin">
        <color rgb="FFE6E4E4"/>
      </left>
      <right style="thin">
        <color rgb="FFE6E4E4"/>
      </right>
      <top style="medium">
        <color rgb="FF000000"/>
      </top>
      <bottom style="medium">
        <color rgb="FF000000"/>
      </bottom>
      <diagonal/>
    </border>
    <border>
      <left style="medium">
        <color rgb="FF000000"/>
      </left>
      <right style="medium">
        <color rgb="FF000000"/>
      </right>
      <top style="medium">
        <color rgb="FF000000"/>
      </top>
      <bottom style="thin">
        <color rgb="FFE6E4E4"/>
      </bottom>
      <diagonal/>
    </border>
    <border>
      <left/>
      <right style="thin">
        <color rgb="FFE6E4E4"/>
      </right>
      <top/>
      <bottom style="thin">
        <color rgb="FFE6E4E4"/>
      </bottom>
      <diagonal/>
    </border>
    <border>
      <left style="thin">
        <color rgb="FFE6E4E4"/>
      </left>
      <right style="thin">
        <color rgb="FFE6E4E4"/>
      </right>
      <top/>
      <bottom style="thin">
        <color rgb="FFE6E4E4"/>
      </bottom>
      <diagonal/>
    </border>
    <border>
      <left style="medium">
        <color rgb="FF000000"/>
      </left>
      <right style="medium">
        <color rgb="FF000000"/>
      </right>
      <top style="thin">
        <color rgb="FFE6E4E4"/>
      </top>
      <bottom style="thin">
        <color rgb="FFE6E4E4"/>
      </bottom>
      <diagonal/>
    </border>
    <border>
      <left/>
      <right style="thin">
        <color rgb="FFE6E4E4"/>
      </right>
      <top style="thin">
        <color rgb="FFE6E4E4"/>
      </top>
      <bottom style="thin">
        <color rgb="FFE6E4E4"/>
      </bottom>
      <diagonal/>
    </border>
    <border>
      <left style="thin">
        <color rgb="FFE6E4E4"/>
      </left>
      <right style="thin">
        <color rgb="FFE6E4E4"/>
      </right>
      <top style="thin">
        <color rgb="FFE6E4E4"/>
      </top>
      <bottom style="thin">
        <color rgb="FFE6E4E4"/>
      </bottom>
      <diagonal/>
    </border>
    <border>
      <left style="medium">
        <color rgb="FF000000"/>
      </left>
      <right style="medium">
        <color rgb="FF000000"/>
      </right>
      <top style="thin">
        <color rgb="FFE6E4E4"/>
      </top>
      <bottom style="medium">
        <color rgb="FF000000"/>
      </bottom>
      <diagonal/>
    </border>
    <border>
      <left/>
      <right style="thin">
        <color rgb="FFE6E4E4"/>
      </right>
      <top style="thin">
        <color rgb="FFE6E4E4"/>
      </top>
      <bottom style="medium">
        <color rgb="FF000000"/>
      </bottom>
      <diagonal/>
    </border>
    <border>
      <left style="thin">
        <color rgb="FFE6E4E4"/>
      </left>
      <right style="thin">
        <color rgb="FFE6E4E4"/>
      </right>
      <top style="thin">
        <color rgb="FFE6E4E4"/>
      </top>
      <bottom style="medium">
        <color rgb="FF000000"/>
      </bottom>
      <diagonal/>
    </border>
    <border>
      <left style="thin">
        <color rgb="FFFFFFFF"/>
      </left>
      <right style="thin">
        <color rgb="FFFFFFFF"/>
      </right>
      <top/>
      <bottom style="thin">
        <color rgb="FFFFFFFF"/>
      </bottom>
      <diagonal/>
    </border>
    <border>
      <left style="thin">
        <color rgb="FFE6E4E4"/>
      </left>
      <right style="medium">
        <color rgb="FF000000"/>
      </right>
      <top style="medium">
        <color rgb="FF000000"/>
      </top>
      <bottom style="medium">
        <color rgb="FF000000"/>
      </bottom>
      <diagonal/>
    </border>
    <border>
      <left/>
      <right style="thin">
        <color rgb="FFFFFFFF"/>
      </right>
      <top style="thin">
        <color rgb="FFFFFFFF"/>
      </top>
      <bottom style="thin">
        <color rgb="FFFFFFFF"/>
      </bottom>
      <diagonal/>
    </border>
    <border>
      <left style="thin">
        <color rgb="FFE6E4E4"/>
      </left>
      <right style="medium">
        <color rgb="FF000000"/>
      </right>
      <top/>
      <bottom style="thin">
        <color rgb="FFE6E4E4"/>
      </bottom>
      <diagonal/>
    </border>
    <border>
      <left style="thin">
        <color rgb="FFE6E4E4"/>
      </left>
      <right style="medium">
        <color rgb="FF000000"/>
      </right>
      <top style="thin">
        <color rgb="FFE6E4E4"/>
      </top>
      <bottom style="thin">
        <color rgb="FFE6E4E4"/>
      </bottom>
      <diagonal/>
    </border>
    <border>
      <left style="thin">
        <color rgb="FFE6E4E4"/>
      </left>
      <right style="medium">
        <color rgb="FF000000"/>
      </right>
      <top style="thin">
        <color rgb="FFE6E4E4"/>
      </top>
      <bottom style="medium">
        <color rgb="FF000000"/>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n">
        <color rgb="FFBFBFBF"/>
      </left>
      <right/>
      <top style="thin">
        <color rgb="FFBFBFBF"/>
      </top>
      <bottom/>
      <diagonal/>
    </border>
    <border>
      <left/>
      <right/>
      <top style="thin">
        <color rgb="FFBFBFBF"/>
      </top>
      <bottom/>
      <diagonal/>
    </border>
    <border>
      <left style="thin">
        <color rgb="FFBFBFBF"/>
      </left>
      <right/>
      <top/>
      <bottom style="medium">
        <color auto="1"/>
      </bottom>
      <diagonal/>
    </border>
    <border>
      <left/>
      <right/>
      <top/>
      <bottom style="medium">
        <color auto="1"/>
      </bottom>
      <diagonal/>
    </border>
    <border>
      <left style="thin">
        <color rgb="FFBFBFBF"/>
      </left>
      <right style="medium">
        <color auto="1"/>
      </right>
      <top style="medium">
        <color auto="1"/>
      </top>
      <bottom style="thin">
        <color rgb="FFBFBFBF"/>
      </bottom>
      <diagonal/>
    </border>
    <border>
      <left style="medium">
        <color auto="1"/>
      </left>
      <right/>
      <top style="medium">
        <color auto="1"/>
      </top>
      <bottom/>
      <diagonal/>
    </border>
    <border>
      <left/>
      <right style="medium">
        <color auto="1"/>
      </right>
      <top style="medium">
        <color auto="1"/>
      </top>
      <bottom/>
      <diagonal/>
    </border>
    <border>
      <left style="thin">
        <color rgb="FFBFBFBF"/>
      </left>
      <right style="medium">
        <color auto="1"/>
      </right>
      <top style="thin">
        <color rgb="FFBFBFBF"/>
      </top>
      <bottom style="thin">
        <color rgb="FFBFBFBF"/>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style="thin">
        <color rgb="FFBFBFBF"/>
      </top>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rgb="FF5C9BD5"/>
      </right>
      <top style="medium">
        <color rgb="FF5C9BD5"/>
      </top>
      <bottom style="medium">
        <color auto="1"/>
      </bottom>
      <diagonal/>
    </border>
    <border>
      <left/>
      <right/>
      <top style="medium">
        <color auto="1"/>
      </top>
      <bottom/>
      <diagonal/>
    </border>
    <border>
      <left/>
      <right style="thin">
        <color auto="1"/>
      </right>
      <top style="thin">
        <color auto="1"/>
      </top>
      <bottom style="medium">
        <color auto="1"/>
      </bottom>
      <diagonal/>
    </border>
    <border>
      <left style="thin">
        <color rgb="FFE6E4E4"/>
      </left>
      <right/>
      <top style="thin">
        <color rgb="FFE6E4E4"/>
      </top>
      <bottom style="thin">
        <color rgb="FFE6E4E4"/>
      </bottom>
      <diagonal/>
    </border>
    <border>
      <left/>
      <right/>
      <top style="thin">
        <color rgb="FFE6E4E4"/>
      </top>
      <bottom style="thin">
        <color rgb="FFE6E4E4"/>
      </bottom>
      <diagonal/>
    </border>
    <border>
      <left style="thin">
        <color rgb="FFE6E4E4"/>
      </left>
      <right/>
      <top style="thin">
        <color rgb="FFE6E4E4"/>
      </top>
      <bottom style="medium">
        <color auto="1"/>
      </bottom>
      <diagonal/>
    </border>
    <border>
      <left/>
      <right/>
      <top style="thin">
        <color rgb="FFE6E4E4"/>
      </top>
      <bottom style="medium">
        <color auto="1"/>
      </bottom>
      <diagonal/>
    </border>
    <border>
      <left/>
      <right style="thin">
        <color rgb="FFE6E4E4"/>
      </right>
      <top style="thin">
        <color rgb="FFE6E4E4"/>
      </top>
      <bottom style="medium">
        <color auto="1"/>
      </bottom>
      <diagonal/>
    </border>
    <border>
      <left/>
      <right style="medium">
        <color auto="1"/>
      </right>
      <top style="thin">
        <color rgb="FFE6E4E4"/>
      </top>
      <bottom style="thin">
        <color rgb="FFE6E4E4"/>
      </bottom>
      <diagonal/>
    </border>
    <border>
      <left/>
      <right style="medium">
        <color auto="1"/>
      </right>
      <top style="thin">
        <color rgb="FFE6E4E4"/>
      </top>
      <bottom style="medium">
        <color auto="1"/>
      </bottom>
      <diagonal/>
    </border>
    <border>
      <left style="medium">
        <color auto="1"/>
      </left>
      <right style="thin">
        <color rgb="FFD8D8D8"/>
      </right>
      <top style="medium">
        <color auto="1"/>
      </top>
      <bottom style="thin">
        <color rgb="FFD8D8D8"/>
      </bottom>
      <diagonal/>
    </border>
    <border>
      <left style="thin">
        <color rgb="FFD8D8D8"/>
      </left>
      <right style="thin">
        <color rgb="FFD8D8D8"/>
      </right>
      <top style="medium">
        <color auto="1"/>
      </top>
      <bottom style="thin">
        <color rgb="FFD8D8D8"/>
      </bottom>
      <diagonal/>
    </border>
    <border>
      <left style="medium">
        <color auto="1"/>
      </left>
      <right style="thin">
        <color rgb="FFD8D8D8"/>
      </right>
      <top style="thin">
        <color rgb="FFD8D8D8"/>
      </top>
      <bottom style="thin">
        <color rgb="FFD8D8D8"/>
      </bottom>
      <diagonal/>
    </border>
    <border>
      <left style="thin">
        <color rgb="FFD8D8D8"/>
      </left>
      <right style="thin">
        <color rgb="FFD8D8D8"/>
      </right>
      <top style="thin">
        <color rgb="FFD8D8D8"/>
      </top>
      <bottom style="thin">
        <color rgb="FFD8D8D8"/>
      </bottom>
      <diagonal/>
    </border>
    <border>
      <left style="thin">
        <color rgb="FFD8D8D8"/>
      </left>
      <right/>
      <top style="thin">
        <color rgb="FFD8D8D8"/>
      </top>
      <bottom style="thin">
        <color rgb="FFD8D8D8"/>
      </bottom>
      <diagonal/>
    </border>
    <border>
      <left/>
      <right/>
      <top style="thin">
        <color rgb="FFD8D8D8"/>
      </top>
      <bottom style="thin">
        <color rgb="FFD8D8D8"/>
      </bottom>
      <diagonal/>
    </border>
    <border>
      <left style="medium">
        <color auto="1"/>
      </left>
      <right style="thin">
        <color rgb="FFD8D8D8"/>
      </right>
      <top style="thin">
        <color rgb="FFD8D8D8"/>
      </top>
      <bottom style="medium">
        <color auto="1"/>
      </bottom>
      <diagonal/>
    </border>
    <border>
      <left style="thin">
        <color rgb="FFD8D8D8"/>
      </left>
      <right style="thin">
        <color rgb="FFD8D8D8"/>
      </right>
      <top style="thin">
        <color rgb="FFD8D8D8"/>
      </top>
      <bottom style="medium">
        <color auto="1"/>
      </bottom>
      <diagonal/>
    </border>
    <border>
      <left style="medium">
        <color auto="1"/>
      </left>
      <right style="thin">
        <color rgb="FFD8D8D8"/>
      </right>
      <top style="medium">
        <color auto="1"/>
      </top>
      <bottom/>
      <diagonal/>
    </border>
    <border>
      <left style="thin">
        <color rgb="FFD8D8D8"/>
      </left>
      <right style="thin">
        <color rgb="FFD8D8D8"/>
      </right>
      <top style="medium">
        <color auto="1"/>
      </top>
      <bottom/>
      <diagonal/>
    </border>
    <border>
      <left/>
      <right style="thin">
        <color rgb="FFD8D8D8"/>
      </right>
      <top/>
      <bottom/>
      <diagonal/>
    </border>
    <border>
      <left style="thin">
        <color rgb="FFD8D8D8"/>
      </left>
      <right style="thin">
        <color rgb="FFD8D8D8"/>
      </right>
      <top/>
      <bottom style="thin">
        <color rgb="FFD8D8D8"/>
      </bottom>
      <diagonal/>
    </border>
    <border>
      <left style="thin">
        <color rgb="FFD8D8D8"/>
      </left>
      <right style="thin">
        <color rgb="FFD8D8D8"/>
      </right>
      <top/>
      <bottom/>
      <diagonal/>
    </border>
    <border>
      <left style="thin">
        <color rgb="FFD8D8D8"/>
      </left>
      <right/>
      <top/>
      <bottom/>
      <diagonal/>
    </border>
    <border>
      <left/>
      <right style="thin">
        <color rgb="FFD8D8D8"/>
      </right>
      <top/>
      <bottom style="medium">
        <color auto="1"/>
      </bottom>
      <diagonal/>
    </border>
    <border>
      <left style="thin">
        <color rgb="FFD8D8D8"/>
      </left>
      <right style="thin">
        <color rgb="FFD8D8D8"/>
      </right>
      <top/>
      <bottom style="medium">
        <color auto="1"/>
      </bottom>
      <diagonal/>
    </border>
    <border>
      <left/>
      <right style="thin">
        <color rgb="FFBFBFBF"/>
      </right>
      <top style="medium">
        <color auto="1"/>
      </top>
      <bottom style="thin">
        <color rgb="FFBFBFBF"/>
      </bottom>
      <diagonal/>
    </border>
    <border>
      <left/>
      <right style="thin">
        <color rgb="FFBFBFBF"/>
      </right>
      <top style="thin">
        <color rgb="FFBFBFBF"/>
      </top>
      <bottom style="medium">
        <color auto="1"/>
      </bottom>
      <diagonal/>
    </border>
    <border>
      <left/>
      <right style="thin">
        <color rgb="FFD8D8D8"/>
      </right>
      <top style="thin">
        <color rgb="FFD8D8D8"/>
      </top>
      <bottom style="thin">
        <color rgb="FFD8D8D8"/>
      </bottom>
      <diagonal/>
    </border>
    <border>
      <left style="thin">
        <color rgb="FFD8D8D8"/>
      </left>
      <right style="thin">
        <color rgb="FFD8D8D8"/>
      </right>
      <top style="thin">
        <color rgb="FFD8D8D8"/>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top style="thin">
        <color rgb="FFD8D8D8"/>
      </top>
      <bottom style="medium">
        <color auto="1"/>
      </bottom>
      <diagonal/>
    </border>
    <border>
      <left/>
      <right/>
      <top style="thin">
        <color rgb="FFD8D8D8"/>
      </top>
      <bottom style="medium">
        <color auto="1"/>
      </bottom>
      <diagonal/>
    </border>
    <border>
      <left/>
      <right style="thin">
        <color rgb="FFD8D8D8"/>
      </right>
      <top style="thin">
        <color rgb="FFD8D8D8"/>
      </top>
      <bottom style="medium">
        <color auto="1"/>
      </bottom>
      <diagonal/>
    </border>
    <border>
      <left style="thin">
        <color rgb="FFBFBFBF"/>
      </left>
      <right style="double">
        <color auto="1"/>
      </right>
      <top style="medium">
        <color auto="1"/>
      </top>
      <bottom style="thin">
        <color rgb="FFBFBFBF"/>
      </bottom>
      <diagonal/>
    </border>
    <border>
      <left style="double">
        <color auto="1"/>
      </left>
      <right/>
      <top style="medium">
        <color auto="1"/>
      </top>
      <bottom/>
      <diagonal/>
    </border>
    <border>
      <left style="thin">
        <color rgb="FFBFBFBF"/>
      </left>
      <right/>
      <top style="medium">
        <color auto="1"/>
      </top>
      <bottom style="thin">
        <color rgb="FFBFBFBF"/>
      </bottom>
      <diagonal/>
    </border>
    <border>
      <left style="thin">
        <color rgb="FFBFBFBF"/>
      </left>
      <right style="double">
        <color auto="1"/>
      </right>
      <top style="thin">
        <color rgb="FFBFBFBF"/>
      </top>
      <bottom style="medium">
        <color auto="1"/>
      </bottom>
      <diagonal/>
    </border>
    <border>
      <left style="double">
        <color auto="1"/>
      </left>
      <right/>
      <top/>
      <bottom style="medium">
        <color auto="1"/>
      </bottom>
      <diagonal/>
    </border>
    <border>
      <left style="thin">
        <color rgb="FFBFBFBF"/>
      </left>
      <right/>
      <top style="thin">
        <color rgb="FFBFBFBF"/>
      </top>
      <bottom style="medium">
        <color auto="1"/>
      </bottom>
      <diagonal/>
    </border>
    <border>
      <left style="thin">
        <color rgb="FFD8D8D8"/>
      </left>
      <right style="medium">
        <color auto="1"/>
      </right>
      <top style="medium">
        <color auto="1"/>
      </top>
      <bottom style="thin">
        <color rgb="FFD8D8D8"/>
      </bottom>
      <diagonal/>
    </border>
    <border>
      <left/>
      <right style="medium">
        <color auto="1"/>
      </right>
      <top style="thin">
        <color rgb="FFD8D8D8"/>
      </top>
      <bottom style="thin">
        <color rgb="FFD8D8D8"/>
      </bottom>
      <diagonal/>
    </border>
    <border>
      <left style="thin">
        <color rgb="FFD8D8D8"/>
      </left>
      <right style="medium">
        <color auto="1"/>
      </right>
      <top style="thin">
        <color rgb="FFD8D8D8"/>
      </top>
      <bottom style="thin">
        <color rgb="FFD8D8D8"/>
      </bottom>
      <diagonal/>
    </border>
    <border>
      <left style="thin">
        <color rgb="FFD8D8D8"/>
      </left>
      <right style="medium">
        <color auto="1"/>
      </right>
      <top style="thin">
        <color rgb="FFD8D8D8"/>
      </top>
      <bottom style="medium">
        <color auto="1"/>
      </bottom>
      <diagonal/>
    </border>
    <border>
      <left style="thin">
        <color rgb="FFD8D8D8"/>
      </left>
      <right style="medium">
        <color auto="1"/>
      </right>
      <top style="medium">
        <color auto="1"/>
      </top>
      <bottom/>
      <diagonal/>
    </border>
    <border>
      <left style="thin">
        <color rgb="FFD8D8D8"/>
      </left>
      <right style="medium">
        <color auto="1"/>
      </right>
      <top/>
      <bottom/>
      <diagonal/>
    </border>
    <border>
      <left style="thin">
        <color rgb="FFD8D8D8"/>
      </left>
      <right style="medium">
        <color auto="1"/>
      </right>
      <top/>
      <bottom style="thin">
        <color rgb="FFD8D8D8"/>
      </bottom>
      <diagonal/>
    </border>
    <border>
      <left style="thin">
        <color rgb="FFE6E4E4"/>
      </left>
      <right style="thin">
        <color rgb="FFE6E4E4"/>
      </right>
      <top style="medium">
        <color auto="1"/>
      </top>
      <bottom style="thin">
        <color rgb="FFE6E4E4"/>
      </bottom>
      <diagonal/>
    </border>
    <border>
      <left style="thin">
        <color rgb="FFE6E4E4"/>
      </left>
      <right style="thin">
        <color rgb="FFE6E4E4"/>
      </right>
      <top style="thin">
        <color rgb="FFE6E4E4"/>
      </top>
      <bottom style="medium">
        <color auto="1"/>
      </bottom>
      <diagonal/>
    </border>
    <border>
      <left style="thin">
        <color rgb="FFD8D8D8"/>
      </left>
      <right style="double">
        <color rgb="FFA5A5A5"/>
      </right>
      <top style="thin">
        <color rgb="FFD8D8D8"/>
      </top>
      <bottom style="thin">
        <color rgb="FFD8D8D8"/>
      </bottom>
      <diagonal/>
    </border>
    <border>
      <left/>
      <right/>
      <top style="medium">
        <color auto="1"/>
      </top>
      <bottom style="thin">
        <color rgb="FFBFBFBF"/>
      </bottom>
      <diagonal/>
    </border>
    <border>
      <left/>
      <right style="thin">
        <color rgb="FFBFBFBF"/>
      </right>
      <top/>
      <bottom style="medium">
        <color auto="1"/>
      </bottom>
      <diagonal/>
    </border>
    <border>
      <left style="thin">
        <color rgb="FFE6E4E4"/>
      </left>
      <right/>
      <top style="medium">
        <color auto="1"/>
      </top>
      <bottom style="thin">
        <color rgb="FFE6E4E4"/>
      </bottom>
      <diagonal/>
    </border>
    <border>
      <left/>
      <right style="thin">
        <color rgb="FFE6E4E4"/>
      </right>
      <top style="medium">
        <color auto="1"/>
      </top>
      <bottom style="thin">
        <color rgb="FFE6E4E4"/>
      </bottom>
      <diagonal/>
    </border>
    <border>
      <left style="thin">
        <color rgb="FFBFBFBF"/>
      </left>
      <right style="double">
        <color rgb="FF000000"/>
      </right>
      <top style="medium">
        <color auto="1"/>
      </top>
      <bottom style="thin">
        <color rgb="FFBFBFBF"/>
      </bottom>
      <diagonal/>
    </border>
    <border>
      <left style="thin">
        <color rgb="FFBFBFBF"/>
      </left>
      <right style="double">
        <color rgb="FF000000"/>
      </right>
      <top style="thin">
        <color rgb="FFBFBFBF"/>
      </top>
      <bottom style="medium">
        <color auto="1"/>
      </bottom>
      <diagonal/>
    </border>
    <border>
      <left style="thin">
        <color rgb="FFE6E4E4"/>
      </left>
      <right style="medium">
        <color auto="1"/>
      </right>
      <top style="medium">
        <color auto="1"/>
      </top>
      <bottom style="thin">
        <color rgb="FFE6E4E4"/>
      </bottom>
      <diagonal/>
    </border>
    <border>
      <left style="thin">
        <color rgb="FFE6E4E4"/>
      </left>
      <right style="medium">
        <color auto="1"/>
      </right>
      <top style="thin">
        <color rgb="FFE6E4E4"/>
      </top>
      <bottom style="medium">
        <color auto="1"/>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style="medium">
        <color auto="1"/>
      </left>
      <right/>
      <top style="thin">
        <color rgb="FFBFBFBF"/>
      </top>
      <bottom/>
      <diagonal/>
    </border>
    <border>
      <left style="medium">
        <color auto="1"/>
      </left>
      <right/>
      <top style="medium">
        <color auto="1"/>
      </top>
      <bottom style="thin">
        <color rgb="FFBFBFBF"/>
      </bottom>
      <diagonal/>
    </border>
    <border>
      <left style="medium">
        <color auto="1"/>
      </left>
      <right/>
      <top style="medium">
        <color auto="1"/>
      </top>
      <bottom style="thin">
        <color rgb="FFD8D8D8"/>
      </bottom>
      <diagonal/>
    </border>
    <border>
      <left/>
      <right/>
      <top style="medium">
        <color auto="1"/>
      </top>
      <bottom style="thin">
        <color rgb="FFD8D8D8"/>
      </bottom>
      <diagonal/>
    </border>
    <border>
      <left style="medium">
        <color auto="1"/>
      </left>
      <right/>
      <top style="thin">
        <color rgb="FFD8D8D8"/>
      </top>
      <bottom style="medium">
        <color auto="1"/>
      </bottom>
      <diagonal/>
    </border>
    <border>
      <left/>
      <right style="medium">
        <color auto="1"/>
      </right>
      <top style="thin">
        <color rgb="FFBFBFBF"/>
      </top>
      <bottom style="thin">
        <color rgb="FFBFBFBF"/>
      </bottom>
      <diagonal/>
    </border>
    <border>
      <left/>
      <right style="medium">
        <color auto="1"/>
      </right>
      <top style="medium">
        <color auto="1"/>
      </top>
      <bottom style="thin">
        <color rgb="FFBFBFBF"/>
      </bottom>
      <diagonal/>
    </border>
    <border>
      <left style="thin">
        <color rgb="FFD8D8D8"/>
      </left>
      <right style="double">
        <color rgb="FFA5A5A5"/>
      </right>
      <top style="thin">
        <color rgb="FFD8D8D8"/>
      </top>
      <bottom style="medium">
        <color auto="1"/>
      </bottom>
      <diagonal/>
    </border>
    <border>
      <left style="thin">
        <color rgb="FFBFBFBF"/>
      </left>
      <right/>
      <top/>
      <bottom style="thin">
        <color rgb="FFBFBFBF"/>
      </bottom>
      <diagonal/>
    </border>
    <border>
      <left style="medium">
        <color auto="1"/>
      </left>
      <right/>
      <top/>
      <bottom style="thin">
        <color rgb="FFBFBFBF"/>
      </bottom>
      <diagonal/>
    </border>
    <border>
      <left/>
      <right/>
      <top/>
      <bottom style="thin">
        <color rgb="FFBFBFBF"/>
      </bottom>
      <diagonal/>
    </border>
    <border>
      <left/>
      <right style="medium">
        <color auto="1"/>
      </right>
      <top/>
      <bottom style="thin">
        <color rgb="FFBFBFBF"/>
      </bottom>
      <diagonal/>
    </border>
    <border>
      <left style="thin">
        <color rgb="FFD8D8D8"/>
      </left>
      <right style="thin">
        <color rgb="FFD8D8D8"/>
      </right>
      <top style="thin">
        <color rgb="FFD8D8D8"/>
      </top>
      <bottom style="medium">
        <color rgb="FF000000"/>
      </bottom>
      <diagonal/>
    </border>
    <border>
      <left style="thin">
        <color rgb="FFD8D8D8"/>
      </left>
      <right style="medium">
        <color auto="1"/>
      </right>
      <top style="thin">
        <color rgb="FFD8D8D8"/>
      </top>
      <bottom style="medium">
        <color rgb="FF000000"/>
      </bottom>
      <diagonal/>
    </border>
    <border>
      <left/>
      <right style="medium">
        <color auto="1"/>
      </right>
      <top style="medium">
        <color auto="1"/>
      </top>
      <bottom style="thin">
        <color rgb="FFD8D8D8"/>
      </bottom>
      <diagonal/>
    </border>
    <border>
      <left/>
      <right style="medium">
        <color auto="1"/>
      </right>
      <top style="thin">
        <color rgb="FFD8D8D8"/>
      </top>
      <bottom style="medium">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lignment vertical="center"/>
    </xf>
    <xf numFmtId="42" fontId="36" fillId="0" borderId="0" applyFont="0" applyFill="0" applyBorder="0" applyAlignment="0" applyProtection="0">
      <alignment vertical="center"/>
    </xf>
    <xf numFmtId="0" fontId="37" fillId="29" borderId="0" applyNumberFormat="0" applyBorder="0" applyAlignment="0" applyProtection="0">
      <alignment vertical="center"/>
    </xf>
    <xf numFmtId="0" fontId="48" fillId="35" borderId="174" applyNumberFormat="0" applyAlignment="0" applyProtection="0">
      <alignment vertical="center"/>
    </xf>
    <xf numFmtId="44" fontId="36" fillId="0" borderId="0" applyFont="0" applyFill="0" applyBorder="0" applyAlignment="0" applyProtection="0">
      <alignment vertical="center"/>
    </xf>
    <xf numFmtId="41" fontId="36" fillId="0" borderId="0" applyFont="0" applyFill="0" applyBorder="0" applyAlignment="0" applyProtection="0">
      <alignment vertical="center"/>
    </xf>
    <xf numFmtId="0" fontId="37" fillId="23" borderId="0" applyNumberFormat="0" applyBorder="0" applyAlignment="0" applyProtection="0">
      <alignment vertical="center"/>
    </xf>
    <xf numFmtId="0" fontId="40" fillId="19" borderId="0" applyNumberFormat="0" applyBorder="0" applyAlignment="0" applyProtection="0">
      <alignment vertical="center"/>
    </xf>
    <xf numFmtId="43" fontId="36" fillId="0" borderId="0" applyFont="0" applyFill="0" applyBorder="0" applyAlignment="0" applyProtection="0">
      <alignment vertical="center"/>
    </xf>
    <xf numFmtId="0" fontId="33" fillId="26" borderId="0" applyNumberFormat="0" applyBorder="0" applyAlignment="0" applyProtection="0">
      <alignment vertical="center"/>
    </xf>
    <xf numFmtId="0" fontId="52" fillId="0" borderId="0" applyNumberFormat="0" applyFill="0" applyBorder="0" applyAlignment="0" applyProtection="0">
      <alignment vertical="center"/>
    </xf>
    <xf numFmtId="9" fontId="36" fillId="0" borderId="0" applyFont="0" applyFill="0" applyBorder="0" applyAlignment="0" applyProtection="0">
      <alignment vertical="center"/>
    </xf>
    <xf numFmtId="0" fontId="39" fillId="0" borderId="0" applyNumberFormat="0" applyFill="0" applyBorder="0" applyAlignment="0" applyProtection="0">
      <alignment vertical="center"/>
    </xf>
    <xf numFmtId="0" fontId="36" fillId="34" borderId="175" applyNumberFormat="0" applyFont="0" applyAlignment="0" applyProtection="0">
      <alignment vertical="center"/>
    </xf>
    <xf numFmtId="0" fontId="33" fillId="33" borderId="0" applyNumberFormat="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4" fillId="0" borderId="173" applyNumberFormat="0" applyFill="0" applyAlignment="0" applyProtection="0">
      <alignment vertical="center"/>
    </xf>
    <xf numFmtId="0" fontId="50" fillId="0" borderId="173" applyNumberFormat="0" applyFill="0" applyAlignment="0" applyProtection="0">
      <alignment vertical="center"/>
    </xf>
    <xf numFmtId="0" fontId="33" fillId="25" borderId="0" applyNumberFormat="0" applyBorder="0" applyAlignment="0" applyProtection="0">
      <alignment vertical="center"/>
    </xf>
    <xf numFmtId="0" fontId="38" fillId="0" borderId="177" applyNumberFormat="0" applyFill="0" applyAlignment="0" applyProtection="0">
      <alignment vertical="center"/>
    </xf>
    <xf numFmtId="0" fontId="33" fillId="32" borderId="0" applyNumberFormat="0" applyBorder="0" applyAlignment="0" applyProtection="0">
      <alignment vertical="center"/>
    </xf>
    <xf numFmtId="0" fontId="34" fillId="15" borderId="170" applyNumberFormat="0" applyAlignment="0" applyProtection="0">
      <alignment vertical="center"/>
    </xf>
    <xf numFmtId="0" fontId="45" fillId="15" borderId="174" applyNumberFormat="0" applyAlignment="0" applyProtection="0">
      <alignment vertical="center"/>
    </xf>
    <xf numFmtId="0" fontId="41" fillId="22" borderId="171" applyNumberFormat="0" applyAlignment="0" applyProtection="0">
      <alignment vertical="center"/>
    </xf>
    <xf numFmtId="0" fontId="37" fillId="42" borderId="0" applyNumberFormat="0" applyBorder="0" applyAlignment="0" applyProtection="0">
      <alignment vertical="center"/>
    </xf>
    <xf numFmtId="0" fontId="33" fillId="38" borderId="0" applyNumberFormat="0" applyBorder="0" applyAlignment="0" applyProtection="0">
      <alignment vertical="center"/>
    </xf>
    <xf numFmtId="0" fontId="43" fillId="0" borderId="172" applyNumberFormat="0" applyFill="0" applyAlignment="0" applyProtection="0">
      <alignment vertical="center"/>
    </xf>
    <xf numFmtId="0" fontId="49" fillId="0" borderId="176" applyNumberFormat="0" applyFill="0" applyAlignment="0" applyProtection="0">
      <alignment vertical="center"/>
    </xf>
    <xf numFmtId="0" fontId="51" fillId="41" borderId="0" applyNumberFormat="0" applyBorder="0" applyAlignment="0" applyProtection="0">
      <alignment vertical="center"/>
    </xf>
    <xf numFmtId="0" fontId="47" fillId="31" borderId="0" applyNumberFormat="0" applyBorder="0" applyAlignment="0" applyProtection="0">
      <alignment vertical="center"/>
    </xf>
    <xf numFmtId="0" fontId="37" fillId="28" borderId="0" applyNumberFormat="0" applyBorder="0" applyAlignment="0" applyProtection="0">
      <alignment vertical="center"/>
    </xf>
    <xf numFmtId="0" fontId="33" fillId="14" borderId="0" applyNumberFormat="0" applyBorder="0" applyAlignment="0" applyProtection="0">
      <alignment vertical="center"/>
    </xf>
    <xf numFmtId="0" fontId="37" fillId="27" borderId="0" applyNumberFormat="0" applyBorder="0" applyAlignment="0" applyProtection="0">
      <alignment vertical="center"/>
    </xf>
    <xf numFmtId="0" fontId="37" fillId="21" borderId="0" applyNumberFormat="0" applyBorder="0" applyAlignment="0" applyProtection="0">
      <alignment vertical="center"/>
    </xf>
    <xf numFmtId="0" fontId="37" fillId="40" borderId="0" applyNumberFormat="0" applyBorder="0" applyAlignment="0" applyProtection="0">
      <alignment vertical="center"/>
    </xf>
    <xf numFmtId="0" fontId="37" fillId="18" borderId="0" applyNumberFormat="0" applyBorder="0" applyAlignment="0" applyProtection="0">
      <alignment vertical="center"/>
    </xf>
    <xf numFmtId="0" fontId="33" fillId="13" borderId="0" applyNumberFormat="0" applyBorder="0" applyAlignment="0" applyProtection="0">
      <alignment vertical="center"/>
    </xf>
    <xf numFmtId="0" fontId="33" fillId="37" borderId="0" applyNumberFormat="0" applyBorder="0" applyAlignment="0" applyProtection="0">
      <alignment vertical="center"/>
    </xf>
    <xf numFmtId="0" fontId="37" fillId="39" borderId="0" applyNumberFormat="0" applyBorder="0" applyAlignment="0" applyProtection="0">
      <alignment vertical="center"/>
    </xf>
    <xf numFmtId="0" fontId="37" fillId="17" borderId="0" applyNumberFormat="0" applyBorder="0" applyAlignment="0" applyProtection="0">
      <alignment vertical="center"/>
    </xf>
    <xf numFmtId="0" fontId="33" fillId="12" borderId="0" applyNumberFormat="0" applyBorder="0" applyAlignment="0" applyProtection="0">
      <alignment vertical="center"/>
    </xf>
    <xf numFmtId="0" fontId="37" fillId="20" borderId="0" applyNumberFormat="0" applyBorder="0" applyAlignment="0" applyProtection="0">
      <alignment vertical="center"/>
    </xf>
    <xf numFmtId="0" fontId="33" fillId="24" borderId="0" applyNumberFormat="0" applyBorder="0" applyAlignment="0" applyProtection="0">
      <alignment vertical="center"/>
    </xf>
    <xf numFmtId="0" fontId="33" fillId="36" borderId="0" applyNumberFormat="0" applyBorder="0" applyAlignment="0" applyProtection="0">
      <alignment vertical="center"/>
    </xf>
    <xf numFmtId="0" fontId="37" fillId="16" borderId="0" applyNumberFormat="0" applyBorder="0" applyAlignment="0" applyProtection="0">
      <alignment vertical="center"/>
    </xf>
    <xf numFmtId="0" fontId="33" fillId="30" borderId="0" applyNumberFormat="0" applyBorder="0" applyAlignment="0" applyProtection="0">
      <alignment vertical="center"/>
    </xf>
    <xf numFmtId="0" fontId="0" fillId="0" borderId="0">
      <protection locked="0"/>
    </xf>
  </cellStyleXfs>
  <cellXfs count="749">
    <xf numFmtId="0" fontId="0" fillId="0" borderId="0" xfId="0">
      <alignment vertical="center"/>
    </xf>
    <xf numFmtId="0" fontId="0" fillId="0" borderId="0" xfId="0" applyProtection="1">
      <alignment vertical="center"/>
    </xf>
    <xf numFmtId="0" fontId="1" fillId="0" borderId="1" xfId="0" applyFont="1" applyBorder="1" applyAlignment="1" applyProtection="1">
      <alignment horizontal="center" vertical="center"/>
    </xf>
    <xf numFmtId="0" fontId="1" fillId="0" borderId="2" xfId="0" applyFont="1" applyBorder="1" applyAlignment="1" applyProtection="1">
      <alignment horizontal="center" vertical="center"/>
    </xf>
    <xf numFmtId="0" fontId="1" fillId="0" borderId="3" xfId="0" applyFont="1" applyBorder="1" applyAlignment="1" applyProtection="1">
      <alignment horizontal="center" vertical="center"/>
    </xf>
    <xf numFmtId="0" fontId="1" fillId="0" borderId="4" xfId="0" applyFont="1" applyBorder="1" applyAlignment="1" applyProtection="1">
      <alignment horizontal="center" vertical="center"/>
    </xf>
    <xf numFmtId="0" fontId="1" fillId="0" borderId="5" xfId="0" applyFont="1" applyBorder="1" applyAlignment="1" applyProtection="1">
      <alignment horizontal="center" vertical="center"/>
    </xf>
    <xf numFmtId="0" fontId="1" fillId="0" borderId="6" xfId="0" applyFont="1" applyBorder="1" applyAlignment="1" applyProtection="1">
      <alignment horizontal="center" vertical="center"/>
    </xf>
    <xf numFmtId="0" fontId="1" fillId="0" borderId="7" xfId="0" applyFont="1" applyBorder="1" applyAlignment="1" applyProtection="1">
      <alignment horizontal="center" vertical="center"/>
    </xf>
    <xf numFmtId="0" fontId="1" fillId="0" borderId="8" xfId="0" applyFont="1" applyBorder="1" applyAlignment="1" applyProtection="1">
      <alignment horizontal="center" vertical="center"/>
    </xf>
    <xf numFmtId="0" fontId="1" fillId="0" borderId="9" xfId="0" applyFont="1" applyBorder="1" applyAlignment="1" applyProtection="1">
      <alignment horizontal="center"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Border="1">
      <alignment vertical="center"/>
    </xf>
    <xf numFmtId="0" fontId="1" fillId="0" borderId="0" xfId="0" applyFont="1" applyBorder="1" applyAlignment="1">
      <alignment horizontal="center" vertical="center"/>
    </xf>
    <xf numFmtId="0" fontId="2" fillId="0" borderId="0" xfId="0" applyFont="1" applyBorder="1">
      <alignment vertical="center"/>
    </xf>
    <xf numFmtId="0" fontId="3" fillId="0" borderId="0" xfId="0" applyFont="1" applyFill="1" applyBorder="1">
      <alignment vertical="center"/>
    </xf>
    <xf numFmtId="0" fontId="2" fillId="0" borderId="0" xfId="0" applyFont="1" applyFill="1" applyBorder="1">
      <alignment vertical="center"/>
    </xf>
    <xf numFmtId="0" fontId="4" fillId="0" borderId="0" xfId="0" applyFont="1" applyFill="1" applyBorder="1">
      <alignment vertical="center"/>
    </xf>
    <xf numFmtId="0" fontId="1" fillId="0" borderId="0" xfId="0" applyFont="1" applyFill="1" applyBorder="1">
      <alignment vertical="center"/>
    </xf>
    <xf numFmtId="0" fontId="5" fillId="0" borderId="0" xfId="0" applyFont="1" applyFill="1" applyBorder="1">
      <alignment vertical="center"/>
    </xf>
    <xf numFmtId="0" fontId="6" fillId="0" borderId="0" xfId="0" applyFont="1" applyFill="1" applyBorder="1">
      <alignment vertical="center"/>
    </xf>
    <xf numFmtId="0" fontId="7" fillId="0" borderId="0" xfId="0" applyFont="1" applyFill="1" applyBorder="1">
      <alignment vertical="center"/>
    </xf>
    <xf numFmtId="0" fontId="0" fillId="0" borderId="0" xfId="0" applyAlignment="1">
      <alignment horizontal="right" vertical="center"/>
    </xf>
    <xf numFmtId="0" fontId="8" fillId="0" borderId="0" xfId="0" applyFont="1" applyFill="1" applyBorder="1">
      <alignment vertical="center"/>
    </xf>
    <xf numFmtId="0" fontId="9" fillId="2" borderId="0" xfId="0" applyFont="1" applyFill="1">
      <alignment vertical="center"/>
    </xf>
    <xf numFmtId="0" fontId="9" fillId="0" borderId="0" xfId="0" applyFont="1" applyAlignment="1">
      <alignment horizontal="center" vertical="center"/>
    </xf>
    <xf numFmtId="0" fontId="9" fillId="0" borderId="0" xfId="0" applyFont="1">
      <alignment vertical="center"/>
    </xf>
    <xf numFmtId="176" fontId="9" fillId="0" borderId="0" xfId="0" applyNumberFormat="1" applyFont="1">
      <alignment vertical="center"/>
    </xf>
    <xf numFmtId="0" fontId="10" fillId="3" borderId="10"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12" xfId="0" applyFont="1" applyFill="1" applyBorder="1" applyAlignment="1">
      <alignment horizontal="center" vertical="center"/>
    </xf>
    <xf numFmtId="0" fontId="11" fillId="0" borderId="13" xfId="0" applyFont="1" applyBorder="1" applyAlignment="1">
      <alignment horizontal="center" vertical="center"/>
    </xf>
    <xf numFmtId="0" fontId="11" fillId="0" borderId="14" xfId="0" applyFont="1" applyBorder="1" applyAlignment="1">
      <alignment horizontal="center" vertical="center"/>
    </xf>
    <xf numFmtId="176" fontId="11" fillId="0" borderId="14" xfId="0" applyNumberFormat="1"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20" xfId="0" applyFont="1" applyBorder="1" applyAlignment="1">
      <alignment horizontal="center" vertical="center"/>
    </xf>
    <xf numFmtId="176" fontId="11" fillId="0" borderId="21" xfId="0" applyNumberFormat="1" applyFont="1" applyBorder="1" applyAlignment="1">
      <alignment horizontal="center" vertical="center"/>
    </xf>
    <xf numFmtId="0" fontId="11" fillId="0" borderId="22" xfId="0" applyFont="1" applyBorder="1" applyAlignment="1">
      <alignment horizontal="center" vertical="center"/>
    </xf>
    <xf numFmtId="0" fontId="11" fillId="2" borderId="23" xfId="0" applyFont="1" applyFill="1" applyBorder="1" applyAlignment="1">
      <alignment horizontal="center" vertical="center"/>
    </xf>
    <xf numFmtId="0" fontId="11" fillId="2" borderId="24" xfId="0" applyFont="1" applyFill="1" applyBorder="1" applyAlignment="1">
      <alignment horizontal="center" vertical="center"/>
    </xf>
    <xf numFmtId="0" fontId="11" fillId="2" borderId="25" xfId="0" applyFont="1" applyFill="1" applyBorder="1" applyAlignment="1">
      <alignment horizontal="center" vertical="center"/>
    </xf>
    <xf numFmtId="0" fontId="11" fillId="2" borderId="26" xfId="0" applyFont="1" applyFill="1" applyBorder="1" applyAlignment="1">
      <alignment horizontal="center" vertical="center"/>
    </xf>
    <xf numFmtId="0" fontId="11" fillId="2" borderId="27" xfId="0" applyFont="1" applyFill="1" applyBorder="1" applyAlignment="1">
      <alignment horizontal="center" vertical="center"/>
    </xf>
    <xf numFmtId="0" fontId="11" fillId="2" borderId="28" xfId="0" applyFont="1" applyFill="1" applyBorder="1" applyAlignment="1">
      <alignment horizontal="center" vertical="center"/>
    </xf>
    <xf numFmtId="176" fontId="11" fillId="2" borderId="25" xfId="0" applyNumberFormat="1" applyFont="1" applyFill="1" applyBorder="1" applyAlignment="1">
      <alignment horizontal="center" vertical="center"/>
    </xf>
    <xf numFmtId="0" fontId="11" fillId="0" borderId="29" xfId="0" applyFont="1" applyBorder="1" applyAlignment="1">
      <alignment horizontal="center" vertical="center"/>
    </xf>
    <xf numFmtId="0" fontId="11" fillId="0" borderId="24" xfId="0" applyFont="1" applyBorder="1">
      <alignment vertical="center"/>
    </xf>
    <xf numFmtId="0" fontId="11" fillId="0" borderId="25" xfId="0" applyFont="1" applyBorder="1">
      <alignment vertical="center"/>
    </xf>
    <xf numFmtId="0" fontId="11" fillId="0" borderId="30" xfId="0" applyFont="1" applyBorder="1">
      <alignment vertical="center"/>
    </xf>
    <xf numFmtId="0" fontId="11" fillId="0" borderId="27" xfId="0" applyFont="1" applyBorder="1" applyAlignment="1">
      <alignment horizontal="center" vertical="center"/>
    </xf>
    <xf numFmtId="0" fontId="11" fillId="0" borderId="28" xfId="0" applyFont="1" applyBorder="1" applyAlignment="1">
      <alignment horizontal="center" vertical="center"/>
    </xf>
    <xf numFmtId="176" fontId="11" fillId="0" borderId="25" xfId="0" applyNumberFormat="1" applyFont="1" applyBorder="1" applyAlignment="1">
      <alignment horizontal="center" vertical="center"/>
    </xf>
    <xf numFmtId="0" fontId="11" fillId="0" borderId="24" xfId="0" applyFont="1" applyBorder="1" applyAlignment="1">
      <alignment horizontal="center" vertical="center"/>
    </xf>
    <xf numFmtId="0" fontId="11" fillId="2" borderId="29" xfId="0" applyFont="1" applyFill="1" applyBorder="1" applyAlignment="1">
      <alignment horizontal="center" vertical="center"/>
    </xf>
    <xf numFmtId="0" fontId="11" fillId="2" borderId="31" xfId="0" applyFont="1" applyFill="1" applyBorder="1">
      <alignment vertical="center"/>
    </xf>
    <xf numFmtId="0" fontId="11" fillId="2" borderId="8" xfId="0" applyFont="1" applyFill="1" applyBorder="1">
      <alignment vertical="center"/>
    </xf>
    <xf numFmtId="0" fontId="11" fillId="2" borderId="32" xfId="0" applyFont="1" applyFill="1" applyBorder="1">
      <alignment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176" fontId="11" fillId="2" borderId="8" xfId="0" applyNumberFormat="1" applyFont="1" applyFill="1" applyBorder="1" applyAlignment="1">
      <alignment horizontal="center" vertical="center"/>
    </xf>
    <xf numFmtId="0" fontId="11" fillId="2" borderId="31" xfId="0" applyFont="1" applyFill="1" applyBorder="1" applyAlignment="1">
      <alignment horizontal="center" vertical="center"/>
    </xf>
    <xf numFmtId="0" fontId="11" fillId="0" borderId="31" xfId="0" applyFont="1" applyBorder="1">
      <alignment vertical="center"/>
    </xf>
    <xf numFmtId="0" fontId="11" fillId="0" borderId="8" xfId="0" applyFont="1" applyBorder="1">
      <alignment vertical="center"/>
    </xf>
    <xf numFmtId="0" fontId="11" fillId="0" borderId="32" xfId="0" applyFont="1" applyBorder="1">
      <alignment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176" fontId="11" fillId="0" borderId="8" xfId="0" applyNumberFormat="1" applyFont="1" applyBorder="1" applyAlignment="1">
      <alignment horizontal="center" vertical="center"/>
    </xf>
    <xf numFmtId="0" fontId="11" fillId="0" borderId="31" xfId="0" applyFont="1" applyBorder="1" applyAlignment="1">
      <alignment horizontal="center" vertical="center"/>
    </xf>
    <xf numFmtId="0" fontId="11" fillId="2" borderId="25" xfId="0" applyFont="1" applyFill="1" applyBorder="1">
      <alignment vertical="center"/>
    </xf>
    <xf numFmtId="0" fontId="11" fillId="2" borderId="30" xfId="0" applyFont="1" applyFill="1" applyBorder="1">
      <alignment vertical="center"/>
    </xf>
    <xf numFmtId="0" fontId="11" fillId="2" borderId="33" xfId="0" applyFont="1" applyFill="1" applyBorder="1">
      <alignment vertical="center"/>
    </xf>
    <xf numFmtId="0" fontId="11" fillId="2" borderId="34" xfId="0" applyFont="1" applyFill="1" applyBorder="1">
      <alignment vertical="center"/>
    </xf>
    <xf numFmtId="0" fontId="11" fillId="2" borderId="35" xfId="0" applyFont="1" applyFill="1" applyBorder="1">
      <alignment vertical="center"/>
    </xf>
    <xf numFmtId="0" fontId="11" fillId="2" borderId="36" xfId="0" applyFont="1" applyFill="1" applyBorder="1" applyAlignment="1">
      <alignment horizontal="center" vertical="center"/>
    </xf>
    <xf numFmtId="0" fontId="11" fillId="2" borderId="37" xfId="0" applyFont="1" applyFill="1" applyBorder="1" applyAlignment="1">
      <alignment horizontal="center" vertical="center"/>
    </xf>
    <xf numFmtId="176" fontId="11" fillId="2" borderId="34" xfId="0" applyNumberFormat="1" applyFont="1" applyFill="1" applyBorder="1" applyAlignment="1">
      <alignment horizontal="center" vertical="center"/>
    </xf>
    <xf numFmtId="0" fontId="11" fillId="2" borderId="33" xfId="0" applyFont="1" applyFill="1" applyBorder="1" applyAlignment="1">
      <alignment horizontal="center" vertical="center"/>
    </xf>
    <xf numFmtId="0" fontId="11" fillId="0" borderId="38" xfId="0" applyFont="1" applyBorder="1" applyAlignment="1">
      <alignment horizontal="center" vertical="center"/>
    </xf>
    <xf numFmtId="0" fontId="11" fillId="0" borderId="39" xfId="0" applyFont="1" applyBorder="1" applyAlignment="1">
      <alignment horizontal="center" vertical="center"/>
    </xf>
    <xf numFmtId="176" fontId="11" fillId="0" borderId="17" xfId="0" applyNumberFormat="1" applyFont="1" applyBorder="1" applyAlignment="1">
      <alignment horizontal="center" vertical="center"/>
    </xf>
    <xf numFmtId="0" fontId="11" fillId="0" borderId="25" xfId="0" applyFont="1" applyBorder="1" applyAlignment="1">
      <alignment horizontal="center" vertical="center"/>
    </xf>
    <xf numFmtId="176" fontId="11" fillId="0" borderId="40" xfId="0" applyNumberFormat="1" applyFont="1" applyBorder="1" applyAlignment="1">
      <alignment horizontal="center" vertical="center"/>
    </xf>
    <xf numFmtId="176" fontId="9" fillId="0" borderId="41" xfId="0" applyNumberFormat="1" applyFont="1" applyBorder="1">
      <alignment vertical="center"/>
    </xf>
    <xf numFmtId="176" fontId="9" fillId="2" borderId="42" xfId="0" applyNumberFormat="1" applyFont="1" applyFill="1" applyBorder="1">
      <alignment vertical="center"/>
    </xf>
    <xf numFmtId="176" fontId="9" fillId="0" borderId="43" xfId="0" applyNumberFormat="1" applyFont="1" applyBorder="1">
      <alignment vertical="center"/>
    </xf>
    <xf numFmtId="176" fontId="9" fillId="2" borderId="43" xfId="0" applyNumberFormat="1" applyFont="1" applyFill="1" applyBorder="1">
      <alignment vertical="center"/>
    </xf>
    <xf numFmtId="176" fontId="9" fillId="2" borderId="44" xfId="0" applyNumberFormat="1" applyFont="1" applyFill="1" applyBorder="1">
      <alignment vertical="center"/>
    </xf>
    <xf numFmtId="0" fontId="9" fillId="0" borderId="45" xfId="0" applyFont="1" applyBorder="1">
      <alignment vertical="center"/>
    </xf>
    <xf numFmtId="0" fontId="1" fillId="0" borderId="46" xfId="0" applyFont="1" applyBorder="1" applyAlignment="1">
      <alignment horizontal="center" vertical="center"/>
    </xf>
    <xf numFmtId="0" fontId="1" fillId="0" borderId="47" xfId="0" applyFont="1" applyBorder="1" applyAlignment="1">
      <alignment horizontal="center" vertical="center"/>
    </xf>
    <xf numFmtId="0" fontId="1" fillId="0" borderId="48" xfId="0" applyFont="1" applyBorder="1" applyAlignment="1">
      <alignment horizontal="center" vertical="center"/>
    </xf>
    <xf numFmtId="0" fontId="1" fillId="0" borderId="49" xfId="0" applyFont="1" applyBorder="1" applyAlignment="1">
      <alignment horizontal="center" vertical="center"/>
    </xf>
    <xf numFmtId="0" fontId="1" fillId="0" borderId="50" xfId="0" applyFont="1" applyBorder="1" applyAlignment="1">
      <alignment horizontal="center" vertical="center"/>
    </xf>
    <xf numFmtId="0" fontId="1" fillId="0" borderId="51" xfId="0" applyFont="1" applyBorder="1" applyAlignment="1">
      <alignment horizontal="center" vertical="center"/>
    </xf>
    <xf numFmtId="0" fontId="1" fillId="0" borderId="52" xfId="0" applyFont="1" applyBorder="1" applyAlignment="1">
      <alignment horizontal="center" vertical="center"/>
    </xf>
    <xf numFmtId="0" fontId="1" fillId="0" borderId="53" xfId="0" applyFont="1" applyBorder="1" applyAlignment="1">
      <alignment horizontal="center" vertical="center"/>
    </xf>
    <xf numFmtId="0" fontId="1" fillId="0" borderId="54" xfId="0" applyFont="1" applyBorder="1" applyAlignment="1">
      <alignment horizontal="center" vertical="center"/>
    </xf>
    <xf numFmtId="0" fontId="1" fillId="0" borderId="55" xfId="0" applyFont="1" applyBorder="1" applyAlignment="1">
      <alignment horizontal="center" vertical="center"/>
    </xf>
    <xf numFmtId="0" fontId="1" fillId="0" borderId="56" xfId="0" applyFont="1" applyBorder="1" applyAlignment="1">
      <alignment horizontal="center" vertical="center"/>
    </xf>
    <xf numFmtId="0" fontId="1" fillId="0" borderId="57" xfId="0" applyFont="1" applyBorder="1" applyAlignment="1">
      <alignment horizontal="center" vertical="center"/>
    </xf>
    <xf numFmtId="0" fontId="9" fillId="0" borderId="58" xfId="0" applyFont="1" applyBorder="1">
      <alignment vertical="center"/>
    </xf>
    <xf numFmtId="0" fontId="1" fillId="0" borderId="59" xfId="0" applyFont="1" applyBorder="1" applyAlignment="1">
      <alignment horizontal="center" vertical="center"/>
    </xf>
    <xf numFmtId="0" fontId="9" fillId="0" borderId="60" xfId="0" applyFont="1" applyBorder="1">
      <alignment vertical="center"/>
    </xf>
    <xf numFmtId="0" fontId="1" fillId="0" borderId="61" xfId="0" applyFont="1" applyBorder="1" applyAlignment="1">
      <alignment horizontal="center" vertical="center"/>
    </xf>
    <xf numFmtId="0" fontId="1" fillId="0" borderId="62" xfId="0" applyFont="1" applyBorder="1" applyAlignment="1">
      <alignment horizontal="center" vertical="center"/>
    </xf>
    <xf numFmtId="0" fontId="1" fillId="0" borderId="63" xfId="0" applyFont="1" applyBorder="1" applyAlignment="1">
      <alignment horizontal="center" vertical="center"/>
    </xf>
    <xf numFmtId="0" fontId="12" fillId="0" borderId="0" xfId="0" applyFont="1" applyAlignment="1">
      <alignment horizontal="center" vertical="center"/>
    </xf>
    <xf numFmtId="49" fontId="12" fillId="0" borderId="0" xfId="0" applyNumberFormat="1" applyFont="1" applyAlignment="1">
      <alignment horizontal="center" vertical="center"/>
    </xf>
    <xf numFmtId="0" fontId="13" fillId="4" borderId="64" xfId="0" applyFont="1" applyFill="1" applyBorder="1" applyAlignment="1" applyProtection="1">
      <alignment horizontal="center" vertical="center"/>
      <protection locked="0"/>
    </xf>
    <xf numFmtId="0" fontId="12" fillId="5" borderId="64" xfId="0" applyFont="1" applyFill="1" applyBorder="1" applyAlignment="1" applyProtection="1">
      <alignment horizontal="center" vertical="center"/>
      <protection locked="0"/>
    </xf>
    <xf numFmtId="49" fontId="12" fillId="5" borderId="64" xfId="0" applyNumberFormat="1" applyFont="1" applyFill="1" applyBorder="1" applyAlignment="1" applyProtection="1">
      <alignment horizontal="center" vertical="center"/>
      <protection locked="0"/>
    </xf>
    <xf numFmtId="0" fontId="12" fillId="0" borderId="64" xfId="0" applyFont="1" applyBorder="1" applyAlignment="1" applyProtection="1">
      <alignment horizontal="center" vertical="center"/>
      <protection locked="0"/>
    </xf>
    <xf numFmtId="0" fontId="13" fillId="4" borderId="65" xfId="0" applyFont="1" applyFill="1" applyBorder="1" applyAlignment="1" applyProtection="1">
      <alignment horizontal="center" vertical="center"/>
      <protection locked="0"/>
    </xf>
    <xf numFmtId="0" fontId="13" fillId="4" borderId="66" xfId="0" applyFont="1" applyFill="1" applyBorder="1" applyAlignment="1" applyProtection="1">
      <alignment horizontal="center" vertical="center"/>
      <protection locked="0"/>
    </xf>
    <xf numFmtId="0" fontId="12" fillId="0" borderId="0" xfId="0" applyFont="1">
      <alignment vertical="center"/>
    </xf>
    <xf numFmtId="0" fontId="13" fillId="0" borderId="0" xfId="0" applyFont="1" applyAlignment="1">
      <alignment horizontal="center" vertical="center"/>
    </xf>
    <xf numFmtId="0" fontId="13" fillId="4" borderId="67" xfId="0" applyFont="1" applyFill="1" applyBorder="1" applyAlignment="1">
      <alignment horizontal="center" vertical="center"/>
    </xf>
    <xf numFmtId="0" fontId="13" fillId="4" borderId="68" xfId="0" applyFont="1" applyFill="1" applyBorder="1" applyAlignment="1">
      <alignment horizontal="center" vertical="center"/>
    </xf>
    <xf numFmtId="0" fontId="12" fillId="5" borderId="69" xfId="0" applyFont="1" applyFill="1" applyBorder="1" applyAlignment="1">
      <alignment horizontal="center" vertical="center" wrapText="1"/>
    </xf>
    <xf numFmtId="0" fontId="12" fillId="5" borderId="64" xfId="0" applyFont="1" applyFill="1" applyBorder="1" applyAlignment="1">
      <alignment horizontal="center" vertical="center" wrapText="1"/>
    </xf>
    <xf numFmtId="1" fontId="12" fillId="5" borderId="64" xfId="0" applyNumberFormat="1" applyFont="1" applyFill="1" applyBorder="1" applyAlignment="1">
      <alignment horizontal="center" vertical="center"/>
    </xf>
    <xf numFmtId="0" fontId="12" fillId="0" borderId="64" xfId="0" applyFont="1" applyBorder="1" applyAlignment="1">
      <alignment horizontal="center" vertical="center" wrapText="1"/>
    </xf>
    <xf numFmtId="0" fontId="12" fillId="5" borderId="64" xfId="0" applyFont="1" applyFill="1" applyBorder="1" applyAlignment="1">
      <alignment horizontal="center" vertical="center"/>
    </xf>
    <xf numFmtId="0" fontId="12" fillId="0" borderId="69" xfId="0" applyFont="1" applyBorder="1" applyAlignment="1">
      <alignment horizontal="center" vertical="center" wrapText="1"/>
    </xf>
    <xf numFmtId="1" fontId="12" fillId="0" borderId="64" xfId="0" applyNumberFormat="1" applyFont="1" applyBorder="1" applyAlignment="1">
      <alignment horizontal="center" vertical="center"/>
    </xf>
    <xf numFmtId="0" fontId="12" fillId="0" borderId="64" xfId="0" applyFont="1" applyBorder="1" applyAlignment="1">
      <alignment horizontal="center" vertical="center"/>
    </xf>
    <xf numFmtId="0" fontId="12" fillId="5" borderId="70" xfId="0" applyFont="1" applyFill="1" applyBorder="1" applyAlignment="1">
      <alignment horizontal="center" vertical="center" wrapText="1"/>
    </xf>
    <xf numFmtId="0" fontId="12" fillId="5" borderId="71" xfId="0" applyFont="1" applyFill="1" applyBorder="1" applyAlignment="1">
      <alignment horizontal="center" vertical="center" wrapText="1"/>
    </xf>
    <xf numFmtId="0" fontId="12" fillId="5" borderId="71" xfId="0" applyFont="1" applyFill="1" applyBorder="1" applyAlignment="1" applyProtection="1">
      <alignment horizontal="center" vertical="center"/>
      <protection locked="0"/>
    </xf>
    <xf numFmtId="0" fontId="12" fillId="5" borderId="71" xfId="0" applyFont="1" applyFill="1" applyBorder="1" applyAlignment="1">
      <alignment horizontal="center" vertical="center"/>
    </xf>
    <xf numFmtId="0" fontId="12" fillId="0" borderId="71" xfId="0" applyFont="1" applyBorder="1" applyAlignment="1">
      <alignment horizontal="center" vertical="center" wrapText="1"/>
    </xf>
    <xf numFmtId="0" fontId="12" fillId="5" borderId="72" xfId="0" applyFont="1" applyFill="1" applyBorder="1" applyAlignment="1">
      <alignment horizontal="center" vertical="center"/>
    </xf>
    <xf numFmtId="0" fontId="12" fillId="5" borderId="73" xfId="0" applyFont="1" applyFill="1" applyBorder="1" applyAlignment="1">
      <alignment horizontal="center" vertical="center"/>
    </xf>
    <xf numFmtId="0" fontId="14" fillId="6" borderId="69" xfId="0" applyFont="1" applyFill="1" applyBorder="1" applyAlignment="1">
      <alignment horizontal="center" vertical="center"/>
    </xf>
    <xf numFmtId="0" fontId="14" fillId="6" borderId="64" xfId="0" applyFont="1" applyFill="1" applyBorder="1" applyAlignment="1">
      <alignment horizontal="center" vertical="center"/>
    </xf>
    <xf numFmtId="0" fontId="12" fillId="0" borderId="69" xfId="0" applyFont="1" applyBorder="1" applyAlignment="1">
      <alignment horizontal="center" vertical="center"/>
    </xf>
    <xf numFmtId="0" fontId="12" fillId="0" borderId="70" xfId="0" applyFont="1" applyBorder="1" applyAlignment="1">
      <alignment horizontal="center" vertical="center"/>
    </xf>
    <xf numFmtId="0" fontId="12" fillId="0" borderId="71" xfId="0" applyFont="1" applyBorder="1" applyAlignment="1">
      <alignment horizontal="center" vertical="center"/>
    </xf>
    <xf numFmtId="0" fontId="12" fillId="5" borderId="74" xfId="0" applyFont="1" applyFill="1" applyBorder="1" applyAlignment="1">
      <alignment horizontal="center" vertical="center" wrapText="1"/>
    </xf>
    <xf numFmtId="0" fontId="12" fillId="5" borderId="75" xfId="0" applyFont="1" applyFill="1" applyBorder="1" applyAlignment="1">
      <alignment horizontal="center" vertical="center" wrapText="1"/>
    </xf>
    <xf numFmtId="0" fontId="12" fillId="0" borderId="71" xfId="0" applyFont="1" applyBorder="1" applyAlignment="1" applyProtection="1">
      <alignment horizontal="center" vertical="center"/>
      <protection locked="0"/>
    </xf>
    <xf numFmtId="1" fontId="12" fillId="0" borderId="71" xfId="0" applyNumberFormat="1" applyFont="1" applyBorder="1" applyAlignment="1">
      <alignment horizontal="center" vertical="center"/>
    </xf>
    <xf numFmtId="0" fontId="12" fillId="5" borderId="76" xfId="0" applyFont="1" applyFill="1" applyBorder="1" applyAlignment="1">
      <alignment horizontal="center" vertical="center" wrapText="1"/>
    </xf>
    <xf numFmtId="0" fontId="12" fillId="5" borderId="77" xfId="0" applyFont="1" applyFill="1" applyBorder="1" applyAlignment="1">
      <alignment horizontal="center" vertical="center" wrapText="1"/>
    </xf>
    <xf numFmtId="0" fontId="13" fillId="4" borderId="78" xfId="0" applyFont="1" applyFill="1" applyBorder="1" applyAlignment="1">
      <alignment horizontal="center" vertical="center"/>
    </xf>
    <xf numFmtId="0" fontId="13" fillId="4" borderId="79" xfId="0" applyFont="1" applyFill="1" applyBorder="1" applyAlignment="1">
      <alignment horizontal="center" vertical="center"/>
    </xf>
    <xf numFmtId="0" fontId="13" fillId="4" borderId="80" xfId="0" applyFont="1" applyFill="1" applyBorder="1" applyAlignment="1">
      <alignment horizontal="center" vertical="center"/>
    </xf>
    <xf numFmtId="1" fontId="12" fillId="5" borderId="81" xfId="0" applyNumberFormat="1" applyFont="1" applyFill="1" applyBorder="1" applyAlignment="1">
      <alignment horizontal="center" vertical="center"/>
    </xf>
    <xf numFmtId="0" fontId="12" fillId="0" borderId="82" xfId="0" applyFont="1" applyBorder="1" applyAlignment="1">
      <alignment horizontal="center" vertical="center"/>
    </xf>
    <xf numFmtId="0" fontId="12" fillId="0" borderId="83" xfId="0" applyFont="1" applyBorder="1" applyAlignment="1">
      <alignment horizontal="center" vertical="center"/>
    </xf>
    <xf numFmtId="0" fontId="12" fillId="0" borderId="84" xfId="0" applyFont="1" applyBorder="1" applyAlignment="1">
      <alignment horizontal="center" vertical="center"/>
    </xf>
    <xf numFmtId="0" fontId="12" fillId="0" borderId="85" xfId="0" applyFont="1" applyBorder="1" applyAlignment="1">
      <alignment horizontal="center" vertical="center"/>
    </xf>
    <xf numFmtId="1" fontId="12" fillId="0" borderId="81" xfId="0" applyNumberFormat="1" applyFont="1" applyBorder="1" applyAlignment="1">
      <alignment horizontal="center" vertical="center"/>
    </xf>
    <xf numFmtId="0" fontId="12" fillId="5" borderId="86" xfId="0" applyFont="1" applyFill="1" applyBorder="1" applyAlignment="1">
      <alignment horizontal="center" vertical="center" wrapText="1"/>
    </xf>
    <xf numFmtId="0" fontId="12" fillId="5" borderId="85" xfId="0" applyFont="1" applyFill="1" applyBorder="1" applyAlignment="1">
      <alignment horizontal="center" vertical="center" wrapText="1"/>
    </xf>
    <xf numFmtId="0" fontId="12" fillId="5" borderId="87" xfId="0" applyFont="1" applyFill="1" applyBorder="1" applyAlignment="1">
      <alignment horizontal="center" vertical="center"/>
    </xf>
    <xf numFmtId="0" fontId="14" fillId="6" borderId="81" xfId="0" applyFont="1" applyFill="1" applyBorder="1" applyAlignment="1">
      <alignment horizontal="center" vertical="center"/>
    </xf>
    <xf numFmtId="0" fontId="12" fillId="0" borderId="81" xfId="0" applyFont="1" applyBorder="1" applyAlignment="1">
      <alignment horizontal="center" vertical="center"/>
    </xf>
    <xf numFmtId="0" fontId="12" fillId="0" borderId="88" xfId="0" applyFont="1" applyBorder="1" applyAlignment="1">
      <alignment horizontal="center" vertical="center"/>
    </xf>
    <xf numFmtId="0" fontId="15" fillId="4" borderId="1" xfId="0" applyFont="1" applyFill="1" applyBorder="1" applyAlignment="1">
      <alignment horizontal="center" vertical="center"/>
    </xf>
    <xf numFmtId="0" fontId="15" fillId="4" borderId="2" xfId="0" applyFont="1" applyFill="1" applyBorder="1" applyAlignment="1">
      <alignment horizontal="center" vertical="center"/>
    </xf>
    <xf numFmtId="0" fontId="1" fillId="5" borderId="3"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4" xfId="0" applyNumberFormat="1" applyFont="1" applyFill="1" applyBorder="1" applyAlignment="1">
      <alignment horizontal="center" vertical="center" wrapText="1"/>
    </xf>
    <xf numFmtId="0" fontId="1" fillId="0" borderId="6" xfId="0" applyFont="1" applyBorder="1" applyAlignment="1">
      <alignment horizontal="center" vertical="center" wrapText="1"/>
    </xf>
    <xf numFmtId="0" fontId="1" fillId="5" borderId="6" xfId="0" applyNumberFormat="1" applyFont="1" applyFill="1" applyBorder="1" applyAlignment="1">
      <alignment horizontal="center" vertical="center" wrapText="1"/>
    </xf>
    <xf numFmtId="0" fontId="15" fillId="4" borderId="7" xfId="0" applyFont="1" applyFill="1" applyBorder="1" applyAlignment="1">
      <alignment horizontal="center" vertical="center"/>
    </xf>
    <xf numFmtId="0" fontId="1" fillId="5" borderId="8"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5" borderId="8" xfId="0" applyNumberFormat="1" applyFont="1" applyFill="1" applyBorder="1" applyAlignment="1">
      <alignment horizontal="center" vertical="center" wrapText="1"/>
    </xf>
    <xf numFmtId="0" fontId="1" fillId="5" borderId="9" xfId="0" applyNumberFormat="1" applyFont="1" applyFill="1" applyBorder="1" applyAlignment="1">
      <alignment horizontal="center" vertical="center" wrapText="1"/>
    </xf>
    <xf numFmtId="0" fontId="0" fillId="0" borderId="0" xfId="49" applyAlignment="1" applyProtection="1">
      <alignment vertical="center"/>
    </xf>
    <xf numFmtId="49" fontId="16" fillId="0" borderId="89" xfId="49" applyNumberFormat="1" applyFont="1" applyBorder="1" applyAlignment="1">
      <alignment horizontal="center" vertical="top" wrapText="1"/>
      <protection locked="0"/>
    </xf>
    <xf numFmtId="49" fontId="16" fillId="0" borderId="90" xfId="49" applyNumberFormat="1" applyFont="1" applyBorder="1" applyAlignment="1">
      <alignment horizontal="center" vertical="top" wrapText="1"/>
      <protection locked="0"/>
    </xf>
    <xf numFmtId="49" fontId="16" fillId="2" borderId="91" xfId="49" applyNumberFormat="1" applyFont="1" applyFill="1" applyBorder="1" applyAlignment="1">
      <alignment horizontal="center" vertical="top" wrapText="1"/>
      <protection locked="0"/>
    </xf>
    <xf numFmtId="49" fontId="16" fillId="2" borderId="90" xfId="49" applyNumberFormat="1" applyFont="1" applyFill="1" applyBorder="1" applyAlignment="1">
      <alignment horizontal="center" vertical="top" wrapText="1"/>
      <protection locked="0"/>
    </xf>
    <xf numFmtId="49" fontId="16" fillId="0" borderId="91" xfId="49" applyNumberFormat="1" applyFont="1" applyBorder="1" applyAlignment="1">
      <alignment horizontal="center" vertical="top" wrapText="1"/>
      <protection locked="0"/>
    </xf>
    <xf numFmtId="49" fontId="16" fillId="0" borderId="85" xfId="49" applyNumberFormat="1" applyFont="1" applyBorder="1" applyAlignment="1">
      <alignment horizontal="center" vertical="top" wrapText="1"/>
      <protection locked="0"/>
    </xf>
    <xf numFmtId="49" fontId="16" fillId="2" borderId="85" xfId="49" applyNumberFormat="1" applyFont="1" applyFill="1" applyBorder="1" applyAlignment="1">
      <alignment horizontal="center" vertical="top" wrapText="1"/>
      <protection locked="0"/>
    </xf>
    <xf numFmtId="49" fontId="16" fillId="0" borderId="91" xfId="49" applyNumberFormat="1" applyFont="1" applyFill="1" applyBorder="1" applyAlignment="1">
      <alignment horizontal="center" vertical="top" wrapText="1"/>
      <protection locked="0"/>
    </xf>
    <xf numFmtId="49" fontId="16" fillId="0" borderId="85" xfId="49" applyNumberFormat="1" applyFont="1" applyFill="1" applyBorder="1" applyAlignment="1">
      <alignment horizontal="center" vertical="top" wrapText="1"/>
      <protection locked="0"/>
    </xf>
    <xf numFmtId="49" fontId="16" fillId="0" borderId="90" xfId="49" applyNumberFormat="1" applyFont="1" applyFill="1" applyBorder="1" applyAlignment="1">
      <alignment horizontal="center" vertical="top" wrapText="1"/>
      <protection locked="0"/>
    </xf>
    <xf numFmtId="49" fontId="0" fillId="0" borderId="0" xfId="49" applyNumberFormat="1" applyAlignment="1" applyProtection="1">
      <alignment vertical="center"/>
    </xf>
    <xf numFmtId="49" fontId="17" fillId="7" borderId="92" xfId="49" applyNumberFormat="1" applyFont="1" applyFill="1" applyBorder="1" applyAlignment="1">
      <alignment horizontal="center" vertical="top" wrapText="1"/>
      <protection locked="0"/>
    </xf>
    <xf numFmtId="0" fontId="0" fillId="0" borderId="0" xfId="49" applyFill="1" applyAlignment="1" applyProtection="1">
      <alignment vertical="center"/>
    </xf>
    <xf numFmtId="49" fontId="1" fillId="0" borderId="0" xfId="0" applyNumberFormat="1" applyFont="1" applyFill="1" applyAlignment="1">
      <alignment horizontal="center" vertical="center"/>
    </xf>
    <xf numFmtId="49" fontId="15" fillId="4" borderId="79" xfId="0" applyNumberFormat="1" applyFont="1" applyFill="1" applyBorder="1" applyAlignment="1" applyProtection="1">
      <alignment horizontal="left" vertical="center"/>
      <protection locked="0"/>
    </xf>
    <xf numFmtId="49" fontId="15" fillId="4" borderId="93" xfId="0" applyNumberFormat="1" applyFont="1" applyFill="1" applyBorder="1" applyAlignment="1" applyProtection="1">
      <alignment horizontal="left" vertical="center"/>
      <protection locked="0"/>
    </xf>
    <xf numFmtId="49" fontId="15" fillId="4" borderId="80" xfId="0" applyNumberFormat="1" applyFont="1" applyFill="1" applyBorder="1" applyAlignment="1" applyProtection="1">
      <alignment horizontal="left" vertical="center"/>
      <protection locked="0"/>
    </xf>
    <xf numFmtId="49" fontId="18" fillId="8" borderId="82" xfId="0" applyNumberFormat="1" applyFont="1" applyFill="1" applyBorder="1" applyAlignment="1">
      <alignment horizontal="center" vertical="center"/>
    </xf>
    <xf numFmtId="49" fontId="18" fillId="8" borderId="0" xfId="0" applyNumberFormat="1" applyFont="1" applyFill="1" applyBorder="1" applyAlignment="1">
      <alignment horizontal="center" vertical="center"/>
    </xf>
    <xf numFmtId="49" fontId="18" fillId="8" borderId="83" xfId="0" applyNumberFormat="1" applyFont="1" applyFill="1" applyBorder="1" applyAlignment="1">
      <alignment horizontal="center" vertical="center"/>
    </xf>
    <xf numFmtId="49" fontId="18" fillId="0" borderId="82" xfId="0" applyNumberFormat="1" applyFont="1" applyFill="1" applyBorder="1" applyAlignment="1" applyProtection="1">
      <alignment horizontal="center" vertical="center"/>
      <protection locked="0"/>
    </xf>
    <xf numFmtId="49" fontId="18" fillId="0" borderId="0" xfId="0" applyNumberFormat="1" applyFont="1" applyFill="1" applyBorder="1" applyAlignment="1" applyProtection="1">
      <alignment horizontal="center" vertical="center"/>
      <protection locked="0"/>
    </xf>
    <xf numFmtId="49" fontId="18" fillId="0" borderId="83" xfId="0" applyNumberFormat="1" applyFont="1" applyFill="1" applyBorder="1" applyAlignment="1" applyProtection="1">
      <alignment horizontal="center" vertical="center"/>
      <protection locked="0"/>
    </xf>
    <xf numFmtId="49" fontId="18" fillId="5" borderId="82" xfId="0" applyNumberFormat="1" applyFont="1" applyFill="1" applyBorder="1" applyAlignment="1" applyProtection="1">
      <alignment horizontal="center" vertical="center"/>
      <protection locked="0"/>
    </xf>
    <xf numFmtId="49" fontId="18" fillId="5" borderId="0" xfId="0" applyNumberFormat="1" applyFont="1" applyFill="1" applyBorder="1" applyAlignment="1" applyProtection="1">
      <alignment horizontal="center" vertical="center"/>
      <protection locked="0"/>
    </xf>
    <xf numFmtId="49" fontId="18" fillId="5" borderId="0" xfId="0" applyNumberFormat="1" applyFont="1" applyFill="1" applyBorder="1" applyAlignment="1" applyProtection="1">
      <alignment horizontal="center" vertical="center" wrapText="1"/>
      <protection locked="0"/>
    </xf>
    <xf numFmtId="49" fontId="18" fillId="5" borderId="83" xfId="0" applyNumberFormat="1" applyFont="1" applyFill="1" applyBorder="1" applyAlignment="1">
      <alignment horizontal="center" vertical="center"/>
    </xf>
    <xf numFmtId="49" fontId="18" fillId="0" borderId="0" xfId="0" applyNumberFormat="1" applyFont="1" applyFill="1" applyBorder="1" applyAlignment="1" applyProtection="1">
      <alignment horizontal="center" vertical="center" wrapText="1"/>
      <protection locked="0"/>
    </xf>
    <xf numFmtId="49" fontId="18" fillId="0" borderId="83" xfId="0" applyNumberFormat="1" applyFont="1" applyFill="1" applyBorder="1" applyAlignment="1">
      <alignment horizontal="center" vertical="center"/>
    </xf>
    <xf numFmtId="49" fontId="18" fillId="0" borderId="82" xfId="0" applyNumberFormat="1" applyFont="1" applyFill="1" applyBorder="1" applyAlignment="1" applyProtection="1">
      <alignment horizontal="center" vertical="center" wrapText="1"/>
      <protection locked="0"/>
    </xf>
    <xf numFmtId="49" fontId="18" fillId="0" borderId="83" xfId="0" applyNumberFormat="1" applyFont="1" applyFill="1" applyBorder="1" applyAlignment="1" applyProtection="1">
      <alignment horizontal="center" vertical="center" wrapText="1"/>
      <protection locked="0"/>
    </xf>
    <xf numFmtId="49" fontId="18" fillId="0" borderId="84" xfId="0" applyNumberFormat="1" applyFont="1" applyFill="1" applyBorder="1" applyAlignment="1" applyProtection="1">
      <alignment horizontal="center" vertical="center" wrapText="1"/>
      <protection locked="0"/>
    </xf>
    <xf numFmtId="49" fontId="18" fillId="0" borderId="77" xfId="0" applyNumberFormat="1" applyFont="1" applyFill="1" applyBorder="1" applyAlignment="1" applyProtection="1">
      <alignment horizontal="center" vertical="center" wrapText="1"/>
      <protection locked="0"/>
    </xf>
    <xf numFmtId="49" fontId="18" fillId="0" borderId="85" xfId="0" applyNumberFormat="1" applyFont="1" applyFill="1" applyBorder="1" applyAlignment="1" applyProtection="1">
      <alignment horizontal="center" vertical="center" wrapText="1"/>
      <protection locked="0"/>
    </xf>
    <xf numFmtId="0" fontId="15" fillId="0" borderId="0" xfId="0" applyFont="1" applyAlignment="1">
      <alignment horizontal="center" vertical="center"/>
    </xf>
    <xf numFmtId="0" fontId="15" fillId="4" borderId="79" xfId="0" applyFont="1" applyFill="1" applyBorder="1" applyAlignment="1">
      <alignment horizontal="center" vertical="center"/>
    </xf>
    <xf numFmtId="0" fontId="15" fillId="4" borderId="80" xfId="0" applyFont="1" applyFill="1" applyBorder="1" applyAlignment="1">
      <alignment horizontal="center" vertical="center"/>
    </xf>
    <xf numFmtId="0" fontId="1" fillId="9" borderId="82" xfId="0" applyFont="1" applyFill="1" applyBorder="1" applyAlignment="1">
      <alignment horizontal="center" vertical="center"/>
    </xf>
    <xf numFmtId="0" fontId="1" fillId="9" borderId="83" xfId="0" applyFont="1" applyFill="1" applyBorder="1" applyAlignment="1">
      <alignment horizontal="center" vertical="center"/>
    </xf>
    <xf numFmtId="0" fontId="1" fillId="0" borderId="82" xfId="0" applyFont="1" applyBorder="1" applyAlignment="1">
      <alignment horizontal="center" vertical="center"/>
    </xf>
    <xf numFmtId="0" fontId="1" fillId="0" borderId="83" xfId="0" applyFont="1" applyBorder="1" applyAlignment="1">
      <alignment horizontal="center" vertical="center"/>
    </xf>
    <xf numFmtId="0" fontId="1" fillId="5" borderId="82" xfId="0" applyFont="1" applyFill="1" applyBorder="1" applyAlignment="1">
      <alignment horizontal="center" vertical="center"/>
    </xf>
    <xf numFmtId="0" fontId="1" fillId="5" borderId="83" xfId="0" applyFont="1" applyFill="1" applyBorder="1" applyAlignment="1">
      <alignment horizontal="center" vertical="center"/>
    </xf>
    <xf numFmtId="0" fontId="1" fillId="5" borderId="84" xfId="0" applyFont="1" applyFill="1" applyBorder="1" applyAlignment="1">
      <alignment horizontal="center" vertical="center"/>
    </xf>
    <xf numFmtId="0" fontId="1" fillId="0" borderId="84" xfId="0" applyFont="1" applyBorder="1" applyAlignment="1">
      <alignment horizontal="center" vertical="center"/>
    </xf>
    <xf numFmtId="0" fontId="1" fillId="0" borderId="85" xfId="0" applyFont="1" applyBorder="1" applyAlignment="1">
      <alignment horizontal="center" vertical="center"/>
    </xf>
    <xf numFmtId="0" fontId="1" fillId="5" borderId="85" xfId="0" applyFont="1" applyFill="1" applyBorder="1" applyAlignment="1">
      <alignment horizontal="center" vertical="center"/>
    </xf>
    <xf numFmtId="0" fontId="1" fillId="0" borderId="1" xfId="0" applyFont="1" applyBorder="1" applyAlignment="1">
      <alignment horizontal="center" vertical="center"/>
    </xf>
    <xf numFmtId="0" fontId="1" fillId="0" borderId="3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94"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9" fillId="0" borderId="0" xfId="0" applyFont="1" applyAlignment="1" applyProtection="1">
      <alignment horizontal="center" vertical="center"/>
      <protection locked="0"/>
    </xf>
    <xf numFmtId="0" fontId="19" fillId="0" borderId="0" xfId="0" applyFont="1" applyAlignment="1" applyProtection="1">
      <alignment horizontal="left" vertical="center"/>
      <protection locked="0"/>
    </xf>
    <xf numFmtId="49" fontId="19" fillId="0" borderId="0" xfId="0" applyNumberFormat="1" applyFont="1" applyAlignment="1" applyProtection="1">
      <alignment horizontal="center" vertical="center"/>
      <protection locked="0"/>
    </xf>
    <xf numFmtId="0" fontId="19" fillId="0" borderId="0" xfId="0" applyFont="1" applyAlignment="1" applyProtection="1">
      <alignment horizontal="center" vertical="center" wrapText="1"/>
      <protection locked="0"/>
    </xf>
    <xf numFmtId="0" fontId="19" fillId="0" borderId="0" xfId="0" applyFont="1" applyAlignment="1" applyProtection="1">
      <alignment horizontal="left" vertical="center" wrapText="1"/>
      <protection locked="0"/>
    </xf>
    <xf numFmtId="0" fontId="20" fillId="4" borderId="79" xfId="0" applyFont="1" applyFill="1" applyBorder="1" applyAlignment="1" applyProtection="1">
      <alignment horizontal="center" vertical="center"/>
      <protection locked="0"/>
    </xf>
    <xf numFmtId="0" fontId="20" fillId="4" borderId="93" xfId="0" applyFont="1" applyFill="1" applyBorder="1" applyAlignment="1" applyProtection="1">
      <alignment horizontal="center" vertical="center"/>
      <protection locked="0"/>
    </xf>
    <xf numFmtId="49" fontId="20" fillId="4" borderId="93" xfId="0" applyNumberFormat="1" applyFont="1" applyFill="1" applyBorder="1" applyAlignment="1" applyProtection="1">
      <alignment horizontal="center" vertical="center"/>
      <protection locked="0"/>
    </xf>
    <xf numFmtId="0" fontId="20" fillId="4" borderId="93" xfId="0" applyFont="1" applyFill="1" applyBorder="1" applyAlignment="1" applyProtection="1">
      <alignment horizontal="center" vertical="center" wrapText="1"/>
      <protection locked="0"/>
    </xf>
    <xf numFmtId="0" fontId="20" fillId="4" borderId="80" xfId="0" applyFont="1" applyFill="1" applyBorder="1" applyAlignment="1" applyProtection="1">
      <alignment horizontal="center" vertical="center" wrapText="1"/>
      <protection locked="0"/>
    </xf>
    <xf numFmtId="0" fontId="19" fillId="0" borderId="82" xfId="0" applyFont="1" applyBorder="1" applyAlignment="1" applyProtection="1">
      <alignment horizontal="center" vertical="center"/>
      <protection locked="0"/>
    </xf>
    <xf numFmtId="0" fontId="21" fillId="0" borderId="0" xfId="0" applyFont="1" applyBorder="1" applyAlignment="1" applyProtection="1">
      <alignment horizontal="center" vertical="center"/>
      <protection locked="0"/>
    </xf>
    <xf numFmtId="0" fontId="21" fillId="0" borderId="83" xfId="0" applyFont="1" applyBorder="1" applyAlignment="1" applyProtection="1">
      <alignment horizontal="center" vertical="center"/>
      <protection locked="0"/>
    </xf>
    <xf numFmtId="0" fontId="19" fillId="5" borderId="82" xfId="0" applyFont="1" applyFill="1" applyBorder="1" applyAlignment="1" applyProtection="1">
      <alignment horizontal="center" vertical="center"/>
      <protection locked="0"/>
    </xf>
    <xf numFmtId="0" fontId="19" fillId="5" borderId="0" xfId="0" applyFont="1" applyFill="1" applyBorder="1" applyAlignment="1" applyProtection="1">
      <alignment horizontal="left" vertical="center"/>
      <protection locked="0"/>
    </xf>
    <xf numFmtId="49" fontId="19" fillId="5" borderId="0" xfId="0" applyNumberFormat="1" applyFont="1" applyFill="1" applyBorder="1" applyAlignment="1" applyProtection="1">
      <alignment horizontal="center" vertical="center"/>
      <protection locked="0"/>
    </xf>
    <xf numFmtId="0" fontId="19" fillId="5" borderId="0" xfId="0" applyFont="1" applyFill="1" applyBorder="1" applyAlignment="1" applyProtection="1">
      <alignment horizontal="center" vertical="center" wrapText="1"/>
      <protection locked="0"/>
    </xf>
    <xf numFmtId="0" fontId="19" fillId="5" borderId="0" xfId="0" applyFont="1" applyFill="1" applyBorder="1" applyAlignment="1">
      <alignment horizontal="center" vertical="center"/>
    </xf>
    <xf numFmtId="0" fontId="19" fillId="5" borderId="83" xfId="0" applyFont="1" applyFill="1" applyBorder="1" applyAlignment="1" applyProtection="1">
      <alignment horizontal="left" vertical="center" wrapText="1"/>
      <protection locked="0"/>
    </xf>
    <xf numFmtId="0" fontId="19" fillId="0" borderId="0" xfId="0" applyFont="1" applyBorder="1" applyAlignment="1" applyProtection="1">
      <alignment horizontal="left" vertical="center"/>
      <protection locked="0"/>
    </xf>
    <xf numFmtId="0" fontId="19" fillId="0" borderId="0" xfId="0" applyFont="1" applyBorder="1" applyAlignment="1" applyProtection="1">
      <alignment horizontal="center" vertical="center"/>
      <protection locked="0"/>
    </xf>
    <xf numFmtId="0" fontId="19" fillId="0" borderId="0" xfId="0" applyFont="1" applyBorder="1" applyAlignment="1" applyProtection="1">
      <alignment horizontal="center" vertical="center" wrapText="1"/>
      <protection locked="0"/>
    </xf>
    <xf numFmtId="0" fontId="19" fillId="0" borderId="0" xfId="0" applyFont="1" applyBorder="1" applyAlignment="1">
      <alignment horizontal="center" vertical="center"/>
    </xf>
    <xf numFmtId="0" fontId="19" fillId="0" borderId="83" xfId="0" applyFont="1" applyBorder="1" applyAlignment="1" applyProtection="1">
      <alignment horizontal="left" vertical="center"/>
      <protection locked="0"/>
    </xf>
    <xf numFmtId="0" fontId="19" fillId="0" borderId="84" xfId="0" applyFont="1" applyBorder="1" applyAlignment="1" applyProtection="1">
      <alignment horizontal="center" vertical="center"/>
      <protection locked="0"/>
    </xf>
    <xf numFmtId="0" fontId="19" fillId="0" borderId="77" xfId="0" applyFont="1" applyBorder="1" applyAlignment="1" applyProtection="1">
      <alignment horizontal="left" vertical="center"/>
      <protection locked="0"/>
    </xf>
    <xf numFmtId="0" fontId="19" fillId="0" borderId="77" xfId="0" applyFont="1" applyBorder="1" applyAlignment="1" applyProtection="1">
      <alignment horizontal="center" vertical="center"/>
      <protection locked="0"/>
    </xf>
    <xf numFmtId="0" fontId="19" fillId="0" borderId="77" xfId="0" applyFont="1" applyBorder="1" applyAlignment="1" applyProtection="1">
      <alignment horizontal="center" vertical="center" wrapText="1"/>
      <protection locked="0"/>
    </xf>
    <xf numFmtId="0" fontId="19" fillId="0" borderId="77" xfId="0" applyFont="1" applyBorder="1" applyAlignment="1">
      <alignment horizontal="center" vertical="center"/>
    </xf>
    <xf numFmtId="0" fontId="19" fillId="0" borderId="85" xfId="0" applyFont="1" applyBorder="1" applyAlignment="1" applyProtection="1">
      <alignment horizontal="left" vertical="center"/>
      <protection locked="0"/>
    </xf>
    <xf numFmtId="0" fontId="22" fillId="4" borderId="79" xfId="0" applyFont="1" applyFill="1" applyBorder="1" applyAlignment="1">
      <alignment horizontal="center" vertical="center"/>
    </xf>
    <xf numFmtId="0" fontId="22" fillId="4" borderId="93" xfId="0" applyFont="1" applyFill="1" applyBorder="1" applyAlignment="1">
      <alignment horizontal="center" vertical="center"/>
    </xf>
    <xf numFmtId="0" fontId="14" fillId="5" borderId="82" xfId="0" applyFont="1" applyFill="1" applyBorder="1" applyAlignment="1">
      <alignment horizontal="center" vertical="center" wrapText="1"/>
    </xf>
    <xf numFmtId="0" fontId="14" fillId="5" borderId="0" xfId="0" applyFont="1" applyFill="1" applyBorder="1" applyAlignment="1">
      <alignment horizontal="center" vertical="center" wrapText="1"/>
    </xf>
    <xf numFmtId="0" fontId="14" fillId="5" borderId="0" xfId="0" applyFont="1" applyFill="1" applyBorder="1" applyAlignment="1">
      <alignment horizontal="center" vertical="center"/>
    </xf>
    <xf numFmtId="1" fontId="14" fillId="5" borderId="0" xfId="0" applyNumberFormat="1" applyFont="1" applyFill="1" applyBorder="1" applyAlignment="1">
      <alignment horizontal="center" vertical="center"/>
    </xf>
    <xf numFmtId="0" fontId="14" fillId="0" borderId="0" xfId="0" applyFont="1" applyBorder="1" applyAlignment="1">
      <alignment horizontal="center" vertical="center" wrapText="1"/>
    </xf>
    <xf numFmtId="0" fontId="14" fillId="0" borderId="82" xfId="0" applyFont="1" applyBorder="1" applyAlignment="1">
      <alignment horizontal="center" vertical="center" wrapText="1"/>
    </xf>
    <xf numFmtId="0" fontId="14" fillId="0" borderId="0" xfId="0" applyFont="1" applyFill="1" applyBorder="1" applyAlignment="1">
      <alignment horizontal="center" vertical="center"/>
    </xf>
    <xf numFmtId="1" fontId="14" fillId="0" borderId="0" xfId="0" applyNumberFormat="1" applyFont="1" applyBorder="1" applyAlignment="1">
      <alignment horizontal="center" vertical="center"/>
    </xf>
    <xf numFmtId="0" fontId="14" fillId="0" borderId="0" xfId="0" applyFont="1" applyBorder="1" applyAlignment="1">
      <alignment horizontal="center" vertical="center"/>
    </xf>
    <xf numFmtId="0" fontId="23" fillId="0" borderId="0" xfId="0" applyFont="1" applyBorder="1" applyAlignment="1">
      <alignment horizontal="center" vertical="center" wrapText="1"/>
    </xf>
    <xf numFmtId="0" fontId="23" fillId="5" borderId="0" xfId="0" applyFont="1" applyFill="1" applyBorder="1" applyAlignment="1">
      <alignment horizontal="center" vertical="center" wrapText="1"/>
    </xf>
    <xf numFmtId="0" fontId="14" fillId="0" borderId="84" xfId="0" applyFont="1" applyBorder="1" applyAlignment="1">
      <alignment horizontal="center" vertical="center" wrapText="1"/>
    </xf>
    <xf numFmtId="0" fontId="14" fillId="0" borderId="77" xfId="0" applyFont="1" applyBorder="1" applyAlignment="1">
      <alignment horizontal="center" vertical="center" wrapText="1"/>
    </xf>
    <xf numFmtId="0" fontId="14" fillId="0" borderId="77" xfId="0" applyFont="1" applyFill="1" applyBorder="1" applyAlignment="1">
      <alignment horizontal="center" vertical="center"/>
    </xf>
    <xf numFmtId="0" fontId="23" fillId="5" borderId="77" xfId="0" applyFont="1" applyFill="1" applyBorder="1" applyAlignment="1">
      <alignment horizontal="center" vertical="center" wrapText="1"/>
    </xf>
    <xf numFmtId="0" fontId="14" fillId="5" borderId="0" xfId="0" applyFont="1" applyFill="1" applyBorder="1" applyAlignment="1" applyProtection="1">
      <alignment horizontal="center" vertical="center"/>
    </xf>
    <xf numFmtId="0" fontId="14" fillId="0" borderId="0" xfId="0" applyFont="1" applyFill="1" applyBorder="1" applyAlignment="1" applyProtection="1">
      <alignment horizontal="center" vertical="center"/>
    </xf>
    <xf numFmtId="0" fontId="14" fillId="0" borderId="77" xfId="0" applyFont="1" applyFill="1" applyBorder="1" applyAlignment="1" applyProtection="1">
      <alignment horizontal="center" vertical="center"/>
    </xf>
    <xf numFmtId="0" fontId="14" fillId="5" borderId="0" xfId="0" applyFont="1" applyFill="1" applyBorder="1" applyAlignment="1" applyProtection="1">
      <alignment horizontal="center" vertical="center"/>
      <protection locked="0"/>
    </xf>
    <xf numFmtId="0" fontId="14" fillId="0" borderId="0" xfId="0" applyFont="1" applyFill="1" applyBorder="1" applyAlignment="1" applyProtection="1">
      <alignment horizontal="center" vertical="center"/>
      <protection locked="0"/>
    </xf>
    <xf numFmtId="0" fontId="14" fillId="0" borderId="77" xfId="0" applyFont="1" applyFill="1" applyBorder="1" applyAlignment="1" applyProtection="1">
      <alignment horizontal="center" vertical="center"/>
      <protection locked="0"/>
    </xf>
    <xf numFmtId="0" fontId="14" fillId="2" borderId="0" xfId="0" applyFont="1" applyFill="1" applyBorder="1" applyAlignment="1">
      <alignment horizontal="center" vertical="center"/>
    </xf>
    <xf numFmtId="1" fontId="14" fillId="0" borderId="95" xfId="0" applyNumberFormat="1" applyFont="1" applyFill="1" applyBorder="1" applyAlignment="1">
      <alignment horizontal="center" vertical="center"/>
    </xf>
    <xf numFmtId="1" fontId="14" fillId="0" borderId="96" xfId="0" applyNumberFormat="1" applyFont="1" applyFill="1" applyBorder="1" applyAlignment="1">
      <alignment horizontal="center" vertical="center"/>
    </xf>
    <xf numFmtId="1" fontId="14" fillId="0" borderId="53" xfId="0" applyNumberFormat="1" applyFont="1" applyFill="1" applyBorder="1" applyAlignment="1">
      <alignment horizontal="center" vertical="center"/>
    </xf>
    <xf numFmtId="0" fontId="14" fillId="0" borderId="95" xfId="0" applyFont="1" applyBorder="1" applyAlignment="1">
      <alignment horizontal="center" vertical="center" wrapText="1"/>
    </xf>
    <xf numFmtId="0" fontId="14" fillId="0" borderId="96" xfId="0" applyFont="1" applyBorder="1" applyAlignment="1">
      <alignment horizontal="center" vertical="center" wrapText="1"/>
    </xf>
    <xf numFmtId="0" fontId="14" fillId="5" borderId="77" xfId="0" applyFont="1" applyFill="1" applyBorder="1" applyAlignment="1" applyProtection="1">
      <alignment horizontal="center" vertical="center"/>
      <protection locked="0"/>
    </xf>
    <xf numFmtId="1" fontId="14" fillId="0" borderId="97" xfId="0" applyNumberFormat="1" applyFont="1" applyFill="1" applyBorder="1" applyAlignment="1">
      <alignment horizontal="center" vertical="center"/>
    </xf>
    <xf numFmtId="1" fontId="14" fillId="0" borderId="98" xfId="0" applyNumberFormat="1" applyFont="1" applyFill="1" applyBorder="1" applyAlignment="1">
      <alignment horizontal="center" vertical="center"/>
    </xf>
    <xf numFmtId="0" fontId="14" fillId="0" borderId="0" xfId="0" applyFont="1" applyBorder="1" applyAlignment="1" applyProtection="1">
      <alignment horizontal="center" vertical="center"/>
    </xf>
    <xf numFmtId="0" fontId="14" fillId="2" borderId="0" xfId="0" applyFont="1" applyFill="1" applyBorder="1" applyAlignment="1" applyProtection="1">
      <alignment horizontal="center" vertical="center"/>
    </xf>
    <xf numFmtId="0" fontId="14" fillId="0" borderId="95" xfId="0" applyFont="1" applyBorder="1" applyAlignment="1" applyProtection="1">
      <alignment horizontal="center" vertical="center" wrapText="1"/>
    </xf>
    <xf numFmtId="0" fontId="14" fillId="0" borderId="96" xfId="0" applyFont="1" applyBorder="1" applyAlignment="1" applyProtection="1">
      <alignment horizontal="center" vertical="center" wrapText="1"/>
    </xf>
    <xf numFmtId="0" fontId="14" fillId="5" borderId="77" xfId="0" applyFont="1" applyFill="1" applyBorder="1" applyAlignment="1">
      <alignment horizontal="center" vertical="center"/>
    </xf>
    <xf numFmtId="1" fontId="14" fillId="0" borderId="99" xfId="0" applyNumberFormat="1" applyFont="1" applyFill="1" applyBorder="1" applyAlignment="1">
      <alignment horizontal="center" vertical="center"/>
    </xf>
    <xf numFmtId="0" fontId="14" fillId="0" borderId="97" xfId="0" applyFont="1" applyBorder="1" applyAlignment="1" applyProtection="1">
      <alignment horizontal="center" vertical="center" wrapText="1"/>
    </xf>
    <xf numFmtId="0" fontId="14" fillId="0" borderId="98" xfId="0" applyFont="1" applyBorder="1" applyAlignment="1" applyProtection="1">
      <alignment horizontal="center" vertical="center" wrapText="1"/>
    </xf>
    <xf numFmtId="0" fontId="14" fillId="0" borderId="0" xfId="0" applyFont="1" applyBorder="1" applyAlignment="1" applyProtection="1">
      <alignment horizontal="center" vertical="center"/>
      <protection locked="0"/>
    </xf>
    <xf numFmtId="0" fontId="14" fillId="2" borderId="0" xfId="0" applyFont="1" applyFill="1" applyBorder="1" applyAlignment="1" applyProtection="1">
      <alignment horizontal="center" vertical="center"/>
      <protection locked="0"/>
    </xf>
    <xf numFmtId="0" fontId="14" fillId="0" borderId="95" xfId="0" applyFont="1" applyBorder="1" applyAlignment="1" applyProtection="1">
      <alignment horizontal="center" vertical="center" wrapText="1"/>
      <protection locked="0"/>
    </xf>
    <xf numFmtId="0" fontId="14" fillId="0" borderId="96" xfId="0" applyFont="1" applyBorder="1" applyAlignment="1" applyProtection="1">
      <alignment horizontal="center" vertical="center" wrapText="1"/>
      <protection locked="0"/>
    </xf>
    <xf numFmtId="0" fontId="14" fillId="0" borderId="97" xfId="0" applyFont="1" applyBorder="1" applyAlignment="1" applyProtection="1">
      <alignment horizontal="center" vertical="center" wrapText="1"/>
      <protection locked="0"/>
    </xf>
    <xf numFmtId="0" fontId="14" fillId="0" borderId="98" xfId="0" applyFont="1" applyBorder="1" applyAlignment="1" applyProtection="1">
      <alignment horizontal="center" vertical="center" wrapText="1"/>
      <protection locked="0"/>
    </xf>
    <xf numFmtId="0" fontId="22" fillId="4" borderId="80" xfId="0" applyFont="1" applyFill="1" applyBorder="1" applyAlignment="1">
      <alignment horizontal="center" vertical="center"/>
    </xf>
    <xf numFmtId="1" fontId="14" fillId="5" borderId="83" xfId="0" applyNumberFormat="1" applyFont="1" applyFill="1" applyBorder="1" applyAlignment="1">
      <alignment horizontal="center" vertical="center"/>
    </xf>
    <xf numFmtId="1" fontId="14" fillId="0" borderId="83" xfId="0" applyNumberFormat="1" applyFont="1" applyBorder="1" applyAlignment="1">
      <alignment horizontal="center" vertical="center"/>
    </xf>
    <xf numFmtId="178" fontId="24" fillId="5" borderId="0" xfId="0" applyNumberFormat="1" applyFont="1" applyFill="1" applyBorder="1" applyAlignment="1" applyProtection="1">
      <alignment horizontal="center" vertical="center"/>
      <protection locked="0"/>
    </xf>
    <xf numFmtId="178" fontId="24" fillId="5" borderId="83" xfId="0" applyNumberFormat="1" applyFont="1" applyFill="1" applyBorder="1" applyAlignment="1" applyProtection="1">
      <alignment horizontal="center" vertical="center"/>
      <protection locked="0"/>
    </xf>
    <xf numFmtId="178" fontId="14" fillId="5" borderId="0" xfId="0" applyNumberFormat="1" applyFont="1" applyFill="1" applyBorder="1" applyAlignment="1" applyProtection="1">
      <alignment horizontal="center" vertical="center"/>
      <protection locked="0"/>
    </xf>
    <xf numFmtId="178" fontId="14" fillId="5" borderId="83" xfId="0" applyNumberFormat="1" applyFont="1" applyFill="1" applyBorder="1" applyAlignment="1" applyProtection="1">
      <alignment horizontal="center" vertical="center"/>
      <protection locked="0"/>
    </xf>
    <xf numFmtId="0" fontId="14" fillId="0" borderId="100" xfId="0" applyFont="1" applyBorder="1" applyAlignment="1">
      <alignment horizontal="center" vertical="center" wrapText="1"/>
    </xf>
    <xf numFmtId="1" fontId="14" fillId="0" borderId="101" xfId="0" applyNumberFormat="1" applyFont="1" applyFill="1" applyBorder="1" applyAlignment="1">
      <alignment horizontal="center" vertical="center"/>
    </xf>
    <xf numFmtId="0" fontId="14" fillId="0" borderId="100" xfId="0" applyFont="1" applyBorder="1" applyAlignment="1" applyProtection="1">
      <alignment horizontal="center" vertical="center" wrapText="1"/>
    </xf>
    <xf numFmtId="0" fontId="14" fillId="0" borderId="101" xfId="0" applyFont="1" applyBorder="1" applyAlignment="1" applyProtection="1">
      <alignment horizontal="center" vertical="center" wrapText="1"/>
    </xf>
    <xf numFmtId="0" fontId="14" fillId="0" borderId="100" xfId="0" applyFont="1" applyBorder="1" applyAlignment="1" applyProtection="1">
      <alignment horizontal="center" vertical="center" wrapText="1"/>
      <protection locked="0"/>
    </xf>
    <xf numFmtId="0" fontId="14" fillId="0" borderId="101" xfId="0" applyFont="1" applyBorder="1" applyAlignment="1" applyProtection="1">
      <alignment horizontal="center" vertical="center" wrapText="1"/>
      <protection locked="0"/>
    </xf>
    <xf numFmtId="0" fontId="14" fillId="0" borderId="97" xfId="0" applyFont="1" applyBorder="1" applyAlignment="1">
      <alignment horizontal="center" vertical="center" wrapText="1"/>
    </xf>
    <xf numFmtId="0" fontId="14" fillId="0" borderId="98" xfId="0" applyFont="1" applyBorder="1" applyAlignment="1">
      <alignment horizontal="center" vertical="center" wrapText="1"/>
    </xf>
    <xf numFmtId="0" fontId="14" fillId="0" borderId="101" xfId="0" applyFont="1" applyBorder="1" applyAlignment="1">
      <alignment horizontal="center" vertical="center" wrapText="1"/>
    </xf>
    <xf numFmtId="0" fontId="14" fillId="0" borderId="0" xfId="0" applyFont="1" applyAlignment="1">
      <alignment horizontal="left" vertical="top"/>
    </xf>
    <xf numFmtId="0" fontId="14" fillId="0" borderId="0" xfId="0" applyFont="1" applyAlignment="1">
      <alignment horizontal="center" vertical="center"/>
    </xf>
    <xf numFmtId="0" fontId="22" fillId="4" borderId="102" xfId="0" applyFont="1" applyFill="1" applyBorder="1" applyAlignment="1">
      <alignment horizontal="center" vertical="center"/>
    </xf>
    <xf numFmtId="0" fontId="22" fillId="4" borderId="103" xfId="0" applyFont="1" applyFill="1" applyBorder="1" applyAlignment="1">
      <alignment horizontal="center" vertical="center"/>
    </xf>
    <xf numFmtId="0" fontId="25" fillId="0" borderId="104" xfId="0" applyFont="1" applyBorder="1" applyAlignment="1">
      <alignment horizontal="center" vertical="center"/>
    </xf>
    <xf numFmtId="0" fontId="25" fillId="0" borderId="105" xfId="0" applyFont="1" applyBorder="1" applyAlignment="1">
      <alignment horizontal="center" vertical="center"/>
    </xf>
    <xf numFmtId="0" fontId="25" fillId="0" borderId="106" xfId="0" applyNumberFormat="1" applyFont="1" applyBorder="1" applyAlignment="1" applyProtection="1">
      <alignment horizontal="center" vertical="center"/>
      <protection locked="0"/>
    </xf>
    <xf numFmtId="0" fontId="25" fillId="0" borderId="107" xfId="0" applyNumberFormat="1" applyFont="1" applyBorder="1" applyAlignment="1" applyProtection="1">
      <alignment horizontal="center" vertical="center"/>
      <protection locked="0"/>
    </xf>
    <xf numFmtId="0" fontId="25" fillId="5" borderId="104" xfId="0" applyFont="1" applyFill="1" applyBorder="1" applyAlignment="1">
      <alignment horizontal="center" vertical="center"/>
    </xf>
    <xf numFmtId="0" fontId="25" fillId="5" borderId="105" xfId="0" applyFont="1" applyFill="1" applyBorder="1" applyAlignment="1">
      <alignment horizontal="center" vertical="center"/>
    </xf>
    <xf numFmtId="0" fontId="25" fillId="5" borderId="105" xfId="0" applyNumberFormat="1" applyFont="1" applyFill="1" applyBorder="1" applyAlignment="1" applyProtection="1">
      <alignment horizontal="center" vertical="center"/>
      <protection locked="0"/>
    </xf>
    <xf numFmtId="0" fontId="25" fillId="0" borderId="105" xfId="0" applyNumberFormat="1" applyFont="1" applyBorder="1" applyAlignment="1">
      <alignment horizontal="center" vertical="center"/>
    </xf>
    <xf numFmtId="0" fontId="25" fillId="5" borderId="106" xfId="0" applyNumberFormat="1" applyFont="1" applyFill="1" applyBorder="1" applyAlignment="1" applyProtection="1">
      <alignment horizontal="center" vertical="center"/>
      <protection locked="0"/>
    </xf>
    <xf numFmtId="0" fontId="25" fillId="5" borderId="107" xfId="0" applyNumberFormat="1" applyFont="1" applyFill="1" applyBorder="1" applyAlignment="1" applyProtection="1">
      <alignment horizontal="center" vertical="center"/>
      <protection locked="0"/>
    </xf>
    <xf numFmtId="0" fontId="25" fillId="0" borderId="108" xfId="0" applyFont="1" applyFill="1" applyBorder="1" applyAlignment="1">
      <alignment horizontal="center" vertical="center"/>
    </xf>
    <xf numFmtId="0" fontId="25" fillId="0" borderId="109" xfId="0" applyFont="1" applyFill="1" applyBorder="1" applyAlignment="1">
      <alignment horizontal="center" vertical="center"/>
    </xf>
    <xf numFmtId="0" fontId="25" fillId="0" borderId="109" xfId="0" applyNumberFormat="1" applyFont="1" applyFill="1" applyBorder="1" applyAlignment="1">
      <alignment horizontal="center" vertical="center"/>
    </xf>
    <xf numFmtId="0" fontId="14" fillId="0" borderId="0" xfId="0" applyFont="1" applyFill="1" applyAlignment="1">
      <alignment horizontal="center" vertical="center"/>
    </xf>
    <xf numFmtId="0" fontId="14" fillId="0" borderId="0" xfId="0" applyNumberFormat="1" applyFont="1" applyFill="1" applyAlignment="1">
      <alignment horizontal="left" vertical="center" indent="1"/>
    </xf>
    <xf numFmtId="0" fontId="22" fillId="4" borderId="110" xfId="0" applyFont="1" applyFill="1" applyBorder="1" applyAlignment="1">
      <alignment horizontal="center" vertical="center"/>
    </xf>
    <xf numFmtId="0" fontId="22" fillId="4" borderId="111" xfId="0" applyFont="1" applyFill="1" applyBorder="1" applyAlignment="1">
      <alignment horizontal="center" vertical="center"/>
    </xf>
    <xf numFmtId="0" fontId="25" fillId="5" borderId="82" xfId="0" applyFont="1" applyFill="1" applyBorder="1" applyAlignment="1">
      <alignment horizontal="center" vertical="center" wrapText="1"/>
    </xf>
    <xf numFmtId="0" fontId="25" fillId="5" borderId="112" xfId="0" applyFont="1" applyFill="1" applyBorder="1" applyAlignment="1">
      <alignment horizontal="center" vertical="center" wrapText="1"/>
    </xf>
    <xf numFmtId="0" fontId="14" fillId="5" borderId="113" xfId="0" applyFont="1" applyFill="1" applyBorder="1" applyAlignment="1" applyProtection="1">
      <alignment horizontal="center" vertical="center"/>
      <protection locked="0"/>
    </xf>
    <xf numFmtId="1" fontId="14" fillId="5" borderId="114" xfId="0" applyNumberFormat="1" applyFont="1" applyFill="1" applyBorder="1" applyAlignment="1">
      <alignment horizontal="center" vertical="center"/>
    </xf>
    <xf numFmtId="0" fontId="25" fillId="0" borderId="115" xfId="0" applyFont="1" applyBorder="1" applyAlignment="1">
      <alignment horizontal="center" vertical="center" wrapText="1"/>
    </xf>
    <xf numFmtId="0" fontId="14" fillId="5" borderId="105" xfId="0" applyFont="1" applyFill="1" applyBorder="1" applyAlignment="1" applyProtection="1">
      <alignment horizontal="center" vertical="center"/>
      <protection locked="0"/>
    </xf>
    <xf numFmtId="0" fontId="14" fillId="5" borderId="114" xfId="0" applyFont="1" applyFill="1" applyBorder="1" applyAlignment="1">
      <alignment horizontal="center" vertical="center"/>
    </xf>
    <xf numFmtId="0" fontId="25" fillId="0" borderId="82" xfId="0" applyFont="1" applyBorder="1" applyAlignment="1">
      <alignment horizontal="center" vertical="center" wrapText="1"/>
    </xf>
    <xf numFmtId="0" fontId="25" fillId="0" borderId="112" xfId="0" applyFont="1" applyBorder="1" applyAlignment="1">
      <alignment horizontal="center" vertical="center" wrapText="1"/>
    </xf>
    <xf numFmtId="0" fontId="14" fillId="0" borderId="105" xfId="0" applyFont="1" applyFill="1" applyBorder="1" applyAlignment="1" applyProtection="1">
      <alignment horizontal="center" vertical="center"/>
      <protection locked="0"/>
    </xf>
    <xf numFmtId="1" fontId="14" fillId="0" borderId="114" xfId="0" applyNumberFormat="1" applyFont="1" applyBorder="1" applyAlignment="1">
      <alignment horizontal="center" vertical="center"/>
    </xf>
    <xf numFmtId="0" fontId="25" fillId="5" borderId="115" xfId="0" applyFont="1" applyFill="1" applyBorder="1" applyAlignment="1">
      <alignment horizontal="center" vertical="center" wrapText="1"/>
    </xf>
    <xf numFmtId="0" fontId="14" fillId="0" borderId="114" xfId="0" applyFont="1" applyBorder="1" applyAlignment="1">
      <alignment horizontal="center" vertical="center"/>
    </xf>
    <xf numFmtId="0" fontId="14" fillId="0" borderId="114" xfId="0" applyFont="1" applyFill="1" applyBorder="1" applyAlignment="1">
      <alignment horizontal="center" vertical="center"/>
    </xf>
    <xf numFmtId="0" fontId="25" fillId="5" borderId="114" xfId="0" applyFont="1" applyFill="1" applyBorder="1" applyAlignment="1">
      <alignment horizontal="center" vertical="center" wrapText="1"/>
    </xf>
    <xf numFmtId="0" fontId="25" fillId="0" borderId="84" xfId="0" applyFont="1" applyBorder="1" applyAlignment="1">
      <alignment horizontal="center" vertical="center" wrapText="1"/>
    </xf>
    <xf numFmtId="0" fontId="25" fillId="0" borderId="116" xfId="0" applyFont="1" applyBorder="1" applyAlignment="1">
      <alignment horizontal="center" vertical="center" wrapText="1"/>
    </xf>
    <xf numFmtId="0" fontId="14" fillId="0" borderId="109" xfId="0" applyFont="1" applyFill="1" applyBorder="1" applyAlignment="1" applyProtection="1">
      <alignment horizontal="center" vertical="center"/>
      <protection locked="0"/>
    </xf>
    <xf numFmtId="0" fontId="14" fillId="0" borderId="117" xfId="0" applyFont="1" applyFill="1" applyBorder="1" applyAlignment="1">
      <alignment horizontal="center" vertical="center"/>
    </xf>
    <xf numFmtId="0" fontId="25" fillId="5" borderId="117" xfId="0" applyFont="1" applyFill="1" applyBorder="1" applyAlignment="1">
      <alignment horizontal="center" vertical="center" wrapText="1"/>
    </xf>
    <xf numFmtId="0" fontId="25" fillId="5" borderId="79" xfId="0" applyFont="1" applyFill="1" applyBorder="1" applyAlignment="1">
      <alignment horizontal="center" vertical="center" wrapText="1"/>
    </xf>
    <xf numFmtId="0" fontId="25" fillId="5" borderId="93" xfId="0" applyFont="1" applyFill="1" applyBorder="1" applyAlignment="1">
      <alignment horizontal="center" vertical="center" wrapText="1"/>
    </xf>
    <xf numFmtId="0" fontId="25" fillId="5" borderId="93" xfId="0" applyFont="1" applyFill="1" applyBorder="1" applyAlignment="1" applyProtection="1">
      <alignment horizontal="right" vertical="center"/>
      <protection locked="0"/>
    </xf>
    <xf numFmtId="177" fontId="25" fillId="5" borderId="118" xfId="0" applyNumberFormat="1" applyFont="1" applyFill="1" applyBorder="1" applyAlignment="1">
      <alignment horizontal="left" vertical="center"/>
    </xf>
    <xf numFmtId="0" fontId="25" fillId="5" borderId="84" xfId="0" applyFont="1" applyFill="1" applyBorder="1" applyAlignment="1">
      <alignment horizontal="center" vertical="center" wrapText="1"/>
    </xf>
    <xf numFmtId="0" fontId="25" fillId="5" borderId="77" xfId="0" applyFont="1" applyFill="1" applyBorder="1" applyAlignment="1">
      <alignment horizontal="center" vertical="center" wrapText="1"/>
    </xf>
    <xf numFmtId="0" fontId="25" fillId="5" borderId="77" xfId="0" applyFont="1" applyFill="1" applyBorder="1" applyAlignment="1" applyProtection="1">
      <alignment horizontal="right" vertical="center"/>
      <protection locked="0"/>
    </xf>
    <xf numFmtId="177" fontId="25" fillId="5" borderId="119" xfId="0" applyNumberFormat="1" applyFont="1" applyFill="1" applyBorder="1" applyAlignment="1">
      <alignment horizontal="left" vertical="center"/>
    </xf>
    <xf numFmtId="0" fontId="26" fillId="0" borderId="0" xfId="0" applyFont="1" applyAlignment="1">
      <alignment horizontal="left"/>
    </xf>
    <xf numFmtId="0" fontId="14" fillId="6" borderId="104" xfId="0" applyFont="1" applyFill="1" applyBorder="1" applyAlignment="1">
      <alignment horizontal="center" vertical="center"/>
    </xf>
    <xf numFmtId="0" fontId="14" fillId="6" borderId="105" xfId="0" applyFont="1" applyFill="1" applyBorder="1" applyAlignment="1">
      <alignment horizontal="center" vertical="center"/>
    </xf>
    <xf numFmtId="49" fontId="27" fillId="0" borderId="104" xfId="0" applyNumberFormat="1" applyFont="1" applyBorder="1" applyAlignment="1" applyProtection="1">
      <alignment horizontal="left" vertical="center"/>
      <protection locked="0"/>
    </xf>
    <xf numFmtId="49" fontId="14" fillId="0" borderId="105" xfId="0" applyNumberFormat="1" applyFont="1" applyBorder="1" applyAlignment="1" applyProtection="1">
      <alignment horizontal="center" vertical="center"/>
      <protection locked="0"/>
    </xf>
    <xf numFmtId="49" fontId="27" fillId="2" borderId="104" xfId="0" applyNumberFormat="1" applyFont="1" applyFill="1" applyBorder="1" applyAlignment="1" applyProtection="1">
      <alignment horizontal="left" vertical="center"/>
      <protection locked="0"/>
    </xf>
    <xf numFmtId="49" fontId="14" fillId="2" borderId="105" xfId="0" applyNumberFormat="1" applyFont="1" applyFill="1" applyBorder="1" applyAlignment="1" applyProtection="1">
      <alignment horizontal="center" vertical="center"/>
      <protection locked="0"/>
    </xf>
    <xf numFmtId="49" fontId="27" fillId="0" borderId="104" xfId="0" applyNumberFormat="1" applyFont="1" applyFill="1" applyBorder="1" applyAlignment="1" applyProtection="1">
      <alignment horizontal="left" vertical="center"/>
      <protection locked="0"/>
    </xf>
    <xf numFmtId="49" fontId="14" fillId="0" borderId="105" xfId="0" applyNumberFormat="1" applyFont="1" applyFill="1" applyBorder="1" applyAlignment="1" applyProtection="1">
      <alignment horizontal="center" vertical="center"/>
      <protection locked="0"/>
    </xf>
    <xf numFmtId="49" fontId="14" fillId="0" borderId="105" xfId="0" applyNumberFormat="1" applyFont="1" applyFill="1" applyBorder="1" applyAlignment="1" applyProtection="1">
      <alignment horizontal="center" vertical="center" wrapText="1"/>
      <protection locked="0"/>
    </xf>
    <xf numFmtId="0" fontId="14" fillId="2" borderId="105" xfId="0" applyFont="1" applyFill="1" applyBorder="1" applyAlignment="1" applyProtection="1">
      <alignment horizontal="center" vertical="center"/>
      <protection locked="0"/>
    </xf>
    <xf numFmtId="179" fontId="14" fillId="2" borderId="105" xfId="0" applyNumberFormat="1" applyFont="1" applyFill="1" applyBorder="1" applyAlignment="1" applyProtection="1">
      <alignment horizontal="center" vertical="center"/>
      <protection locked="0"/>
    </xf>
    <xf numFmtId="179" fontId="14" fillId="0" borderId="105" xfId="0" applyNumberFormat="1" applyFont="1" applyFill="1" applyBorder="1" applyAlignment="1" applyProtection="1">
      <alignment horizontal="center" vertical="center"/>
      <protection locked="0"/>
    </xf>
    <xf numFmtId="0" fontId="14" fillId="0" borderId="105" xfId="0" applyNumberFormat="1" applyFont="1" applyFill="1" applyBorder="1" applyAlignment="1" applyProtection="1">
      <alignment horizontal="center" vertical="center"/>
      <protection locked="0"/>
    </xf>
    <xf numFmtId="0" fontId="14" fillId="2" borderId="105" xfId="0" applyNumberFormat="1" applyFont="1" applyFill="1" applyBorder="1" applyAlignment="1" applyProtection="1">
      <alignment horizontal="center" vertical="center"/>
      <protection locked="0"/>
    </xf>
    <xf numFmtId="49" fontId="14" fillId="2" borderId="105" xfId="0" applyNumberFormat="1" applyFont="1" applyFill="1" applyBorder="1" applyAlignment="1" applyProtection="1">
      <alignment horizontal="center" vertical="center" wrapText="1"/>
      <protection locked="0"/>
    </xf>
    <xf numFmtId="49" fontId="14" fillId="2" borderId="106" xfId="0" applyNumberFormat="1" applyFont="1" applyFill="1" applyBorder="1" applyAlignment="1" applyProtection="1">
      <alignment horizontal="center" vertical="center"/>
      <protection locked="0"/>
    </xf>
    <xf numFmtId="49" fontId="14" fillId="2" borderId="107" xfId="0" applyNumberFormat="1" applyFont="1" applyFill="1" applyBorder="1" applyAlignment="1" applyProtection="1">
      <alignment horizontal="center" vertical="center"/>
      <protection locked="0"/>
    </xf>
    <xf numFmtId="49" fontId="14" fillId="2" borderId="120" xfId="0" applyNumberFormat="1" applyFont="1" applyFill="1" applyBorder="1" applyAlignment="1" applyProtection="1">
      <alignment horizontal="center" vertical="center"/>
      <protection locked="0"/>
    </xf>
    <xf numFmtId="0" fontId="25" fillId="0" borderId="105" xfId="0" applyNumberFormat="1" applyFont="1" applyBorder="1" applyAlignment="1" applyProtection="1">
      <alignment horizontal="center" vertical="center"/>
      <protection locked="0"/>
    </xf>
    <xf numFmtId="0" fontId="25" fillId="0" borderId="109" xfId="0" applyNumberFormat="1" applyFont="1" applyFill="1" applyBorder="1" applyAlignment="1" applyProtection="1">
      <alignment horizontal="center" vertical="center"/>
      <protection locked="0"/>
    </xf>
    <xf numFmtId="0" fontId="14" fillId="0" borderId="0" xfId="0" applyNumberFormat="1" applyFont="1" applyFill="1" applyAlignment="1">
      <alignment horizontal="center" vertical="center"/>
    </xf>
    <xf numFmtId="0" fontId="14" fillId="0" borderId="113" xfId="0" applyFont="1" applyBorder="1" applyAlignment="1" applyProtection="1">
      <alignment horizontal="center" vertical="center"/>
      <protection locked="0"/>
    </xf>
    <xf numFmtId="0" fontId="14" fillId="0" borderId="105" xfId="0" applyFont="1" applyBorder="1" applyAlignment="1" applyProtection="1">
      <alignment horizontal="center" vertical="center"/>
      <protection locked="0"/>
    </xf>
    <xf numFmtId="0" fontId="14" fillId="5" borderId="105" xfId="0" applyFont="1" applyFill="1" applyBorder="1" applyAlignment="1">
      <alignment horizontal="center" vertical="center"/>
    </xf>
    <xf numFmtId="0" fontId="14" fillId="5" borderId="121" xfId="0" applyFont="1" applyFill="1" applyBorder="1" applyAlignment="1">
      <alignment horizontal="center" vertical="center"/>
    </xf>
    <xf numFmtId="0" fontId="14" fillId="5" borderId="105" xfId="0" applyFont="1" applyFill="1" applyBorder="1" applyAlignment="1" applyProtection="1">
      <alignment horizontal="center" vertical="center"/>
    </xf>
    <xf numFmtId="1" fontId="25" fillId="0" borderId="122" xfId="0" applyNumberFormat="1" applyFont="1" applyFill="1" applyBorder="1" applyAlignment="1">
      <alignment horizontal="center" vertical="center"/>
    </xf>
    <xf numFmtId="1" fontId="25" fillId="0" borderId="123" xfId="0" applyNumberFormat="1" applyFont="1" applyFill="1" applyBorder="1" applyAlignment="1">
      <alignment horizontal="center" vertical="center"/>
    </xf>
    <xf numFmtId="1" fontId="25" fillId="0" borderId="124" xfId="0" applyNumberFormat="1" applyFont="1" applyFill="1" applyBorder="1" applyAlignment="1">
      <alignment horizontal="center" vertical="center"/>
    </xf>
    <xf numFmtId="0" fontId="14" fillId="0" borderId="113" xfId="0" applyFont="1" applyBorder="1" applyAlignment="1" applyProtection="1">
      <alignment horizontal="center" vertical="center" wrapText="1"/>
    </xf>
    <xf numFmtId="0" fontId="14" fillId="5" borderId="109" xfId="0" applyFont="1" applyFill="1" applyBorder="1" applyAlignment="1" applyProtection="1">
      <alignment horizontal="center" vertical="center"/>
    </xf>
    <xf numFmtId="1" fontId="25" fillId="0" borderId="125" xfId="0" applyNumberFormat="1" applyFont="1" applyFill="1" applyBorder="1" applyAlignment="1">
      <alignment horizontal="center" vertical="center"/>
    </xf>
    <xf numFmtId="1" fontId="25" fillId="0" borderId="126" xfId="0" applyNumberFormat="1" applyFont="1" applyFill="1" applyBorder="1" applyAlignment="1">
      <alignment horizontal="center" vertical="center"/>
    </xf>
    <xf numFmtId="1" fontId="25" fillId="0" borderId="127" xfId="0" applyNumberFormat="1" applyFont="1" applyFill="1" applyBorder="1" applyAlignment="1">
      <alignment horizontal="center" vertical="center"/>
    </xf>
    <xf numFmtId="0" fontId="14" fillId="0" borderId="109" xfId="0" applyFont="1" applyBorder="1" applyAlignment="1">
      <alignment horizontal="center" vertical="center" wrapText="1"/>
    </xf>
    <xf numFmtId="177" fontId="25" fillId="5" borderId="128" xfId="0" applyNumberFormat="1" applyFont="1" applyFill="1" applyBorder="1" applyAlignment="1">
      <alignment horizontal="left" vertical="center"/>
    </xf>
    <xf numFmtId="0" fontId="25" fillId="6" borderId="129" xfId="0" applyFont="1" applyFill="1" applyBorder="1" applyAlignment="1">
      <alignment horizontal="center" vertical="center" wrapText="1"/>
    </xf>
    <xf numFmtId="0" fontId="25" fillId="6" borderId="93" xfId="0" applyFont="1" applyFill="1" applyBorder="1" applyAlignment="1">
      <alignment horizontal="center" vertical="center" wrapText="1"/>
    </xf>
    <xf numFmtId="0" fontId="25" fillId="6" borderId="118" xfId="0" applyFont="1" applyFill="1" applyBorder="1" applyAlignment="1" applyProtection="1">
      <alignment horizontal="right" vertical="center"/>
      <protection locked="0"/>
    </xf>
    <xf numFmtId="0" fontId="25" fillId="6" borderId="130" xfId="0" applyFont="1" applyFill="1" applyBorder="1" applyAlignment="1" applyProtection="1">
      <alignment horizontal="right" vertical="center"/>
      <protection locked="0"/>
    </xf>
    <xf numFmtId="177" fontId="25" fillId="6" borderId="118" xfId="0" applyNumberFormat="1" applyFont="1" applyFill="1" applyBorder="1" applyAlignment="1">
      <alignment horizontal="left" vertical="center"/>
    </xf>
    <xf numFmtId="177" fontId="25" fillId="5" borderId="131" xfId="0" applyNumberFormat="1" applyFont="1" applyFill="1" applyBorder="1" applyAlignment="1">
      <alignment horizontal="left" vertical="center"/>
    </xf>
    <xf numFmtId="0" fontId="25" fillId="6" borderId="132" xfId="0" applyFont="1" applyFill="1" applyBorder="1" applyAlignment="1">
      <alignment horizontal="center" vertical="center" wrapText="1"/>
    </xf>
    <xf numFmtId="0" fontId="25" fillId="6" borderId="77" xfId="0" applyFont="1" applyFill="1" applyBorder="1" applyAlignment="1">
      <alignment horizontal="center" vertical="center" wrapText="1"/>
    </xf>
    <xf numFmtId="0" fontId="25" fillId="6" borderId="119" xfId="0" applyFont="1" applyFill="1" applyBorder="1" applyAlignment="1" applyProtection="1">
      <alignment horizontal="right" vertical="center"/>
      <protection locked="0"/>
    </xf>
    <xf numFmtId="0" fontId="25" fillId="6" borderId="133" xfId="0" applyFont="1" applyFill="1" applyBorder="1" applyAlignment="1" applyProtection="1">
      <alignment horizontal="right" vertical="center"/>
      <protection locked="0"/>
    </xf>
    <xf numFmtId="177" fontId="25" fillId="6" borderId="119" xfId="0" applyNumberFormat="1" applyFont="1" applyFill="1" applyBorder="1" applyAlignment="1">
      <alignment horizontal="left" vertical="center"/>
    </xf>
    <xf numFmtId="179" fontId="14" fillId="0" borderId="105" xfId="0" applyNumberFormat="1" applyFont="1" applyBorder="1" applyAlignment="1" applyProtection="1">
      <alignment horizontal="center" vertical="center"/>
      <protection locked="0"/>
    </xf>
    <xf numFmtId="179" fontId="14" fillId="2" borderId="105" xfId="0" applyNumberFormat="1" applyFont="1" applyFill="1" applyBorder="1" applyAlignment="1">
      <alignment horizontal="center" vertical="center"/>
    </xf>
    <xf numFmtId="179" fontId="14" fillId="0" borderId="105" xfId="0" applyNumberFormat="1" applyFont="1" applyFill="1" applyBorder="1" applyAlignment="1">
      <alignment horizontal="center" vertical="center"/>
    </xf>
    <xf numFmtId="0" fontId="28" fillId="0" borderId="0" xfId="0" applyFont="1" applyAlignment="1">
      <alignment horizontal="center" vertical="center"/>
    </xf>
    <xf numFmtId="176" fontId="28" fillId="0" borderId="0" xfId="0" applyNumberFormat="1" applyFont="1" applyAlignment="1">
      <alignment horizontal="center" vertical="center"/>
    </xf>
    <xf numFmtId="0" fontId="22" fillId="4" borderId="134" xfId="0" applyFont="1" applyFill="1" applyBorder="1" applyAlignment="1">
      <alignment horizontal="center" vertical="center"/>
    </xf>
    <xf numFmtId="0" fontId="25" fillId="0" borderId="135" xfId="0" applyNumberFormat="1" applyFont="1" applyBorder="1" applyAlignment="1" applyProtection="1">
      <alignment horizontal="center" vertical="center"/>
      <protection locked="0"/>
    </xf>
    <xf numFmtId="0" fontId="25" fillId="2" borderId="105" xfId="0" applyFont="1" applyFill="1" applyBorder="1" applyAlignment="1" applyProtection="1">
      <alignment horizontal="center" vertical="center"/>
      <protection locked="0"/>
    </xf>
    <xf numFmtId="0" fontId="25" fillId="2" borderId="136" xfId="0" applyFont="1" applyFill="1" applyBorder="1" applyAlignment="1" applyProtection="1">
      <alignment horizontal="center" vertical="center"/>
      <protection locked="0"/>
    </xf>
    <xf numFmtId="0" fontId="25" fillId="0" borderId="136" xfId="0" applyNumberFormat="1" applyFont="1" applyBorder="1" applyAlignment="1" applyProtection="1">
      <alignment horizontal="center" vertical="center"/>
      <protection locked="0"/>
    </xf>
    <xf numFmtId="0" fontId="25" fillId="5" borderId="135" xfId="0" applyNumberFormat="1" applyFont="1" applyFill="1" applyBorder="1" applyAlignment="1" applyProtection="1">
      <alignment horizontal="center" vertical="center"/>
      <protection locked="0"/>
    </xf>
    <xf numFmtId="0" fontId="25" fillId="0" borderId="137" xfId="0" applyNumberFormat="1" applyFont="1" applyFill="1" applyBorder="1" applyAlignment="1" applyProtection="1">
      <alignment horizontal="center" vertical="center"/>
      <protection locked="0"/>
    </xf>
    <xf numFmtId="0" fontId="22" fillId="4" borderId="138" xfId="0" applyFont="1" applyFill="1" applyBorder="1" applyAlignment="1">
      <alignment horizontal="center" vertical="center"/>
    </xf>
    <xf numFmtId="1" fontId="14" fillId="5" borderId="139" xfId="0" applyNumberFormat="1" applyFont="1" applyFill="1" applyBorder="1" applyAlignment="1">
      <alignment horizontal="center" vertical="center"/>
    </xf>
    <xf numFmtId="1" fontId="14" fillId="0" borderId="139" xfId="0" applyNumberFormat="1" applyFont="1" applyBorder="1" applyAlignment="1">
      <alignment horizontal="center" vertical="center"/>
    </xf>
    <xf numFmtId="0" fontId="14" fillId="0" borderId="105" xfId="0" applyFont="1" applyFill="1" applyBorder="1" applyAlignment="1">
      <alignment horizontal="center" vertical="center"/>
    </xf>
    <xf numFmtId="178" fontId="24" fillId="5" borderId="114" xfId="0" applyNumberFormat="1" applyFont="1" applyFill="1" applyBorder="1" applyAlignment="1" applyProtection="1">
      <alignment horizontal="center" vertical="center"/>
      <protection locked="0"/>
    </xf>
    <xf numFmtId="178" fontId="24" fillId="5" borderId="139" xfId="0" applyNumberFormat="1" applyFont="1" applyFill="1" applyBorder="1" applyAlignment="1" applyProtection="1">
      <alignment horizontal="center" vertical="center"/>
      <protection locked="0"/>
    </xf>
    <xf numFmtId="178" fontId="14" fillId="5" borderId="114" xfId="0" applyNumberFormat="1" applyFont="1" applyFill="1" applyBorder="1" applyAlignment="1" applyProtection="1">
      <alignment horizontal="center" vertical="center"/>
      <protection locked="0"/>
    </xf>
    <xf numFmtId="178" fontId="14" fillId="5" borderId="139" xfId="0" applyNumberFormat="1" applyFont="1" applyFill="1" applyBorder="1" applyAlignment="1" applyProtection="1">
      <alignment horizontal="center" vertical="center"/>
      <protection locked="0"/>
    </xf>
    <xf numFmtId="0" fontId="14" fillId="0" borderId="113" xfId="0" applyFont="1" applyBorder="1" applyAlignment="1">
      <alignment horizontal="center" vertical="center"/>
    </xf>
    <xf numFmtId="0" fontId="14" fillId="0" borderId="140" xfId="0" applyFont="1" applyBorder="1" applyAlignment="1">
      <alignment horizontal="center" vertical="center"/>
    </xf>
    <xf numFmtId="0" fontId="14" fillId="0" borderId="137" xfId="0" applyFont="1" applyBorder="1" applyAlignment="1">
      <alignment horizontal="center" vertical="center" wrapText="1"/>
    </xf>
    <xf numFmtId="0" fontId="14" fillId="0" borderId="109" xfId="0" applyFont="1" applyFill="1" applyBorder="1" applyAlignment="1">
      <alignment horizontal="center" vertical="center"/>
    </xf>
    <xf numFmtId="177" fontId="25" fillId="6" borderId="128" xfId="0" applyNumberFormat="1" applyFont="1" applyFill="1" applyBorder="1" applyAlignment="1">
      <alignment horizontal="left" vertical="center"/>
    </xf>
    <xf numFmtId="0" fontId="25" fillId="5" borderId="93" xfId="0" applyFont="1" applyFill="1" applyBorder="1" applyAlignment="1" applyProtection="1">
      <alignment horizontal="center" vertical="center"/>
      <protection locked="0"/>
    </xf>
    <xf numFmtId="177" fontId="29" fillId="5" borderId="118" xfId="0" applyNumberFormat="1" applyFont="1" applyFill="1" applyBorder="1" applyAlignment="1" applyProtection="1">
      <alignment horizontal="left" vertical="center"/>
      <protection locked="0"/>
    </xf>
    <xf numFmtId="177" fontId="25" fillId="6" borderId="131" xfId="0" applyNumberFormat="1" applyFont="1" applyFill="1" applyBorder="1" applyAlignment="1">
      <alignment horizontal="left" vertical="center"/>
    </xf>
    <xf numFmtId="0" fontId="25" fillId="5" borderId="77" xfId="0" applyFont="1" applyFill="1" applyBorder="1" applyAlignment="1" applyProtection="1">
      <alignment horizontal="center" vertical="center"/>
      <protection locked="0"/>
    </xf>
    <xf numFmtId="177" fontId="29" fillId="5" borderId="119" xfId="0" applyNumberFormat="1" applyFont="1" applyFill="1" applyBorder="1" applyAlignment="1" applyProtection="1">
      <alignment horizontal="left" vertical="center"/>
      <protection locked="0"/>
    </xf>
    <xf numFmtId="179" fontId="14" fillId="0" borderId="105" xfId="0" applyNumberFormat="1" applyFont="1" applyBorder="1" applyAlignment="1">
      <alignment horizontal="center" vertical="center"/>
    </xf>
    <xf numFmtId="179" fontId="14" fillId="2" borderId="105" xfId="0" applyNumberFormat="1" applyFont="1" applyFill="1" applyBorder="1" applyAlignment="1" applyProtection="1">
      <alignment horizontal="center" vertical="center" wrapText="1"/>
      <protection locked="0"/>
    </xf>
    <xf numFmtId="0" fontId="25" fillId="0" borderId="79" xfId="0" applyFont="1" applyFill="1" applyBorder="1" applyAlignment="1" applyProtection="1">
      <alignment horizontal="center" vertical="center" wrapText="1"/>
    </xf>
    <xf numFmtId="0" fontId="25" fillId="0" borderId="93" xfId="0" applyFont="1" applyFill="1" applyBorder="1" applyAlignment="1" applyProtection="1">
      <alignment horizontal="center" vertical="center" wrapText="1"/>
    </xf>
    <xf numFmtId="0" fontId="25" fillId="0" borderId="141" xfId="0" applyFont="1" applyFill="1" applyBorder="1" applyAlignment="1" applyProtection="1">
      <alignment horizontal="center" vertical="center"/>
    </xf>
    <xf numFmtId="0" fontId="25" fillId="0" borderId="84" xfId="0" applyFont="1" applyFill="1" applyBorder="1" applyAlignment="1" applyProtection="1">
      <alignment horizontal="center" vertical="center" wrapText="1"/>
    </xf>
    <xf numFmtId="0" fontId="25" fillId="0" borderId="77" xfId="0" applyFont="1" applyFill="1" applyBorder="1" applyAlignment="1" applyProtection="1">
      <alignment horizontal="center" vertical="center" wrapText="1"/>
    </xf>
    <xf numFmtId="0" fontId="14" fillId="0" borderId="142" xfId="0" applyFont="1" applyFill="1" applyBorder="1" applyAlignment="1" applyProtection="1">
      <alignment horizontal="center" vertical="center"/>
    </xf>
    <xf numFmtId="0" fontId="14" fillId="0" borderId="0" xfId="0" applyFont="1" applyFill="1" applyAlignment="1">
      <alignment horizontal="center" vertical="center" wrapText="1"/>
    </xf>
    <xf numFmtId="0" fontId="25" fillId="0" borderId="93" xfId="0" applyFont="1" applyFill="1" applyBorder="1" applyAlignment="1" applyProtection="1">
      <alignment horizontal="center" vertical="center"/>
    </xf>
    <xf numFmtId="0" fontId="25" fillId="0" borderId="84" xfId="0" applyFont="1" applyFill="1" applyBorder="1" applyAlignment="1" applyProtection="1">
      <alignment horizontal="center" vertical="center"/>
    </xf>
    <xf numFmtId="0" fontId="25" fillId="0" borderId="77" xfId="0" applyFont="1" applyFill="1" applyBorder="1" applyAlignment="1" applyProtection="1">
      <alignment horizontal="center" vertical="center"/>
    </xf>
    <xf numFmtId="1" fontId="14" fillId="5" borderId="105" xfId="0" applyNumberFormat="1" applyFont="1" applyFill="1" applyBorder="1" applyAlignment="1">
      <alignment horizontal="center" vertical="center"/>
    </xf>
    <xf numFmtId="1" fontId="25" fillId="5" borderId="105" xfId="0" applyNumberFormat="1" applyFont="1" applyFill="1" applyBorder="1" applyAlignment="1">
      <alignment horizontal="center" vertical="center"/>
    </xf>
    <xf numFmtId="0" fontId="14" fillId="0" borderId="105" xfId="0" applyFont="1" applyBorder="1" applyAlignment="1">
      <alignment horizontal="center" vertical="center"/>
    </xf>
    <xf numFmtId="1" fontId="14" fillId="0" borderId="105" xfId="0" applyNumberFormat="1" applyFont="1" applyBorder="1" applyAlignment="1">
      <alignment horizontal="center" vertical="center"/>
    </xf>
    <xf numFmtId="1" fontId="25" fillId="0" borderId="105" xfId="0" applyNumberFormat="1" applyFont="1" applyBorder="1" applyAlignment="1">
      <alignment horizontal="center" vertical="center"/>
    </xf>
    <xf numFmtId="0" fontId="14" fillId="2" borderId="105" xfId="0" applyFont="1" applyFill="1" applyBorder="1" applyAlignment="1">
      <alignment horizontal="center" vertical="center"/>
    </xf>
    <xf numFmtId="1" fontId="25" fillId="2" borderId="105" xfId="0" applyNumberFormat="1" applyFont="1" applyFill="1" applyBorder="1" applyAlignment="1">
      <alignment horizontal="center" vertical="center"/>
    </xf>
    <xf numFmtId="0" fontId="14" fillId="5" borderId="109" xfId="0" applyFont="1" applyFill="1" applyBorder="1" applyAlignment="1" applyProtection="1">
      <alignment horizontal="center" vertical="center"/>
      <protection locked="0"/>
    </xf>
    <xf numFmtId="177" fontId="29" fillId="5" borderId="128" xfId="0" applyNumberFormat="1" applyFont="1" applyFill="1" applyBorder="1" applyAlignment="1" applyProtection="1">
      <alignment horizontal="left" vertical="center"/>
      <protection locked="0"/>
    </xf>
    <xf numFmtId="177" fontId="29" fillId="5" borderId="131" xfId="0" applyNumberFormat="1" applyFont="1" applyFill="1" applyBorder="1" applyAlignment="1" applyProtection="1">
      <alignment horizontal="left" vertical="center"/>
      <protection locked="0"/>
    </xf>
    <xf numFmtId="0" fontId="14" fillId="6" borderId="143" xfId="0" applyFont="1" applyFill="1" applyBorder="1" applyAlignment="1">
      <alignment horizontal="center" vertical="center"/>
    </xf>
    <xf numFmtId="0" fontId="14" fillId="6" borderId="120" xfId="0" applyFont="1" applyFill="1" applyBorder="1" applyAlignment="1">
      <alignment horizontal="center" vertical="center"/>
    </xf>
    <xf numFmtId="179" fontId="14" fillId="0" borderId="143" xfId="0" applyNumberFormat="1" applyFont="1" applyBorder="1" applyAlignment="1">
      <alignment horizontal="center" vertical="center"/>
    </xf>
    <xf numFmtId="49" fontId="27" fillId="2" borderId="120" xfId="0" applyNumberFormat="1" applyFont="1" applyFill="1" applyBorder="1" applyAlignment="1" applyProtection="1">
      <alignment horizontal="left" vertical="center"/>
      <protection locked="0"/>
    </xf>
    <xf numFmtId="179" fontId="14" fillId="2" borderId="143" xfId="0" applyNumberFormat="1" applyFont="1" applyFill="1" applyBorder="1" applyAlignment="1">
      <alignment horizontal="center" vertical="center"/>
    </xf>
    <xf numFmtId="49" fontId="27" fillId="0" borderId="120" xfId="0" applyNumberFormat="1" applyFont="1" applyFill="1" applyBorder="1" applyAlignment="1" applyProtection="1">
      <alignment horizontal="left" vertical="center"/>
      <protection locked="0"/>
    </xf>
    <xf numFmtId="179" fontId="14" fillId="0" borderId="143" xfId="0" applyNumberFormat="1" applyFont="1" applyFill="1" applyBorder="1" applyAlignment="1">
      <alignment horizontal="center" vertical="center"/>
    </xf>
    <xf numFmtId="0" fontId="30" fillId="2" borderId="120" xfId="0" applyFont="1" applyFill="1" applyBorder="1" applyAlignment="1" applyProtection="1">
      <alignment horizontal="left" vertical="center"/>
    </xf>
    <xf numFmtId="0" fontId="30" fillId="0" borderId="120" xfId="0" applyFont="1" applyBorder="1" applyAlignment="1" applyProtection="1">
      <alignment horizontal="left" vertical="center"/>
    </xf>
    <xf numFmtId="0" fontId="14" fillId="2" borderId="105" xfId="0" applyNumberFormat="1" applyFont="1" applyFill="1" applyBorder="1" applyAlignment="1" applyProtection="1">
      <alignment horizontal="center" vertical="center"/>
    </xf>
    <xf numFmtId="0" fontId="30" fillId="0" borderId="120" xfId="0" applyFont="1" applyFill="1" applyBorder="1" applyAlignment="1" applyProtection="1">
      <alignment horizontal="left" vertical="center"/>
    </xf>
    <xf numFmtId="0" fontId="14" fillId="0" borderId="105" xfId="0" applyNumberFormat="1" applyFont="1" applyFill="1" applyBorder="1" applyAlignment="1" applyProtection="1">
      <alignment horizontal="center" vertical="center"/>
    </xf>
    <xf numFmtId="0" fontId="25" fillId="0" borderId="141" xfId="0" applyFont="1" applyBorder="1" applyAlignment="1" applyProtection="1">
      <alignment horizontal="center" vertical="center"/>
    </xf>
    <xf numFmtId="0" fontId="14" fillId="0" borderId="142" xfId="0" applyFont="1" applyBorder="1" applyAlignment="1" applyProtection="1">
      <alignment horizontal="center" vertical="center"/>
    </xf>
    <xf numFmtId="0" fontId="14" fillId="0" borderId="142" xfId="0" applyFont="1" applyBorder="1" applyAlignment="1" applyProtection="1">
      <alignment horizontal="center" vertical="center"/>
      <protection locked="0"/>
    </xf>
    <xf numFmtId="1" fontId="14" fillId="0" borderId="105" xfId="0" applyNumberFormat="1" applyFont="1" applyBorder="1" applyAlignment="1" applyProtection="1">
      <alignment horizontal="center" vertical="center"/>
      <protection locked="0"/>
    </xf>
    <xf numFmtId="1" fontId="14" fillId="5" borderId="105" xfId="0" applyNumberFormat="1" applyFont="1" applyFill="1" applyBorder="1" applyAlignment="1" applyProtection="1">
      <alignment horizontal="center" vertical="center"/>
      <protection locked="0"/>
    </xf>
    <xf numFmtId="1" fontId="25" fillId="0" borderId="105" xfId="0" applyNumberFormat="1" applyFont="1" applyFill="1" applyBorder="1" applyAlignment="1">
      <alignment horizontal="center" vertical="center"/>
    </xf>
    <xf numFmtId="0" fontId="14" fillId="0" borderId="105" xfId="0" applyFont="1" applyBorder="1" applyAlignment="1" applyProtection="1">
      <alignment horizontal="center" vertical="center" wrapText="1"/>
    </xf>
    <xf numFmtId="1" fontId="25" fillId="0" borderId="109" xfId="0" applyNumberFormat="1" applyFont="1" applyFill="1" applyBorder="1" applyAlignment="1">
      <alignment horizontal="center" vertical="center"/>
    </xf>
    <xf numFmtId="0" fontId="14" fillId="0" borderId="109" xfId="0" applyFont="1" applyBorder="1" applyAlignment="1" applyProtection="1">
      <alignment horizontal="center" vertical="center" wrapText="1"/>
      <protection locked="0"/>
    </xf>
    <xf numFmtId="0" fontId="22" fillId="0" borderId="0" xfId="0" applyFont="1" applyAlignment="1">
      <alignment horizontal="center" vertical="center"/>
    </xf>
    <xf numFmtId="0" fontId="25" fillId="5" borderId="144" xfId="0" applyFont="1" applyFill="1" applyBorder="1" applyAlignment="1">
      <alignment horizontal="center" vertical="center"/>
    </xf>
    <xf numFmtId="0" fontId="25" fillId="5" borderId="118" xfId="0" applyFont="1" applyFill="1" applyBorder="1" applyAlignment="1">
      <alignment horizontal="center" vertical="center"/>
    </xf>
    <xf numFmtId="0" fontId="25" fillId="5" borderId="68" xfId="0" applyFont="1" applyFill="1" applyBorder="1" applyAlignment="1" applyProtection="1">
      <alignment horizontal="center" vertical="center"/>
      <protection locked="0"/>
    </xf>
    <xf numFmtId="0" fontId="25" fillId="5" borderId="145" xfId="0" applyFont="1" applyFill="1" applyBorder="1" applyAlignment="1" applyProtection="1">
      <alignment horizontal="center" vertical="center"/>
      <protection locked="0"/>
    </xf>
    <xf numFmtId="0" fontId="25" fillId="5" borderId="71" xfId="0" applyFont="1" applyFill="1" applyBorder="1" applyAlignment="1" applyProtection="1">
      <alignment horizontal="center" vertical="center"/>
      <protection locked="0"/>
    </xf>
    <xf numFmtId="179" fontId="14" fillId="0" borderId="105" xfId="0" applyNumberFormat="1" applyFont="1" applyFill="1" applyBorder="1" applyAlignment="1" applyProtection="1">
      <alignment horizontal="center" vertical="center"/>
    </xf>
    <xf numFmtId="0" fontId="14" fillId="2" borderId="105" xfId="0" applyFont="1" applyFill="1" applyBorder="1" applyAlignment="1" applyProtection="1">
      <alignment horizontal="center" vertical="center"/>
    </xf>
    <xf numFmtId="0" fontId="14" fillId="0" borderId="105" xfId="0" applyFont="1" applyFill="1" applyBorder="1" applyAlignment="1" applyProtection="1">
      <alignment horizontal="center" vertical="center"/>
    </xf>
    <xf numFmtId="0" fontId="25" fillId="0" borderId="146" xfId="0" applyFont="1" applyBorder="1" applyAlignment="1" applyProtection="1">
      <alignment horizontal="center" vertical="center"/>
    </xf>
    <xf numFmtId="0" fontId="25" fillId="0" borderId="147" xfId="0" applyFont="1" applyBorder="1" applyAlignment="1" applyProtection="1">
      <alignment horizontal="center" vertical="center"/>
    </xf>
    <xf numFmtId="0" fontId="14" fillId="0" borderId="97" xfId="0" applyFont="1" applyBorder="1" applyAlignment="1" applyProtection="1">
      <alignment horizontal="center" vertical="center"/>
    </xf>
    <xf numFmtId="0" fontId="14" fillId="0" borderId="99" xfId="0" applyFont="1" applyBorder="1" applyAlignment="1" applyProtection="1">
      <alignment horizontal="center" vertical="center"/>
    </xf>
    <xf numFmtId="0" fontId="14" fillId="0" borderId="0" xfId="0" applyFont="1">
      <alignment vertical="center"/>
    </xf>
    <xf numFmtId="0" fontId="14" fillId="0" borderId="97" xfId="0" applyFont="1" applyBorder="1" applyAlignment="1" applyProtection="1">
      <alignment horizontal="center" vertical="center"/>
      <protection locked="0"/>
    </xf>
    <xf numFmtId="0" fontId="14" fillId="5" borderId="79" xfId="0" applyFont="1" applyFill="1" applyBorder="1" applyAlignment="1">
      <alignment horizontal="center" vertical="center"/>
    </xf>
    <xf numFmtId="0" fontId="14" fillId="5" borderId="93" xfId="0" applyFont="1" applyFill="1" applyBorder="1" applyAlignment="1">
      <alignment horizontal="center" vertical="center"/>
    </xf>
    <xf numFmtId="1" fontId="25" fillId="5" borderId="136" xfId="0" applyNumberFormat="1" applyFont="1" applyFill="1" applyBorder="1" applyAlignment="1">
      <alignment horizontal="center" vertical="center"/>
    </xf>
    <xf numFmtId="0" fontId="14" fillId="5" borderId="82" xfId="0" applyFont="1" applyFill="1" applyBorder="1" applyAlignment="1">
      <alignment horizontal="center" vertical="center"/>
    </xf>
    <xf numFmtId="0" fontId="14" fillId="5" borderId="0" xfId="0" applyFont="1" applyFill="1" applyAlignment="1">
      <alignment horizontal="center" vertical="center"/>
    </xf>
    <xf numFmtId="1" fontId="14" fillId="5" borderId="136" xfId="0" applyNumberFormat="1" applyFont="1" applyFill="1" applyBorder="1" applyAlignment="1" applyProtection="1">
      <alignment horizontal="center" vertical="center"/>
      <protection locked="0"/>
    </xf>
    <xf numFmtId="1" fontId="25" fillId="0" borderId="136" xfId="0" applyNumberFormat="1" applyFont="1" applyBorder="1" applyAlignment="1">
      <alignment horizontal="center" vertical="center"/>
    </xf>
    <xf numFmtId="1" fontId="14" fillId="0" borderId="136" xfId="0" applyNumberFormat="1" applyFont="1" applyBorder="1" applyAlignment="1" applyProtection="1">
      <alignment horizontal="center" vertical="center"/>
      <protection locked="0"/>
    </xf>
    <xf numFmtId="178" fontId="24" fillId="5" borderId="105" xfId="0" applyNumberFormat="1" applyFont="1" applyFill="1" applyBorder="1" applyAlignment="1">
      <alignment horizontal="center" vertical="center"/>
    </xf>
    <xf numFmtId="178" fontId="24" fillId="5" borderId="136" xfId="0" applyNumberFormat="1" applyFont="1" applyFill="1" applyBorder="1" applyAlignment="1">
      <alignment horizontal="center" vertical="center"/>
    </xf>
    <xf numFmtId="178" fontId="14" fillId="5" borderId="105" xfId="0" applyNumberFormat="1" applyFont="1" applyFill="1" applyBorder="1" applyAlignment="1">
      <alignment horizontal="center" vertical="center"/>
    </xf>
    <xf numFmtId="178" fontId="14" fillId="5" borderId="136" xfId="0" applyNumberFormat="1" applyFont="1" applyFill="1" applyBorder="1" applyAlignment="1">
      <alignment horizontal="center" vertical="center"/>
    </xf>
    <xf numFmtId="0" fontId="14" fillId="0" borderId="136" xfId="0" applyFont="1" applyBorder="1" applyAlignment="1">
      <alignment horizontal="center" vertical="center"/>
    </xf>
    <xf numFmtId="0" fontId="14" fillId="0" borderId="137" xfId="0" applyFont="1" applyBorder="1" applyAlignment="1" applyProtection="1">
      <alignment horizontal="center" vertical="center" wrapText="1"/>
      <protection locked="0"/>
    </xf>
    <xf numFmtId="0" fontId="14" fillId="5" borderId="84" xfId="0" applyFont="1" applyFill="1" applyBorder="1" applyAlignment="1">
      <alignment horizontal="center" vertical="center"/>
    </xf>
    <xf numFmtId="0" fontId="25" fillId="5" borderId="130" xfId="0" applyFont="1" applyFill="1" applyBorder="1" applyAlignment="1" applyProtection="1">
      <alignment horizontal="center" vertical="center"/>
      <protection locked="0"/>
    </xf>
    <xf numFmtId="0" fontId="25" fillId="5" borderId="148" xfId="0" applyFont="1" applyFill="1" applyBorder="1" applyAlignment="1" applyProtection="1">
      <alignment horizontal="center" vertical="center"/>
      <protection locked="0"/>
    </xf>
    <xf numFmtId="0" fontId="25" fillId="5" borderId="133" xfId="0" applyFont="1" applyFill="1" applyBorder="1" applyAlignment="1" applyProtection="1">
      <alignment horizontal="center" vertical="center"/>
      <protection locked="0"/>
    </xf>
    <xf numFmtId="0" fontId="25" fillId="5" borderId="149" xfId="0" applyFont="1" applyFill="1" applyBorder="1" applyAlignment="1" applyProtection="1">
      <alignment horizontal="center" vertical="center"/>
      <protection locked="0"/>
    </xf>
    <xf numFmtId="0" fontId="14" fillId="0" borderId="141" xfId="0" applyFont="1" applyBorder="1" applyAlignment="1" applyProtection="1">
      <alignment horizontal="center" vertical="center"/>
    </xf>
    <xf numFmtId="0" fontId="14" fillId="0" borderId="150" xfId="0" applyFont="1" applyBorder="1" applyAlignment="1" applyProtection="1">
      <alignment horizontal="center" vertical="center"/>
    </xf>
    <xf numFmtId="0" fontId="14" fillId="0" borderId="151" xfId="0" applyFont="1" applyBorder="1" applyAlignment="1" applyProtection="1">
      <alignment horizontal="center" vertical="center"/>
    </xf>
    <xf numFmtId="0" fontId="14" fillId="0" borderId="99" xfId="0" applyFont="1" applyBorder="1" applyAlignment="1" applyProtection="1">
      <alignment horizontal="center" vertical="center"/>
      <protection locked="0"/>
    </xf>
    <xf numFmtId="0" fontId="14" fillId="5" borderId="80" xfId="0" applyFont="1" applyFill="1" applyBorder="1" applyAlignment="1">
      <alignment horizontal="center" vertical="center"/>
    </xf>
    <xf numFmtId="0" fontId="14" fillId="5" borderId="83" xfId="0" applyFont="1" applyFill="1" applyBorder="1" applyAlignment="1">
      <alignment horizontal="center" vertical="center"/>
    </xf>
    <xf numFmtId="0" fontId="14" fillId="5" borderId="85" xfId="0" applyFont="1" applyFill="1" applyBorder="1" applyAlignment="1">
      <alignment horizontal="center" vertical="center"/>
    </xf>
    <xf numFmtId="0" fontId="25" fillId="6" borderId="93" xfId="0" applyFont="1" applyFill="1" applyBorder="1" applyAlignment="1" applyProtection="1">
      <alignment horizontal="center" vertical="center"/>
      <protection locked="0"/>
    </xf>
    <xf numFmtId="0" fontId="25" fillId="6" borderId="80" xfId="0" applyFont="1" applyFill="1" applyBorder="1" applyAlignment="1" applyProtection="1">
      <alignment horizontal="center" vertical="center"/>
      <protection locked="0"/>
    </xf>
    <xf numFmtId="0" fontId="25" fillId="6" borderId="0" xfId="0" applyFont="1" applyFill="1" applyAlignment="1" applyProtection="1">
      <alignment horizontal="center" vertical="center"/>
      <protection locked="0"/>
    </xf>
    <xf numFmtId="0" fontId="25" fillId="6" borderId="77" xfId="0" applyFont="1" applyFill="1" applyBorder="1" applyAlignment="1" applyProtection="1">
      <alignment horizontal="center" vertical="center"/>
      <protection locked="0"/>
    </xf>
    <xf numFmtId="0" fontId="25" fillId="6" borderId="85" xfId="0" applyFont="1" applyFill="1" applyBorder="1" applyAlignment="1" applyProtection="1">
      <alignment horizontal="center" vertical="center"/>
      <protection locked="0"/>
    </xf>
    <xf numFmtId="0" fontId="22" fillId="4" borderId="0" xfId="0" applyFont="1" applyFill="1" applyAlignment="1">
      <alignment horizontal="center" vertical="center"/>
    </xf>
    <xf numFmtId="0" fontId="14" fillId="6" borderId="136" xfId="0" applyFont="1" applyFill="1" applyBorder="1" applyAlignment="1">
      <alignment horizontal="center" vertical="center"/>
    </xf>
    <xf numFmtId="0" fontId="14" fillId="6" borderId="0" xfId="0" applyFont="1" applyFill="1" applyAlignment="1">
      <alignment horizontal="center" vertical="center"/>
    </xf>
    <xf numFmtId="179" fontId="14" fillId="2" borderId="105" xfId="0" applyNumberFormat="1" applyFont="1" applyFill="1" applyBorder="1" applyAlignment="1" applyProtection="1">
      <alignment horizontal="center" vertical="center"/>
    </xf>
    <xf numFmtId="179" fontId="14" fillId="2" borderId="136" xfId="0" applyNumberFormat="1" applyFont="1" applyFill="1" applyBorder="1" applyAlignment="1" applyProtection="1">
      <alignment horizontal="center" vertical="center"/>
    </xf>
    <xf numFmtId="179" fontId="14" fillId="2" borderId="0" xfId="0" applyNumberFormat="1" applyFont="1" applyFill="1" applyAlignment="1" applyProtection="1">
      <alignment horizontal="center" vertical="center"/>
    </xf>
    <xf numFmtId="179" fontId="14" fillId="0" borderId="136" xfId="0" applyNumberFormat="1" applyFont="1" applyFill="1" applyBorder="1" applyAlignment="1" applyProtection="1">
      <alignment horizontal="center" vertical="center"/>
    </xf>
    <xf numFmtId="0" fontId="31" fillId="0" borderId="0" xfId="0" applyFont="1" applyAlignment="1">
      <alignment horizontal="center" vertical="center"/>
    </xf>
    <xf numFmtId="49" fontId="27" fillId="0" borderId="108" xfId="0" applyNumberFormat="1" applyFont="1" applyFill="1" applyBorder="1" applyAlignment="1" applyProtection="1">
      <alignment horizontal="left" vertical="center"/>
      <protection locked="0"/>
    </xf>
    <xf numFmtId="49" fontId="14" fillId="0" borderId="109" xfId="0" applyNumberFormat="1" applyFont="1" applyFill="1" applyBorder="1" applyAlignment="1" applyProtection="1">
      <alignment horizontal="center" vertical="center"/>
      <protection locked="0"/>
    </xf>
    <xf numFmtId="0" fontId="32" fillId="0" borderId="0" xfId="0" applyFont="1" applyBorder="1" applyAlignment="1">
      <alignment horizontal="left" vertical="top"/>
    </xf>
    <xf numFmtId="0" fontId="15" fillId="4" borderId="102" xfId="0" applyFont="1" applyFill="1" applyBorder="1" applyAlignment="1">
      <alignment horizontal="center" vertical="center"/>
    </xf>
    <xf numFmtId="0" fontId="15" fillId="4" borderId="103" xfId="0" applyFont="1" applyFill="1" applyBorder="1" applyAlignment="1">
      <alignment horizontal="center" vertical="center"/>
    </xf>
    <xf numFmtId="0" fontId="1" fillId="8" borderId="104" xfId="0" applyNumberFormat="1" applyFont="1" applyFill="1" applyBorder="1" applyAlignment="1">
      <alignment horizontal="center" vertical="center"/>
    </xf>
    <xf numFmtId="0" fontId="1" fillId="8" borderId="105" xfId="0" applyNumberFormat="1" applyFont="1" applyFill="1" applyBorder="1" applyAlignment="1">
      <alignment horizontal="center" vertical="center"/>
    </xf>
    <xf numFmtId="0" fontId="1" fillId="5" borderId="104" xfId="0" applyNumberFormat="1" applyFont="1" applyFill="1" applyBorder="1" applyAlignment="1">
      <alignment horizontal="center" vertical="center"/>
    </xf>
    <xf numFmtId="0" fontId="1" fillId="5" borderId="105" xfId="0" applyNumberFormat="1" applyFont="1" applyFill="1" applyBorder="1" applyAlignment="1">
      <alignment horizontal="center" vertical="center"/>
    </xf>
    <xf numFmtId="0" fontId="1" fillId="0" borderId="104" xfId="0" applyNumberFormat="1" applyFont="1" applyBorder="1" applyAlignment="1" applyProtection="1">
      <alignment horizontal="center" vertical="center"/>
      <protection locked="0"/>
    </xf>
    <xf numFmtId="0" fontId="1" fillId="0" borderId="105" xfId="0" applyNumberFormat="1" applyFont="1" applyBorder="1" applyAlignment="1" applyProtection="1">
      <alignment horizontal="center" vertical="center"/>
      <protection locked="0"/>
    </xf>
    <xf numFmtId="0" fontId="1" fillId="10" borderId="105" xfId="0" applyFont="1" applyFill="1" applyBorder="1" applyAlignment="1" applyProtection="1">
      <alignment horizontal="center" vertical="center"/>
    </xf>
    <xf numFmtId="0" fontId="1" fillId="2" borderId="104" xfId="0" applyNumberFormat="1" applyFont="1" applyFill="1" applyBorder="1" applyAlignment="1" applyProtection="1">
      <alignment horizontal="center" vertical="center"/>
      <protection locked="0"/>
    </xf>
    <xf numFmtId="0" fontId="1" fillId="2" borderId="105" xfId="0" applyNumberFormat="1" applyFont="1" applyFill="1" applyBorder="1" applyAlignment="1" applyProtection="1">
      <alignment horizontal="center" vertical="center"/>
      <protection locked="0"/>
    </xf>
    <xf numFmtId="0" fontId="1" fillId="5" borderId="105" xfId="0" applyNumberFormat="1" applyFont="1" applyFill="1" applyBorder="1" applyAlignment="1" applyProtection="1">
      <alignment horizontal="center" vertical="center"/>
    </xf>
    <xf numFmtId="0" fontId="1" fillId="2" borderId="108" xfId="0" applyNumberFormat="1" applyFont="1" applyFill="1" applyBorder="1" applyAlignment="1" applyProtection="1">
      <alignment horizontal="center" vertical="center"/>
      <protection locked="0"/>
    </xf>
    <xf numFmtId="0" fontId="1" fillId="2" borderId="109" xfId="0" applyNumberFormat="1" applyFont="1" applyFill="1" applyBorder="1" applyAlignment="1" applyProtection="1">
      <alignment horizontal="center" vertical="center"/>
      <protection locked="0"/>
    </xf>
    <xf numFmtId="0" fontId="1" fillId="5" borderId="109" xfId="0" applyNumberFormat="1" applyFont="1" applyFill="1" applyBorder="1" applyAlignment="1" applyProtection="1">
      <alignment horizontal="center" vertical="center"/>
    </xf>
    <xf numFmtId="0" fontId="22" fillId="0" borderId="0" xfId="0" applyFont="1" applyBorder="1" applyAlignment="1">
      <alignment horizontal="center" vertical="center"/>
    </xf>
    <xf numFmtId="0" fontId="22" fillId="4" borderId="67" xfId="0" applyFont="1" applyFill="1" applyBorder="1" applyAlignment="1">
      <alignment horizontal="center" vertical="center"/>
    </xf>
    <xf numFmtId="0" fontId="22" fillId="4" borderId="118" xfId="0" applyFont="1" applyFill="1" applyBorder="1" applyAlignment="1">
      <alignment horizontal="center" vertical="center"/>
    </xf>
    <xf numFmtId="0" fontId="22" fillId="4" borderId="68" xfId="0" applyFont="1" applyFill="1" applyBorder="1" applyAlignment="1">
      <alignment horizontal="center" vertical="center"/>
    </xf>
    <xf numFmtId="0" fontId="14" fillId="10" borderId="152" xfId="0" applyFont="1" applyFill="1" applyBorder="1" applyAlignment="1">
      <alignment horizontal="center" vertical="center"/>
    </xf>
    <xf numFmtId="0" fontId="14" fillId="10" borderId="153" xfId="0" applyFont="1" applyFill="1" applyBorder="1" applyAlignment="1">
      <alignment horizontal="center" vertical="center"/>
    </xf>
    <xf numFmtId="0" fontId="25" fillId="5" borderId="69" xfId="0" applyFont="1" applyFill="1" applyBorder="1" applyAlignment="1">
      <alignment horizontal="right" vertical="center"/>
    </xf>
    <xf numFmtId="0" fontId="25" fillId="5" borderId="153" xfId="0" applyFont="1" applyFill="1" applyBorder="1" applyAlignment="1">
      <alignment horizontal="right" vertical="center"/>
    </xf>
    <xf numFmtId="0" fontId="25" fillId="5" borderId="65" xfId="0" applyFont="1" applyFill="1" applyBorder="1" applyAlignment="1">
      <alignment horizontal="right" vertical="center"/>
    </xf>
    <xf numFmtId="0" fontId="14" fillId="5" borderId="153" xfId="0" applyFont="1" applyFill="1" applyBorder="1" applyAlignment="1" applyProtection="1">
      <alignment horizontal="left" vertical="center"/>
      <protection locked="0"/>
    </xf>
    <xf numFmtId="0" fontId="14" fillId="10" borderId="154" xfId="0" applyFont="1" applyFill="1" applyBorder="1" applyAlignment="1" applyProtection="1">
      <alignment horizontal="left" vertical="top"/>
      <protection locked="0"/>
    </xf>
    <xf numFmtId="0" fontId="14" fillId="10" borderId="75" xfId="0" applyFont="1" applyFill="1" applyBorder="1" applyAlignment="1" applyProtection="1">
      <alignment horizontal="left" vertical="top"/>
      <protection locked="0"/>
    </xf>
    <xf numFmtId="0" fontId="14" fillId="10" borderId="82" xfId="0" applyFont="1" applyFill="1" applyBorder="1" applyAlignment="1" applyProtection="1">
      <alignment horizontal="left" vertical="top"/>
      <protection locked="0"/>
    </xf>
    <xf numFmtId="0" fontId="14" fillId="10" borderId="0" xfId="0" applyFont="1" applyFill="1" applyBorder="1" applyAlignment="1" applyProtection="1">
      <alignment horizontal="left" vertical="top"/>
      <protection locked="0"/>
    </xf>
    <xf numFmtId="0" fontId="14" fillId="10" borderId="84" xfId="0" applyFont="1" applyFill="1" applyBorder="1" applyAlignment="1" applyProtection="1">
      <alignment horizontal="left" vertical="top"/>
      <protection locked="0"/>
    </xf>
    <xf numFmtId="0" fontId="14" fillId="10" borderId="77" xfId="0" applyFont="1" applyFill="1" applyBorder="1" applyAlignment="1" applyProtection="1">
      <alignment horizontal="left" vertical="top"/>
      <protection locked="0"/>
    </xf>
    <xf numFmtId="0" fontId="14" fillId="5" borderId="82" xfId="0" applyNumberFormat="1" applyFont="1" applyFill="1" applyBorder="1" applyAlignment="1" applyProtection="1">
      <alignment horizontal="left" vertical="top" wrapText="1"/>
      <protection locked="0"/>
    </xf>
    <xf numFmtId="0" fontId="14" fillId="5" borderId="0" xfId="0" applyNumberFormat="1" applyFont="1" applyFill="1" applyBorder="1" applyAlignment="1" applyProtection="1">
      <alignment horizontal="left" vertical="top" wrapText="1"/>
      <protection locked="0"/>
    </xf>
    <xf numFmtId="0" fontId="14" fillId="10" borderId="82" xfId="0" applyNumberFormat="1" applyFont="1" applyFill="1" applyBorder="1" applyAlignment="1" applyProtection="1">
      <alignment horizontal="left" vertical="top" wrapText="1"/>
      <protection locked="0"/>
    </xf>
    <xf numFmtId="0" fontId="14" fillId="10" borderId="0" xfId="0" applyNumberFormat="1" applyFont="1" applyFill="1" applyBorder="1" applyAlignment="1" applyProtection="1">
      <alignment horizontal="left" vertical="top" wrapText="1"/>
      <protection locked="0"/>
    </xf>
    <xf numFmtId="0" fontId="14" fillId="5" borderId="84" xfId="0" applyNumberFormat="1" applyFont="1" applyFill="1" applyBorder="1" applyAlignment="1" applyProtection="1">
      <alignment horizontal="left" vertical="top" wrapText="1"/>
      <protection locked="0"/>
    </xf>
    <xf numFmtId="0" fontId="14" fillId="5" borderId="77" xfId="0" applyNumberFormat="1" applyFont="1" applyFill="1" applyBorder="1" applyAlignment="1" applyProtection="1">
      <alignment horizontal="left" vertical="top" wrapText="1"/>
      <protection locked="0"/>
    </xf>
    <xf numFmtId="49" fontId="14" fillId="5" borderId="82" xfId="0" applyNumberFormat="1" applyFont="1" applyFill="1" applyBorder="1" applyAlignment="1" applyProtection="1">
      <alignment horizontal="left" vertical="top" wrapText="1"/>
      <protection locked="0"/>
    </xf>
    <xf numFmtId="49" fontId="14" fillId="5" borderId="0" xfId="0" applyNumberFormat="1" applyFont="1" applyFill="1" applyBorder="1" applyAlignment="1" applyProtection="1">
      <alignment horizontal="left" vertical="top" wrapText="1"/>
      <protection locked="0"/>
    </xf>
    <xf numFmtId="49" fontId="14" fillId="5" borderId="84" xfId="0" applyNumberFormat="1" applyFont="1" applyFill="1" applyBorder="1" applyAlignment="1" applyProtection="1">
      <alignment horizontal="left" vertical="top" wrapText="1"/>
      <protection locked="0"/>
    </xf>
    <xf numFmtId="49" fontId="14" fillId="5" borderId="77" xfId="0" applyNumberFormat="1" applyFont="1" applyFill="1" applyBorder="1" applyAlignment="1" applyProtection="1">
      <alignment horizontal="left" vertical="top" wrapText="1"/>
      <protection locked="0"/>
    </xf>
    <xf numFmtId="0" fontId="22" fillId="4" borderId="155" xfId="0" applyFont="1" applyFill="1" applyBorder="1" applyAlignment="1">
      <alignment horizontal="center" vertical="center"/>
    </xf>
    <xf numFmtId="0" fontId="22" fillId="4" borderId="144" xfId="0" applyFont="1" applyFill="1" applyBorder="1" applyAlignment="1">
      <alignment horizontal="center" vertical="center"/>
    </xf>
    <xf numFmtId="0" fontId="25" fillId="0" borderId="69"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64" xfId="0" applyFont="1" applyBorder="1" applyAlignment="1">
      <alignment horizontal="center" vertical="center" wrapText="1"/>
    </xf>
    <xf numFmtId="0" fontId="25" fillId="0" borderId="64" xfId="0" applyFont="1" applyBorder="1" applyAlignment="1">
      <alignment horizontal="center" vertical="center"/>
    </xf>
    <xf numFmtId="0" fontId="25" fillId="0" borderId="69" xfId="0" applyFont="1" applyBorder="1" applyAlignment="1">
      <alignment horizontal="center" vertical="center"/>
    </xf>
    <xf numFmtId="0" fontId="25" fillId="0" borderId="66" xfId="0" applyFont="1" applyBorder="1" applyAlignment="1">
      <alignment horizontal="center" vertical="center"/>
    </xf>
    <xf numFmtId="0" fontId="25" fillId="0" borderId="70" xfId="0" applyFont="1" applyBorder="1" applyAlignment="1">
      <alignment horizontal="center" vertical="center"/>
    </xf>
    <xf numFmtId="0" fontId="25" fillId="0" borderId="119" xfId="0" applyFont="1" applyBorder="1" applyAlignment="1">
      <alignment horizontal="center" vertical="center"/>
    </xf>
    <xf numFmtId="0" fontId="25" fillId="0" borderId="71" xfId="0" applyFont="1" applyBorder="1" applyAlignment="1">
      <alignment horizontal="center" vertical="center"/>
    </xf>
    <xf numFmtId="0" fontId="14" fillId="0" borderId="93" xfId="0" applyFont="1" applyBorder="1">
      <alignment vertical="center"/>
    </xf>
    <xf numFmtId="0" fontId="22" fillId="11" borderId="156" xfId="0" applyFont="1" applyFill="1" applyBorder="1" applyAlignment="1">
      <alignment horizontal="center" vertical="center"/>
    </xf>
    <xf numFmtId="0" fontId="22" fillId="11" borderId="157" xfId="0" applyFont="1" applyFill="1" applyBorder="1" applyAlignment="1">
      <alignment horizontal="center" vertical="center"/>
    </xf>
    <xf numFmtId="0" fontId="28" fillId="2" borderId="82" xfId="0" applyFont="1" applyFill="1" applyBorder="1" applyAlignment="1">
      <alignment horizontal="center" vertical="center"/>
    </xf>
    <xf numFmtId="0" fontId="28" fillId="2" borderId="0" xfId="0" applyFont="1" applyFill="1" applyAlignment="1">
      <alignment horizontal="center" vertical="center"/>
    </xf>
    <xf numFmtId="0" fontId="25" fillId="0" borderId="158" xfId="0" applyFont="1" applyFill="1" applyBorder="1" applyAlignment="1" applyProtection="1">
      <alignment horizontal="left" vertical="top" wrapText="1"/>
      <protection locked="0"/>
    </xf>
    <xf numFmtId="0" fontId="25" fillId="0" borderId="126" xfId="0" applyFont="1" applyFill="1" applyBorder="1" applyAlignment="1" applyProtection="1">
      <alignment horizontal="left" vertical="top" wrapText="1"/>
      <protection locked="0"/>
    </xf>
    <xf numFmtId="0" fontId="14" fillId="0" borderId="0" xfId="0" applyFont="1" applyAlignment="1">
      <alignment horizontal="left" vertical="center" wrapText="1"/>
    </xf>
    <xf numFmtId="0" fontId="14" fillId="0" borderId="0" xfId="0" applyFont="1" applyBorder="1">
      <alignment vertical="center"/>
    </xf>
    <xf numFmtId="179" fontId="14" fillId="0" borderId="109" xfId="0" applyNumberFormat="1" applyFont="1" applyFill="1" applyBorder="1" applyAlignment="1" applyProtection="1">
      <alignment horizontal="center" vertical="center"/>
      <protection locked="0"/>
    </xf>
    <xf numFmtId="0" fontId="26" fillId="0" borderId="0" xfId="0" applyFont="1" applyAlignment="1">
      <alignment horizontal="left" vertical="top"/>
    </xf>
    <xf numFmtId="179" fontId="1" fillId="5" borderId="105" xfId="0" applyNumberFormat="1" applyFont="1" applyFill="1" applyBorder="1" applyAlignment="1">
      <alignment horizontal="center" vertical="center"/>
    </xf>
    <xf numFmtId="0" fontId="1" fillId="10" borderId="105" xfId="0" applyFont="1" applyFill="1" applyBorder="1" applyAlignment="1" applyProtection="1">
      <alignment horizontal="center" vertical="center"/>
      <protection locked="0"/>
    </xf>
    <xf numFmtId="0" fontId="1" fillId="10" borderId="105" xfId="0" applyFont="1" applyFill="1" applyBorder="1" applyAlignment="1">
      <alignment horizontal="center" vertical="center"/>
    </xf>
    <xf numFmtId="0" fontId="1" fillId="5" borderId="105" xfId="0" applyNumberFormat="1" applyFont="1" applyFill="1" applyBorder="1" applyAlignment="1" applyProtection="1">
      <alignment horizontal="center" vertical="center"/>
      <protection locked="0"/>
    </xf>
    <xf numFmtId="0" fontId="1" fillId="5" borderId="109" xfId="0" applyNumberFormat="1" applyFont="1" applyFill="1" applyBorder="1" applyAlignment="1" applyProtection="1">
      <alignment horizontal="center" vertical="center"/>
      <protection locked="0"/>
    </xf>
    <xf numFmtId="0" fontId="1" fillId="5" borderId="109" xfId="0" applyNumberFormat="1" applyFont="1" applyFill="1" applyBorder="1" applyAlignment="1">
      <alignment horizontal="center" vertical="center"/>
    </xf>
    <xf numFmtId="0" fontId="14" fillId="10" borderId="75" xfId="0" applyFont="1" applyFill="1" applyBorder="1" applyAlignment="1">
      <alignment horizontal="center" vertical="center"/>
    </xf>
    <xf numFmtId="0" fontId="25" fillId="5" borderId="153" xfId="0" applyFont="1" applyFill="1" applyBorder="1" applyAlignment="1">
      <alignment horizontal="left" vertical="center"/>
    </xf>
    <xf numFmtId="179" fontId="14" fillId="0" borderId="109" xfId="0" applyNumberFormat="1" applyFont="1" applyFill="1" applyBorder="1" applyAlignment="1">
      <alignment horizontal="center" vertical="center"/>
    </xf>
    <xf numFmtId="0" fontId="1" fillId="0" borderId="105" xfId="0" applyNumberFormat="1" applyFont="1" applyFill="1" applyBorder="1" applyAlignment="1">
      <alignment horizontal="center" vertical="center"/>
    </xf>
    <xf numFmtId="0" fontId="1" fillId="0" borderId="105" xfId="0" applyNumberFormat="1" applyFont="1" applyBorder="1" applyAlignment="1" applyProtection="1">
      <alignment horizontal="center" vertical="center"/>
    </xf>
    <xf numFmtId="0" fontId="22" fillId="4" borderId="78" xfId="0" applyFont="1" applyFill="1" applyBorder="1" applyAlignment="1">
      <alignment horizontal="center" vertical="center"/>
    </xf>
    <xf numFmtId="0" fontId="14" fillId="10" borderId="159" xfId="0" applyFont="1" applyFill="1" applyBorder="1" applyAlignment="1">
      <alignment horizontal="center" vertical="center"/>
    </xf>
    <xf numFmtId="0" fontId="25" fillId="5" borderId="153" xfId="0" applyFont="1" applyFill="1" applyBorder="1" applyAlignment="1" applyProtection="1">
      <alignment horizontal="left" vertical="center"/>
      <protection locked="0"/>
    </xf>
    <xf numFmtId="0" fontId="25" fillId="5" borderId="159" xfId="0" applyFont="1" applyFill="1" applyBorder="1" applyAlignment="1" applyProtection="1">
      <alignment horizontal="left" vertical="center"/>
      <protection locked="0"/>
    </xf>
    <xf numFmtId="0" fontId="14" fillId="10" borderId="86" xfId="0" applyFont="1" applyFill="1" applyBorder="1" applyAlignment="1" applyProtection="1">
      <alignment horizontal="left" vertical="top"/>
      <protection locked="0"/>
    </xf>
    <xf numFmtId="0" fontId="14" fillId="10" borderId="83" xfId="0" applyFont="1" applyFill="1" applyBorder="1" applyAlignment="1" applyProtection="1">
      <alignment horizontal="left" vertical="top"/>
      <protection locked="0"/>
    </xf>
    <xf numFmtId="0" fontId="14" fillId="10" borderId="85" xfId="0" applyFont="1" applyFill="1" applyBorder="1" applyAlignment="1" applyProtection="1">
      <alignment horizontal="left" vertical="top"/>
      <protection locked="0"/>
    </xf>
    <xf numFmtId="0" fontId="14" fillId="5" borderId="83" xfId="0" applyNumberFormat="1" applyFont="1" applyFill="1" applyBorder="1" applyAlignment="1" applyProtection="1">
      <alignment horizontal="left" vertical="top" wrapText="1"/>
      <protection locked="0"/>
    </xf>
    <xf numFmtId="0" fontId="14" fillId="10" borderId="83" xfId="0" applyNumberFormat="1" applyFont="1" applyFill="1" applyBorder="1" applyAlignment="1" applyProtection="1">
      <alignment horizontal="left" vertical="top" wrapText="1"/>
      <protection locked="0"/>
    </xf>
    <xf numFmtId="0" fontId="14" fillId="5" borderId="85" xfId="0" applyNumberFormat="1" applyFont="1" applyFill="1" applyBorder="1" applyAlignment="1" applyProtection="1">
      <alignment horizontal="left" vertical="top" wrapText="1"/>
      <protection locked="0"/>
    </xf>
    <xf numFmtId="49" fontId="14" fillId="5" borderId="83" xfId="0" applyNumberFormat="1" applyFont="1" applyFill="1" applyBorder="1" applyAlignment="1" applyProtection="1">
      <alignment horizontal="left" vertical="top" wrapText="1"/>
      <protection locked="0"/>
    </xf>
    <xf numFmtId="49" fontId="14" fillId="5" borderId="85" xfId="0" applyNumberFormat="1" applyFont="1" applyFill="1" applyBorder="1" applyAlignment="1" applyProtection="1">
      <alignment horizontal="left" vertical="top" wrapText="1"/>
      <protection locked="0"/>
    </xf>
    <xf numFmtId="0" fontId="22" fillId="4" borderId="160" xfId="0" applyFont="1" applyFill="1" applyBorder="1" applyAlignment="1">
      <alignment horizontal="center" vertical="center"/>
    </xf>
    <xf numFmtId="0" fontId="25" fillId="0" borderId="81" xfId="0" applyFont="1" applyBorder="1" applyAlignment="1">
      <alignment horizontal="center" vertical="center"/>
    </xf>
    <xf numFmtId="0" fontId="25" fillId="0" borderId="81" xfId="0" applyFont="1" applyBorder="1" applyAlignment="1">
      <alignment horizontal="center" vertical="center" wrapText="1"/>
    </xf>
    <xf numFmtId="0" fontId="25" fillId="0" borderId="88" xfId="0" applyFont="1" applyBorder="1" applyAlignment="1">
      <alignment horizontal="center" vertical="center"/>
    </xf>
    <xf numFmtId="179" fontId="14" fillId="0" borderId="161" xfId="0" applyNumberFormat="1" applyFont="1" applyFill="1" applyBorder="1" applyAlignment="1">
      <alignment horizontal="center" vertical="center"/>
    </xf>
    <xf numFmtId="0" fontId="30" fillId="2" borderId="127" xfId="0" applyFont="1" applyFill="1" applyBorder="1" applyAlignment="1" applyProtection="1">
      <alignment horizontal="left" vertical="center"/>
    </xf>
    <xf numFmtId="0" fontId="14" fillId="2" borderId="109" xfId="0" applyNumberFormat="1" applyFont="1" applyFill="1" applyBorder="1" applyAlignment="1" applyProtection="1">
      <alignment horizontal="center" vertical="center"/>
      <protection locked="0"/>
    </xf>
    <xf numFmtId="0" fontId="14" fillId="9" borderId="105" xfId="0" applyFont="1" applyFill="1" applyBorder="1" applyAlignment="1">
      <alignment horizontal="center" vertical="center"/>
    </xf>
    <xf numFmtId="0" fontId="1" fillId="0" borderId="105" xfId="0" applyNumberFormat="1" applyFont="1" applyBorder="1" applyAlignment="1">
      <alignment horizontal="center" vertical="center"/>
    </xf>
    <xf numFmtId="0" fontId="1" fillId="0" borderId="105" xfId="0" applyFont="1" applyBorder="1" applyAlignment="1">
      <alignment horizontal="center" vertical="center"/>
    </xf>
    <xf numFmtId="0" fontId="14" fillId="0" borderId="69" xfId="0" applyFont="1" applyBorder="1" applyAlignment="1">
      <alignment horizontal="center" vertical="center"/>
    </xf>
    <xf numFmtId="0" fontId="14" fillId="0" borderId="64" xfId="0" applyFont="1" applyBorder="1" applyAlignment="1">
      <alignment horizontal="center" vertical="center"/>
    </xf>
    <xf numFmtId="0" fontId="14" fillId="0" borderId="74" xfId="0" applyFont="1" applyBorder="1" applyAlignment="1" applyProtection="1">
      <alignment horizontal="center" vertical="center"/>
      <protection locked="0"/>
    </xf>
    <xf numFmtId="0" fontId="14" fillId="0" borderId="162" xfId="0" applyFont="1" applyBorder="1" applyAlignment="1" applyProtection="1">
      <alignment horizontal="center" vertical="center"/>
      <protection locked="0"/>
    </xf>
    <xf numFmtId="0" fontId="14" fillId="5" borderId="69" xfId="0" applyFont="1" applyFill="1" applyBorder="1" applyAlignment="1">
      <alignment horizontal="center" vertical="center"/>
    </xf>
    <xf numFmtId="0" fontId="14" fillId="5" borderId="64" xfId="0" applyFont="1" applyFill="1" applyBorder="1" applyAlignment="1">
      <alignment horizontal="center" vertical="center"/>
    </xf>
    <xf numFmtId="0" fontId="14" fillId="5" borderId="74" xfId="0" applyFont="1" applyFill="1" applyBorder="1" applyAlignment="1" applyProtection="1">
      <alignment horizontal="center" vertical="center"/>
      <protection locked="0"/>
    </xf>
    <xf numFmtId="0" fontId="14" fillId="5" borderId="162" xfId="0" applyFont="1" applyFill="1" applyBorder="1" applyAlignment="1" applyProtection="1">
      <alignment horizontal="center" vertical="center"/>
      <protection locked="0"/>
    </xf>
    <xf numFmtId="0" fontId="14" fillId="0" borderId="69" xfId="0" applyFont="1" applyBorder="1" applyAlignment="1" applyProtection="1">
      <alignment horizontal="left" vertical="top" wrapText="1"/>
      <protection locked="0"/>
    </xf>
    <xf numFmtId="0" fontId="14" fillId="0" borderId="64" xfId="0" applyFont="1" applyBorder="1" applyAlignment="1" applyProtection="1">
      <alignment horizontal="left" vertical="top" wrapText="1"/>
      <protection locked="0"/>
    </xf>
    <xf numFmtId="0" fontId="14" fillId="0" borderId="70" xfId="0" applyFont="1" applyBorder="1" applyAlignment="1" applyProtection="1">
      <alignment horizontal="left" vertical="top" wrapText="1"/>
      <protection locked="0"/>
    </xf>
    <xf numFmtId="0" fontId="14" fillId="0" borderId="71" xfId="0" applyFont="1" applyBorder="1" applyAlignment="1" applyProtection="1">
      <alignment horizontal="left" vertical="top" wrapText="1"/>
      <protection locked="0"/>
    </xf>
    <xf numFmtId="49" fontId="14" fillId="5" borderId="154" xfId="0" applyNumberFormat="1" applyFont="1" applyFill="1" applyBorder="1" applyAlignment="1" applyProtection="1">
      <alignment horizontal="left" vertical="top" wrapText="1"/>
      <protection locked="0"/>
    </xf>
    <xf numFmtId="49" fontId="14" fillId="5" borderId="75" xfId="0" applyNumberFormat="1" applyFont="1" applyFill="1" applyBorder="1" applyAlignment="1" applyProtection="1">
      <alignment horizontal="left" vertical="top" wrapText="1"/>
      <protection locked="0"/>
    </xf>
    <xf numFmtId="49" fontId="14" fillId="5" borderId="163" xfId="0" applyNumberFormat="1" applyFont="1" applyFill="1" applyBorder="1" applyAlignment="1" applyProtection="1">
      <alignment horizontal="left" vertical="top" wrapText="1"/>
      <protection locked="0"/>
    </xf>
    <xf numFmtId="49" fontId="14" fillId="5" borderId="164" xfId="0" applyNumberFormat="1" applyFont="1" applyFill="1" applyBorder="1" applyAlignment="1" applyProtection="1">
      <alignment horizontal="left" vertical="top" wrapText="1"/>
      <protection locked="0"/>
    </xf>
    <xf numFmtId="49" fontId="14" fillId="0" borderId="154" xfId="0" applyNumberFormat="1" applyFont="1" applyFill="1" applyBorder="1" applyAlignment="1" applyProtection="1">
      <alignment horizontal="left" vertical="top" wrapText="1"/>
      <protection locked="0"/>
    </xf>
    <xf numFmtId="49" fontId="14" fillId="0" borderId="75" xfId="0" applyNumberFormat="1" applyFont="1" applyFill="1" applyBorder="1" applyAlignment="1" applyProtection="1">
      <alignment horizontal="left" vertical="top" wrapText="1"/>
      <protection locked="0"/>
    </xf>
    <xf numFmtId="49" fontId="14" fillId="0" borderId="163" xfId="0" applyNumberFormat="1" applyFont="1" applyFill="1" applyBorder="1" applyAlignment="1" applyProtection="1">
      <alignment horizontal="left" vertical="top" wrapText="1"/>
      <protection locked="0"/>
    </xf>
    <xf numFmtId="49" fontId="14" fillId="0" borderId="164" xfId="0" applyNumberFormat="1" applyFont="1" applyFill="1" applyBorder="1" applyAlignment="1" applyProtection="1">
      <alignment horizontal="left" vertical="top" wrapText="1"/>
      <protection locked="0"/>
    </xf>
    <xf numFmtId="0" fontId="14" fillId="2" borderId="109" xfId="0" applyFont="1" applyFill="1" applyBorder="1" applyAlignment="1" applyProtection="1">
      <alignment horizontal="center" vertical="center"/>
      <protection locked="0"/>
    </xf>
    <xf numFmtId="179" fontId="14" fillId="2" borderId="109" xfId="0" applyNumberFormat="1" applyFont="1" applyFill="1" applyBorder="1" applyAlignment="1" applyProtection="1">
      <alignment horizontal="center" vertical="center"/>
      <protection locked="0"/>
    </xf>
    <xf numFmtId="0" fontId="14" fillId="0" borderId="75" xfId="0" applyFont="1" applyBorder="1" applyAlignment="1" applyProtection="1">
      <alignment horizontal="center" vertical="center"/>
      <protection locked="0"/>
    </xf>
    <xf numFmtId="0" fontId="14" fillId="0" borderId="164" xfId="0" applyFont="1" applyBorder="1" applyAlignment="1" applyProtection="1">
      <alignment horizontal="center" vertical="center"/>
      <protection locked="0"/>
    </xf>
    <xf numFmtId="0" fontId="14" fillId="5" borderId="75" xfId="0" applyFont="1" applyFill="1" applyBorder="1" applyAlignment="1" applyProtection="1">
      <alignment horizontal="center" vertical="center"/>
      <protection locked="0"/>
    </xf>
    <xf numFmtId="0" fontId="14" fillId="5" borderId="164" xfId="0" applyFont="1" applyFill="1" applyBorder="1" applyAlignment="1" applyProtection="1">
      <alignment horizontal="center" vertical="center"/>
      <protection locked="0"/>
    </xf>
    <xf numFmtId="49" fontId="14" fillId="5" borderId="86" xfId="0" applyNumberFormat="1" applyFont="1" applyFill="1" applyBorder="1" applyAlignment="1" applyProtection="1">
      <alignment horizontal="left" vertical="top" wrapText="1"/>
      <protection locked="0"/>
    </xf>
    <xf numFmtId="49" fontId="14" fillId="5" borderId="165" xfId="0" applyNumberFormat="1" applyFont="1" applyFill="1" applyBorder="1" applyAlignment="1" applyProtection="1">
      <alignment horizontal="left" vertical="top" wrapText="1"/>
      <protection locked="0"/>
    </xf>
    <xf numFmtId="49" fontId="14" fillId="0" borderId="86" xfId="0" applyNumberFormat="1" applyFont="1" applyFill="1" applyBorder="1" applyAlignment="1" applyProtection="1">
      <alignment horizontal="left" vertical="top" wrapText="1"/>
      <protection locked="0"/>
    </xf>
    <xf numFmtId="49" fontId="14" fillId="0" borderId="165" xfId="0" applyNumberFormat="1" applyFont="1" applyFill="1" applyBorder="1" applyAlignment="1" applyProtection="1">
      <alignment horizontal="left" vertical="top" wrapText="1"/>
      <protection locked="0"/>
    </xf>
    <xf numFmtId="0" fontId="14" fillId="2" borderId="109" xfId="0" applyFont="1" applyFill="1" applyBorder="1" applyAlignment="1">
      <alignment horizontal="center" vertical="center"/>
    </xf>
    <xf numFmtId="179" fontId="14" fillId="2" borderId="109" xfId="0" applyNumberFormat="1" applyFont="1" applyFill="1" applyBorder="1" applyAlignment="1">
      <alignment horizontal="center" vertical="center"/>
    </xf>
    <xf numFmtId="0" fontId="15" fillId="4" borderId="134" xfId="0" applyFont="1" applyFill="1" applyBorder="1" applyAlignment="1">
      <alignment horizontal="center" vertical="center"/>
    </xf>
    <xf numFmtId="0" fontId="14" fillId="9" borderId="136" xfId="0" applyFont="1" applyFill="1" applyBorder="1" applyAlignment="1">
      <alignment horizontal="center" vertical="center"/>
    </xf>
    <xf numFmtId="0" fontId="25" fillId="0" borderId="69" xfId="0" applyFont="1" applyFill="1" applyBorder="1" applyAlignment="1">
      <alignment horizontal="center" vertical="center" wrapText="1"/>
    </xf>
    <xf numFmtId="0" fontId="25" fillId="0" borderId="64" xfId="0" applyFont="1" applyFill="1" applyBorder="1" applyAlignment="1">
      <alignment horizontal="center" vertical="center" wrapText="1"/>
    </xf>
    <xf numFmtId="0" fontId="14" fillId="0" borderId="64" xfId="0" applyFont="1" applyFill="1" applyBorder="1" applyAlignment="1">
      <alignment horizontal="center" vertical="center"/>
    </xf>
    <xf numFmtId="0" fontId="1" fillId="5" borderId="136" xfId="0" applyNumberFormat="1" applyFont="1" applyFill="1" applyBorder="1" applyAlignment="1">
      <alignment horizontal="center" vertical="center"/>
    </xf>
    <xf numFmtId="0" fontId="1" fillId="0" borderId="136" xfId="0" applyNumberFormat="1" applyFont="1" applyBorder="1" applyAlignment="1">
      <alignment horizontal="center" vertical="center"/>
    </xf>
    <xf numFmtId="0" fontId="25" fillId="5" borderId="69" xfId="0" applyFont="1" applyFill="1" applyBorder="1" applyAlignment="1">
      <alignment horizontal="center" vertical="center" wrapText="1"/>
    </xf>
    <xf numFmtId="0" fontId="25" fillId="5" borderId="64" xfId="0" applyFont="1" applyFill="1" applyBorder="1" applyAlignment="1">
      <alignment horizontal="center" vertical="center" wrapText="1"/>
    </xf>
    <xf numFmtId="179" fontId="14" fillId="0" borderId="64" xfId="0" applyNumberFormat="1" applyFont="1" applyFill="1" applyBorder="1" applyAlignment="1">
      <alignment horizontal="center" vertical="center"/>
    </xf>
    <xf numFmtId="0" fontId="1" fillId="5" borderId="137" xfId="0" applyNumberFormat="1" applyFont="1" applyFill="1" applyBorder="1" applyAlignment="1">
      <alignment horizontal="center" vertical="center"/>
    </xf>
    <xf numFmtId="0" fontId="25" fillId="0" borderId="70" xfId="0" applyFont="1" applyFill="1" applyBorder="1" applyAlignment="1">
      <alignment horizontal="center" vertical="center" wrapText="1"/>
    </xf>
    <xf numFmtId="0" fontId="25" fillId="0" borderId="71" xfId="0" applyFont="1" applyFill="1" applyBorder="1" applyAlignment="1">
      <alignment horizontal="center" vertical="center" wrapText="1"/>
    </xf>
    <xf numFmtId="0" fontId="14" fillId="0" borderId="71" xfId="0" applyFont="1" applyFill="1" applyBorder="1" applyAlignment="1">
      <alignment horizontal="center" vertical="center"/>
    </xf>
    <xf numFmtId="0" fontId="14" fillId="9" borderId="69" xfId="0" applyFont="1" applyFill="1" applyBorder="1" applyAlignment="1">
      <alignment horizontal="center" vertical="center"/>
    </xf>
    <xf numFmtId="0" fontId="14" fillId="9" borderId="64" xfId="0" applyFont="1" applyFill="1" applyBorder="1" applyAlignment="1">
      <alignment horizontal="center" vertical="center"/>
    </xf>
    <xf numFmtId="49" fontId="14" fillId="0" borderId="152" xfId="0" applyNumberFormat="1" applyFont="1" applyBorder="1" applyAlignment="1" applyProtection="1">
      <alignment horizontal="center" vertical="top"/>
      <protection locked="0"/>
    </xf>
    <xf numFmtId="49" fontId="14" fillId="0" borderId="153" xfId="0" applyNumberFormat="1" applyFont="1" applyBorder="1" applyAlignment="1" applyProtection="1">
      <alignment horizontal="center" vertical="top"/>
      <protection locked="0"/>
    </xf>
    <xf numFmtId="49" fontId="14" fillId="0" borderId="66" xfId="0" applyNumberFormat="1" applyFont="1" applyBorder="1" applyAlignment="1" applyProtection="1">
      <alignment horizontal="center" vertical="top"/>
      <protection locked="0"/>
    </xf>
    <xf numFmtId="49" fontId="14" fillId="5" borderId="152" xfId="0" applyNumberFormat="1" applyFont="1" applyFill="1" applyBorder="1" applyAlignment="1" applyProtection="1">
      <alignment horizontal="center" vertical="top"/>
      <protection locked="0"/>
    </xf>
    <xf numFmtId="49" fontId="14" fillId="5" borderId="153" xfId="0" applyNumberFormat="1" applyFont="1" applyFill="1" applyBorder="1" applyAlignment="1" applyProtection="1">
      <alignment horizontal="center" vertical="top"/>
      <protection locked="0"/>
    </xf>
    <xf numFmtId="49" fontId="14" fillId="5" borderId="66" xfId="0" applyNumberFormat="1" applyFont="1" applyFill="1" applyBorder="1" applyAlignment="1" applyProtection="1">
      <alignment horizontal="center" vertical="top"/>
      <protection locked="0"/>
    </xf>
    <xf numFmtId="49" fontId="14" fillId="5" borderId="69" xfId="0" applyNumberFormat="1" applyFont="1" applyFill="1" applyBorder="1" applyAlignment="1" applyProtection="1">
      <alignment horizontal="center" vertical="top"/>
      <protection locked="0"/>
    </xf>
    <xf numFmtId="49" fontId="14" fillId="5" borderId="64" xfId="0" applyNumberFormat="1" applyFont="1" applyFill="1" applyBorder="1" applyAlignment="1" applyProtection="1">
      <alignment horizontal="center" vertical="top"/>
      <protection locked="0"/>
    </xf>
    <xf numFmtId="49" fontId="14" fillId="0" borderId="70" xfId="0" applyNumberFormat="1" applyFont="1" applyBorder="1" applyAlignment="1" applyProtection="1">
      <alignment horizontal="center" vertical="top"/>
      <protection locked="0"/>
    </xf>
    <xf numFmtId="49" fontId="14" fillId="0" borderId="71" xfId="0" applyNumberFormat="1" applyFont="1" applyBorder="1" applyAlignment="1" applyProtection="1">
      <alignment horizontal="center" vertical="top"/>
      <protection locked="0"/>
    </xf>
    <xf numFmtId="179" fontId="14" fillId="2" borderId="166" xfId="0" applyNumberFormat="1" applyFont="1" applyFill="1" applyBorder="1" applyAlignment="1" applyProtection="1">
      <alignment horizontal="center" vertical="center"/>
    </xf>
    <xf numFmtId="179" fontId="14" fillId="2" borderId="167" xfId="0" applyNumberFormat="1" applyFont="1" applyFill="1" applyBorder="1" applyAlignment="1" applyProtection="1">
      <alignment horizontal="center" vertical="center"/>
    </xf>
    <xf numFmtId="0" fontId="22" fillId="4" borderId="130" xfId="0" applyFont="1" applyFill="1" applyBorder="1" applyAlignment="1">
      <alignment horizontal="center" vertical="center"/>
    </xf>
    <xf numFmtId="0" fontId="14" fillId="0" borderId="65" xfId="0" applyFont="1" applyFill="1" applyBorder="1" applyAlignment="1">
      <alignment horizontal="center" vertical="center"/>
    </xf>
    <xf numFmtId="0" fontId="14" fillId="0" borderId="81" xfId="0" applyFont="1" applyFill="1" applyBorder="1" applyAlignment="1">
      <alignment horizontal="center" vertical="center"/>
    </xf>
    <xf numFmtId="0" fontId="14" fillId="5" borderId="65" xfId="0" applyFont="1" applyFill="1" applyBorder="1" applyAlignment="1">
      <alignment horizontal="center" vertical="center"/>
    </xf>
    <xf numFmtId="0" fontId="14" fillId="5" borderId="81" xfId="0" applyFont="1" applyFill="1" applyBorder="1" applyAlignment="1">
      <alignment horizontal="center" vertical="center"/>
    </xf>
    <xf numFmtId="179" fontId="14" fillId="0" borderId="65" xfId="0" applyNumberFormat="1" applyFont="1" applyFill="1" applyBorder="1" applyAlignment="1">
      <alignment horizontal="center" vertical="center"/>
    </xf>
    <xf numFmtId="179" fontId="14" fillId="0" borderId="71" xfId="0" applyNumberFormat="1" applyFont="1" applyFill="1" applyBorder="1" applyAlignment="1">
      <alignment horizontal="center" vertical="center"/>
    </xf>
    <xf numFmtId="179" fontId="14" fillId="0" borderId="133" xfId="0" applyNumberFormat="1" applyFont="1" applyFill="1" applyBorder="1" applyAlignment="1">
      <alignment horizontal="center" vertical="center"/>
    </xf>
    <xf numFmtId="0" fontId="14" fillId="0" borderId="88" xfId="0" applyFont="1" applyFill="1" applyBorder="1" applyAlignment="1">
      <alignment horizontal="center" vertical="center"/>
    </xf>
    <xf numFmtId="0" fontId="14" fillId="0" borderId="86" xfId="0" applyFont="1" applyBorder="1" applyAlignment="1" applyProtection="1">
      <alignment horizontal="center" vertical="center"/>
      <protection locked="0"/>
    </xf>
    <xf numFmtId="0" fontId="14" fillId="0" borderId="0" xfId="0" applyFont="1" applyAlignment="1" applyProtection="1">
      <alignment horizontal="center" vertical="center"/>
      <protection locked="0"/>
    </xf>
    <xf numFmtId="0" fontId="14" fillId="0" borderId="165" xfId="0" applyFont="1" applyBorder="1" applyAlignment="1" applyProtection="1">
      <alignment horizontal="center" vertical="center"/>
      <protection locked="0"/>
    </xf>
    <xf numFmtId="0" fontId="14" fillId="5" borderId="86" xfId="0" applyFont="1" applyFill="1" applyBorder="1" applyAlignment="1" applyProtection="1">
      <alignment horizontal="center" vertical="center"/>
      <protection locked="0"/>
    </xf>
    <xf numFmtId="0" fontId="14" fillId="5" borderId="0" xfId="0" applyFont="1" applyFill="1" applyAlignment="1" applyProtection="1">
      <alignment horizontal="center" vertical="center"/>
      <protection locked="0"/>
    </xf>
    <xf numFmtId="0" fontId="14" fillId="5" borderId="165" xfId="0" applyFont="1" applyFill="1" applyBorder="1" applyAlignment="1" applyProtection="1">
      <alignment horizontal="center" vertical="center"/>
      <protection locked="0"/>
    </xf>
    <xf numFmtId="0" fontId="14" fillId="0" borderId="81"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14" fillId="0" borderId="88" xfId="0" applyFont="1" applyBorder="1" applyAlignment="1" applyProtection="1">
      <alignment horizontal="left" vertical="top" wrapText="1"/>
      <protection locked="0"/>
    </xf>
    <xf numFmtId="0" fontId="14" fillId="9" borderId="81" xfId="0" applyFont="1" applyFill="1" applyBorder="1" applyAlignment="1">
      <alignment horizontal="center" vertical="center"/>
    </xf>
    <xf numFmtId="0" fontId="14" fillId="9" borderId="0" xfId="0" applyFont="1" applyFill="1" applyAlignment="1">
      <alignment horizontal="center" vertical="center"/>
    </xf>
    <xf numFmtId="0" fontId="14" fillId="0" borderId="65" xfId="0" applyNumberFormat="1" applyFont="1" applyBorder="1" applyAlignment="1" applyProtection="1">
      <alignment horizontal="center" vertical="top"/>
      <protection locked="0"/>
    </xf>
    <xf numFmtId="49" fontId="14" fillId="0" borderId="159" xfId="0" applyNumberFormat="1" applyFont="1" applyBorder="1" applyAlignment="1" applyProtection="1">
      <alignment horizontal="center" vertical="top"/>
      <protection locked="0"/>
    </xf>
    <xf numFmtId="49" fontId="14" fillId="0" borderId="0" xfId="0" applyNumberFormat="1" applyFont="1" applyAlignment="1" applyProtection="1">
      <alignment horizontal="center" vertical="top"/>
      <protection locked="0"/>
    </xf>
    <xf numFmtId="0" fontId="14" fillId="5" borderId="65" xfId="0" applyNumberFormat="1" applyFont="1" applyFill="1" applyBorder="1" applyAlignment="1" applyProtection="1">
      <alignment horizontal="center" vertical="top"/>
      <protection locked="0"/>
    </xf>
    <xf numFmtId="49" fontId="14" fillId="5" borderId="159" xfId="0" applyNumberFormat="1" applyFont="1" applyFill="1" applyBorder="1" applyAlignment="1" applyProtection="1">
      <alignment horizontal="center" vertical="top"/>
      <protection locked="0"/>
    </xf>
    <xf numFmtId="49" fontId="14" fillId="5" borderId="0" xfId="0" applyNumberFormat="1" applyFont="1" applyFill="1" applyAlignment="1" applyProtection="1">
      <alignment horizontal="center" vertical="top"/>
      <protection locked="0"/>
    </xf>
    <xf numFmtId="49" fontId="14" fillId="0" borderId="65" xfId="0" applyNumberFormat="1" applyFont="1" applyBorder="1" applyAlignment="1" applyProtection="1">
      <alignment horizontal="center" vertical="top"/>
      <protection locked="0"/>
    </xf>
    <xf numFmtId="49" fontId="14" fillId="5" borderId="65" xfId="0" applyNumberFormat="1" applyFont="1" applyFill="1" applyBorder="1" applyAlignment="1" applyProtection="1">
      <alignment horizontal="center" vertical="top"/>
      <protection locked="0"/>
    </xf>
    <xf numFmtId="49" fontId="14" fillId="5" borderId="81" xfId="0" applyNumberFormat="1" applyFont="1" applyFill="1" applyBorder="1" applyAlignment="1" applyProtection="1">
      <alignment horizontal="center" vertical="top"/>
      <protection locked="0"/>
    </xf>
    <xf numFmtId="49" fontId="14" fillId="0" borderId="88" xfId="0" applyNumberFormat="1" applyFont="1" applyBorder="1" applyAlignment="1" applyProtection="1">
      <alignment horizontal="center" vertical="top"/>
      <protection locked="0"/>
    </xf>
    <xf numFmtId="0" fontId="22" fillId="11" borderId="168" xfId="0" applyFont="1" applyFill="1" applyBorder="1" applyAlignment="1">
      <alignment horizontal="center" vertical="center"/>
    </xf>
    <xf numFmtId="0" fontId="22" fillId="11" borderId="0" xfId="0" applyFont="1" applyFill="1" applyAlignment="1">
      <alignment horizontal="center" vertical="center"/>
    </xf>
    <xf numFmtId="0" fontId="28" fillId="2" borderId="83" xfId="0" applyFont="1" applyFill="1" applyBorder="1" applyAlignment="1">
      <alignment horizontal="center" vertical="center"/>
    </xf>
    <xf numFmtId="0" fontId="25" fillId="0" borderId="169" xfId="0" applyFont="1" applyFill="1" applyBorder="1" applyAlignment="1" applyProtection="1">
      <alignment horizontal="left" vertical="top" wrapText="1"/>
      <protection locked="0"/>
    </xf>
    <xf numFmtId="0" fontId="14" fillId="0" borderId="0" xfId="0" applyFont="1" applyFill="1" applyAlignment="1">
      <alignment horizontal="left" vertical="top"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ont>
        <sz val="11"/>
        <color rgb="FFFFFFFF"/>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externalLink" Target="externalLinks/externalLink2.xml"/><Relationship Id="rId16" Type="http://schemas.openxmlformats.org/officeDocument/2006/relationships/externalLink" Target="externalLinks/externalLink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6305;&#22242;\&#20154;&#29289;&#21345;\CoC%207e%20-%20&#20154;&#29289;&#21345;%20v1.7.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oM%20&#20154;&#29289;&#21345;&#65288;CoC%207e&#65289;v1.2.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人物卡"/>
      <sheetName val="分支技能"/>
      <sheetName val="职业列表"/>
      <sheetName val="资产对照表"/>
      <sheetName val="武器参考表"/>
      <sheetName val="属性和掷骰"/>
      <sheetName val="txt输出"/>
      <sheetName val="附表"/>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人物卡"/>
      <sheetName val="各序列技能计算"/>
      <sheetName val="分支技能"/>
      <sheetName val="职业列表"/>
      <sheetName val="武器列表"/>
      <sheetName val="序列9技能与加成"/>
      <sheetName val="属性和掷骰"/>
      <sheetName val="附表"/>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E128"/>
  <sheetViews>
    <sheetView showGridLines="0" tabSelected="1" workbookViewId="0">
      <selection activeCell="J39" sqref="J39:K39"/>
    </sheetView>
  </sheetViews>
  <sheetFormatPr defaultColWidth="2" defaultRowHeight="14.15" customHeight="1"/>
  <cols>
    <col min="1" max="53" width="2.61666666666667" style="332" customWidth="1"/>
    <col min="54" max="55" width="2.61666666666667" style="332" hidden="1" customWidth="1"/>
    <col min="56" max="16384" width="2.61666666666667" style="332" customWidth="1"/>
  </cols>
  <sheetData>
    <row r="1" customHeight="1" spans="20:37">
      <c r="T1" s="431"/>
      <c r="U1" s="432"/>
      <c r="V1" s="432"/>
      <c r="W1" s="432"/>
      <c r="X1" s="432"/>
      <c r="Y1" s="432"/>
      <c r="Z1" s="432"/>
      <c r="AA1" s="432"/>
      <c r="AB1" s="432"/>
      <c r="AC1" s="432"/>
      <c r="AD1" s="432"/>
      <c r="AE1" s="432"/>
      <c r="AF1" s="432"/>
      <c r="AG1" s="432"/>
      <c r="AH1" s="432"/>
      <c r="AI1" s="431"/>
      <c r="AJ1" s="431"/>
      <c r="AK1" s="431"/>
    </row>
    <row r="2" customHeight="1" spans="2:24">
      <c r="B2" s="333" t="s">
        <v>0</v>
      </c>
      <c r="C2" s="334"/>
      <c r="D2" s="334"/>
      <c r="E2" s="334"/>
      <c r="F2" s="334"/>
      <c r="G2" s="334"/>
      <c r="H2" s="334"/>
      <c r="I2" s="334"/>
      <c r="J2" s="334"/>
      <c r="K2" s="334"/>
      <c r="L2" s="334"/>
      <c r="M2" s="334"/>
      <c r="N2" s="334"/>
      <c r="O2" s="334"/>
      <c r="P2" s="334"/>
      <c r="Q2" s="334"/>
      <c r="R2" s="334"/>
      <c r="S2" s="334"/>
      <c r="T2" s="334"/>
      <c r="U2" s="334"/>
      <c r="V2" s="334"/>
      <c r="W2" s="334"/>
      <c r="X2" s="433"/>
    </row>
    <row r="3" customHeight="1" spans="2:24">
      <c r="B3" s="335" t="s">
        <v>1</v>
      </c>
      <c r="C3" s="336"/>
      <c r="D3" s="336"/>
      <c r="E3" s="336"/>
      <c r="F3" s="337"/>
      <c r="G3" s="338"/>
      <c r="H3" s="338"/>
      <c r="I3" s="338"/>
      <c r="J3" s="338"/>
      <c r="K3" s="338"/>
      <c r="L3" s="338"/>
      <c r="M3" s="338"/>
      <c r="N3" s="338"/>
      <c r="O3" s="338"/>
      <c r="P3" s="338"/>
      <c r="Q3" s="338"/>
      <c r="R3" s="338"/>
      <c r="S3" s="338"/>
      <c r="T3" s="338"/>
      <c r="U3" s="338"/>
      <c r="V3" s="338"/>
      <c r="W3" s="338"/>
      <c r="X3" s="434"/>
    </row>
    <row r="4" customHeight="1" spans="2:24">
      <c r="B4" s="339" t="s">
        <v>2</v>
      </c>
      <c r="C4" s="340"/>
      <c r="D4" s="340"/>
      <c r="E4" s="340"/>
      <c r="F4" s="341"/>
      <c r="G4" s="341"/>
      <c r="H4" s="341"/>
      <c r="I4" s="341"/>
      <c r="J4" s="341"/>
      <c r="K4" s="341"/>
      <c r="L4" s="341"/>
      <c r="M4" s="341"/>
      <c r="N4" s="341"/>
      <c r="O4" s="341"/>
      <c r="P4" s="341" t="s">
        <v>3</v>
      </c>
      <c r="Q4" s="341"/>
      <c r="R4" s="341"/>
      <c r="S4" s="341"/>
      <c r="T4" s="435"/>
      <c r="U4" s="435"/>
      <c r="V4" s="435"/>
      <c r="W4" s="435"/>
      <c r="X4" s="436"/>
    </row>
    <row r="5" customHeight="1" spans="2:51">
      <c r="B5" s="335" t="s">
        <v>4</v>
      </c>
      <c r="C5" s="336"/>
      <c r="D5" s="336"/>
      <c r="E5" s="336"/>
      <c r="F5" s="342" t="str">
        <f>LOOKUP(T5,职业列表!A2:A116,职业列表!B2:B116)</f>
        <v>自定义职业</v>
      </c>
      <c r="G5" s="342"/>
      <c r="H5" s="342"/>
      <c r="I5" s="342"/>
      <c r="J5" s="342"/>
      <c r="K5" s="342"/>
      <c r="L5" s="342"/>
      <c r="M5" s="342"/>
      <c r="N5" s="342"/>
      <c r="O5" s="342"/>
      <c r="P5" s="399" t="s">
        <v>5</v>
      </c>
      <c r="Q5" s="399"/>
      <c r="R5" s="399"/>
      <c r="S5" s="399"/>
      <c r="T5" s="399">
        <v>1</v>
      </c>
      <c r="U5" s="399"/>
      <c r="V5" s="399"/>
      <c r="W5" s="399"/>
      <c r="X5" s="437"/>
      <c r="AA5" s="460" t="s">
        <v>6</v>
      </c>
      <c r="AB5" s="461"/>
      <c r="AC5" s="461"/>
      <c r="AD5" s="462" t="s">
        <v>7</v>
      </c>
      <c r="AE5" s="462"/>
      <c r="AF5" s="462" t="s">
        <v>8</v>
      </c>
      <c r="AG5" s="462"/>
      <c r="AH5" s="492" t="s">
        <v>9</v>
      </c>
      <c r="AI5" s="492"/>
      <c r="AJ5" s="492" t="s">
        <v>10</v>
      </c>
      <c r="AK5" s="492"/>
      <c r="AL5" s="492" t="s">
        <v>11</v>
      </c>
      <c r="AM5" s="492"/>
      <c r="AN5" s="492" t="s">
        <v>12</v>
      </c>
      <c r="AO5" s="492"/>
      <c r="AP5" s="510" t="s">
        <v>13</v>
      </c>
      <c r="AQ5" s="511"/>
      <c r="AR5" s="492" t="s">
        <v>14</v>
      </c>
      <c r="AS5" s="492"/>
      <c r="AT5" s="492" t="s">
        <v>15</v>
      </c>
      <c r="AU5" s="492"/>
      <c r="AV5" s="510" t="s">
        <v>16</v>
      </c>
      <c r="AW5" s="511"/>
      <c r="AX5" s="535">
        <f>INT(SUM(AD6:AW6))</f>
        <v>0</v>
      </c>
      <c r="AY5" s="536"/>
    </row>
    <row r="6" customHeight="1" spans="2:51">
      <c r="B6" s="339" t="s">
        <v>17</v>
      </c>
      <c r="C6" s="340"/>
      <c r="D6" s="340"/>
      <c r="E6" s="340"/>
      <c r="F6" s="341"/>
      <c r="G6" s="341"/>
      <c r="H6" s="341"/>
      <c r="I6" s="341"/>
      <c r="J6" s="341"/>
      <c r="K6" s="341"/>
      <c r="L6" s="341"/>
      <c r="M6" s="341"/>
      <c r="N6" s="341"/>
      <c r="O6" s="341"/>
      <c r="P6" s="341" t="s">
        <v>18</v>
      </c>
      <c r="Q6" s="341"/>
      <c r="R6" s="341"/>
      <c r="S6" s="341"/>
      <c r="T6" s="435"/>
      <c r="U6" s="435"/>
      <c r="V6" s="435"/>
      <c r="W6" s="435"/>
      <c r="X6" s="436"/>
      <c r="AA6" s="463"/>
      <c r="AB6" s="464"/>
      <c r="AC6" s="464"/>
      <c r="AD6" s="465">
        <f>IF(T9=0,0,INT(各序列技能计算!AG9))</f>
        <v>0</v>
      </c>
      <c r="AE6" s="465"/>
      <c r="AF6" s="465">
        <f>IFERROR(IF(M9&lt;=8,各序列技能计算!AZ9,0),"")</f>
        <v>0</v>
      </c>
      <c r="AG6" s="465"/>
      <c r="AH6" s="493">
        <f>IFERROR(IF(M9&lt;=7,各序列技能计算!N19,0),"")</f>
        <v>0</v>
      </c>
      <c r="AI6" s="493"/>
      <c r="AJ6" s="493">
        <f>IF(M9&lt;=6,各序列技能计算!AG19,0)</f>
        <v>0</v>
      </c>
      <c r="AK6" s="493"/>
      <c r="AL6" s="493">
        <f>IF(M9&lt;=5,各序列技能计算!AZ19,0)</f>
        <v>0</v>
      </c>
      <c r="AM6" s="493"/>
      <c r="AN6" s="493">
        <f>IF(M9&lt;=4,各序列技能计算!N29,0)</f>
        <v>0</v>
      </c>
      <c r="AO6" s="493"/>
      <c r="AP6" s="512">
        <f>IF(M9&lt;=3,各序列技能计算!AG29,0)</f>
        <v>0</v>
      </c>
      <c r="AQ6" s="513"/>
      <c r="AR6" s="493">
        <f>IF(M9&lt;=2,各序列技能计算!AZ29,0)</f>
        <v>0</v>
      </c>
      <c r="AS6" s="493"/>
      <c r="AT6" s="493">
        <f>IF(M9&lt;=1,各序列技能计算!N39,0)</f>
        <v>0</v>
      </c>
      <c r="AU6" s="493"/>
      <c r="AV6" s="512">
        <f>IF(M9=0,各序列技能计算!AG39,0)</f>
        <v>0</v>
      </c>
      <c r="AW6" s="513"/>
      <c r="AX6" s="493"/>
      <c r="AY6" s="537"/>
    </row>
    <row r="7" customHeight="1" spans="2:49">
      <c r="B7" s="335" t="s">
        <v>19</v>
      </c>
      <c r="C7" s="336"/>
      <c r="D7" s="336"/>
      <c r="E7" s="336"/>
      <c r="F7" s="337"/>
      <c r="G7" s="338"/>
      <c r="H7" s="338"/>
      <c r="I7" s="338"/>
      <c r="J7" s="338"/>
      <c r="K7" s="338"/>
      <c r="L7" s="338"/>
      <c r="M7" s="338"/>
      <c r="N7" s="338"/>
      <c r="O7" s="338"/>
      <c r="P7" s="338"/>
      <c r="Q7" s="338"/>
      <c r="R7" s="338"/>
      <c r="S7" s="338"/>
      <c r="T7" s="338"/>
      <c r="U7" s="338"/>
      <c r="V7" s="338"/>
      <c r="W7" s="338"/>
      <c r="X7" s="434"/>
      <c r="AB7" s="466"/>
      <c r="AC7" s="466"/>
      <c r="AD7" s="348"/>
      <c r="AE7" s="348"/>
      <c r="AF7" s="348"/>
      <c r="AG7" s="348"/>
      <c r="AV7" s="514"/>
      <c r="AW7" s="514"/>
    </row>
    <row r="8" customHeight="1" spans="2:51">
      <c r="B8" s="339" t="s">
        <v>20</v>
      </c>
      <c r="C8" s="340"/>
      <c r="D8" s="340"/>
      <c r="E8" s="340"/>
      <c r="F8" s="343"/>
      <c r="G8" s="344"/>
      <c r="H8" s="344"/>
      <c r="I8" s="344"/>
      <c r="J8" s="344"/>
      <c r="K8" s="344"/>
      <c r="L8" s="344"/>
      <c r="M8" s="344"/>
      <c r="N8" s="344"/>
      <c r="O8" s="344"/>
      <c r="P8" s="344"/>
      <c r="Q8" s="344"/>
      <c r="R8" s="344"/>
      <c r="S8" s="344"/>
      <c r="T8" s="344"/>
      <c r="U8" s="344"/>
      <c r="V8" s="344"/>
      <c r="W8" s="344"/>
      <c r="X8" s="438"/>
      <c r="AA8" s="460" t="s">
        <v>21</v>
      </c>
      <c r="AB8" s="467"/>
      <c r="AC8" s="467"/>
      <c r="AD8" s="462" t="s">
        <v>7</v>
      </c>
      <c r="AE8" s="462"/>
      <c r="AF8" s="462" t="s">
        <v>8</v>
      </c>
      <c r="AG8" s="462"/>
      <c r="AH8" s="492" t="s">
        <v>9</v>
      </c>
      <c r="AI8" s="492"/>
      <c r="AJ8" s="492" t="s">
        <v>10</v>
      </c>
      <c r="AK8" s="492"/>
      <c r="AL8" s="492" t="s">
        <v>11</v>
      </c>
      <c r="AM8" s="492"/>
      <c r="AN8" s="492" t="s">
        <v>12</v>
      </c>
      <c r="AO8" s="492"/>
      <c r="AP8" s="510" t="s">
        <v>13</v>
      </c>
      <c r="AQ8" s="511"/>
      <c r="AR8" s="492" t="s">
        <v>14</v>
      </c>
      <c r="AS8" s="492"/>
      <c r="AT8" s="492" t="s">
        <v>15</v>
      </c>
      <c r="AU8" s="492"/>
      <c r="AV8" s="510" t="s">
        <v>16</v>
      </c>
      <c r="AW8" s="511"/>
      <c r="AX8" s="535">
        <f>SUM(AD9:AW9)</f>
        <v>0</v>
      </c>
      <c r="AY8" s="536"/>
    </row>
    <row r="9" customHeight="1" spans="2:51">
      <c r="B9" s="345" t="s">
        <v>22</v>
      </c>
      <c r="C9" s="346"/>
      <c r="D9" s="346"/>
      <c r="E9" s="346"/>
      <c r="F9" s="347" t="str">
        <f>VLOOKUP(M9,非凡职业列表!A1:X10,T9+2,0)</f>
        <v>普通人</v>
      </c>
      <c r="G9" s="347"/>
      <c r="H9" s="347"/>
      <c r="I9" s="347" t="s">
        <v>23</v>
      </c>
      <c r="J9" s="347"/>
      <c r="K9" s="347"/>
      <c r="L9" s="347"/>
      <c r="M9" s="400">
        <v>9</v>
      </c>
      <c r="N9" s="400"/>
      <c r="O9" s="400"/>
      <c r="P9" s="347" t="s">
        <v>24</v>
      </c>
      <c r="Q9" s="347"/>
      <c r="R9" s="347"/>
      <c r="S9" s="347"/>
      <c r="T9" s="400">
        <v>0</v>
      </c>
      <c r="U9" s="400"/>
      <c r="V9" s="400"/>
      <c r="W9" s="400"/>
      <c r="X9" s="439"/>
      <c r="AA9" s="468"/>
      <c r="AB9" s="469"/>
      <c r="AC9" s="469"/>
      <c r="AD9" s="465">
        <f>IF(T9=0,0,1)</f>
        <v>0</v>
      </c>
      <c r="AE9" s="465"/>
      <c r="AF9" s="465">
        <f>IF(M9&lt;=8,1,0)</f>
        <v>0</v>
      </c>
      <c r="AG9" s="465"/>
      <c r="AH9" s="494">
        <v>0</v>
      </c>
      <c r="AI9" s="494"/>
      <c r="AJ9" s="493">
        <f>IF(M9&lt;=6,2,0)</f>
        <v>0</v>
      </c>
      <c r="AK9" s="493"/>
      <c r="AL9" s="493">
        <f>IF(M9&lt;=5,2,0)</f>
        <v>0</v>
      </c>
      <c r="AM9" s="493"/>
      <c r="AN9" s="494">
        <v>0</v>
      </c>
      <c r="AO9" s="494"/>
      <c r="AP9" s="512">
        <f>IF(M9&lt;=3,3,0)</f>
        <v>0</v>
      </c>
      <c r="AQ9" s="513"/>
      <c r="AR9" s="494">
        <v>0</v>
      </c>
      <c r="AS9" s="494"/>
      <c r="AT9" s="493">
        <f>IF(M9&lt;=1,4,0)</f>
        <v>0</v>
      </c>
      <c r="AU9" s="493"/>
      <c r="AV9" s="515">
        <v>0</v>
      </c>
      <c r="AW9" s="538"/>
      <c r="AX9" s="493"/>
      <c r="AY9" s="537"/>
    </row>
    <row r="10" customHeight="1" spans="2:22">
      <c r="B10" s="348"/>
      <c r="C10" s="348"/>
      <c r="D10" s="348"/>
      <c r="E10" s="349"/>
      <c r="F10" s="349"/>
      <c r="G10" s="349"/>
      <c r="H10" s="349"/>
      <c r="I10" s="349"/>
      <c r="J10" s="349"/>
      <c r="K10" s="349"/>
      <c r="L10" s="349"/>
      <c r="M10" s="349"/>
      <c r="N10" s="349"/>
      <c r="O10" s="349"/>
      <c r="P10" s="349"/>
      <c r="Q10" s="349"/>
      <c r="R10" s="349"/>
      <c r="S10" s="349"/>
      <c r="T10" s="349"/>
      <c r="U10" s="349"/>
      <c r="V10" s="349"/>
    </row>
    <row r="11" customHeight="1" spans="2:46">
      <c r="B11" s="348"/>
      <c r="C11" s="348"/>
      <c r="D11" s="348"/>
      <c r="E11" s="349"/>
      <c r="F11" s="349"/>
      <c r="G11" s="349"/>
      <c r="H11" s="349"/>
      <c r="I11" s="349"/>
      <c r="J11" s="349"/>
      <c r="K11" s="349"/>
      <c r="L11" s="349"/>
      <c r="M11" s="401"/>
      <c r="N11" s="349"/>
      <c r="O11" s="349"/>
      <c r="P11" s="349"/>
      <c r="Q11" s="349"/>
      <c r="R11" s="349"/>
      <c r="S11" s="349"/>
      <c r="T11" s="349"/>
      <c r="U11" s="349"/>
      <c r="V11" s="349"/>
      <c r="X11"/>
      <c r="Y11"/>
      <c r="Z11"/>
      <c r="AA11"/>
      <c r="AB11"/>
      <c r="AC11"/>
      <c r="AD11"/>
      <c r="AE11"/>
      <c r="AF11"/>
      <c r="AG11"/>
      <c r="AH11"/>
      <c r="AI11"/>
      <c r="AJ11"/>
      <c r="AK11"/>
      <c r="AL11"/>
      <c r="AM11"/>
      <c r="AN11"/>
      <c r="AO11"/>
      <c r="AP11"/>
      <c r="AQ11"/>
      <c r="AR11"/>
      <c r="AS11"/>
      <c r="AT11"/>
    </row>
    <row r="12" customHeight="1" spans="2:55">
      <c r="B12" s="350" t="s">
        <v>25</v>
      </c>
      <c r="C12" s="351"/>
      <c r="D12" s="351"/>
      <c r="E12" s="351"/>
      <c r="F12" s="351"/>
      <c r="G12" s="351"/>
      <c r="H12" s="351"/>
      <c r="I12" s="351"/>
      <c r="J12" s="351"/>
      <c r="K12" s="351"/>
      <c r="L12" s="351"/>
      <c r="M12" s="351"/>
      <c r="N12" s="351"/>
      <c r="O12" s="351"/>
      <c r="P12" s="351"/>
      <c r="Q12" s="351"/>
      <c r="R12" s="351"/>
      <c r="S12" s="440"/>
      <c r="U12" s="333" t="s">
        <v>26</v>
      </c>
      <c r="V12" s="334"/>
      <c r="W12" s="334"/>
      <c r="X12" s="334"/>
      <c r="Y12" s="334"/>
      <c r="Z12" s="334"/>
      <c r="AA12" s="334"/>
      <c r="AB12" s="334"/>
      <c r="AC12" s="334"/>
      <c r="AD12" s="334"/>
      <c r="AE12" s="334"/>
      <c r="AF12" s="334"/>
      <c r="AG12" s="334"/>
      <c r="AH12" s="334"/>
      <c r="AI12" s="334"/>
      <c r="AJ12" s="334"/>
      <c r="AK12" s="334"/>
      <c r="AL12" s="334"/>
      <c r="AM12" s="334"/>
      <c r="AN12" s="334"/>
      <c r="AO12" s="334"/>
      <c r="AP12" s="334"/>
      <c r="AQ12" s="334"/>
      <c r="AR12" s="433"/>
      <c r="AT12" s="516" t="s">
        <v>27</v>
      </c>
      <c r="AU12" s="517"/>
      <c r="AV12" s="517"/>
      <c r="AW12" s="517"/>
      <c r="AX12" s="517"/>
      <c r="AY12" s="517"/>
      <c r="AZ12" s="517"/>
      <c r="BA12" s="539"/>
      <c r="BB12" s="520"/>
      <c r="BC12" s="520"/>
    </row>
    <row r="13" customHeight="1" spans="2:55">
      <c r="B13" s="352" t="s">
        <v>28</v>
      </c>
      <c r="C13" s="353"/>
      <c r="D13" s="354">
        <v>0</v>
      </c>
      <c r="E13" s="354"/>
      <c r="F13" s="355">
        <f>INT(D13/2)</f>
        <v>0</v>
      </c>
      <c r="G13" s="355"/>
      <c r="H13" s="356" t="s">
        <v>29</v>
      </c>
      <c r="I13" s="360"/>
      <c r="J13" s="402">
        <v>0</v>
      </c>
      <c r="K13" s="402"/>
      <c r="L13" s="362">
        <f>INT(J13/2)</f>
        <v>0</v>
      </c>
      <c r="M13" s="362"/>
      <c r="N13" s="363" t="s">
        <v>30</v>
      </c>
      <c r="O13" s="353"/>
      <c r="P13" s="354">
        <v>0</v>
      </c>
      <c r="Q13" s="354"/>
      <c r="R13" s="355">
        <f>INT(P13/2)</f>
        <v>0</v>
      </c>
      <c r="S13" s="441"/>
      <c r="U13" s="352" t="s">
        <v>28</v>
      </c>
      <c r="V13" s="353"/>
      <c r="W13" s="404">
        <f>IF(D13&gt;0,LOOKUP(M9,附表2!A2:A11,附表2!B2:B11)+AA14,0)</f>
        <v>0</v>
      </c>
      <c r="X13" s="404"/>
      <c r="Y13" s="470">
        <f>INT(W13/2)</f>
        <v>0</v>
      </c>
      <c r="Z13" s="470"/>
      <c r="AA13" s="471" t="s">
        <v>31</v>
      </c>
      <c r="AB13" s="471"/>
      <c r="AC13" s="356" t="s">
        <v>29</v>
      </c>
      <c r="AD13" s="360"/>
      <c r="AE13" s="472">
        <f>IF(J13&gt;0,LOOKUP(M9,附表2!A2:A11,附表2!C2:C11)+AI14,0)</f>
        <v>0</v>
      </c>
      <c r="AF13" s="472"/>
      <c r="AG13" s="473">
        <f t="shared" ref="AG13:AG17" si="0">INT(AE13/2)</f>
        <v>0</v>
      </c>
      <c r="AH13" s="473"/>
      <c r="AI13" s="474" t="s">
        <v>31</v>
      </c>
      <c r="AJ13" s="474"/>
      <c r="AK13" s="363" t="s">
        <v>30</v>
      </c>
      <c r="AL13" s="353"/>
      <c r="AM13" s="404">
        <f>IF(P13&gt;0,LOOKUP(M9,附表2!A2:A11,附表2!D2:D11)+AQ14,0)</f>
        <v>0</v>
      </c>
      <c r="AN13" s="404"/>
      <c r="AO13" s="470">
        <f>INT(AM13/2)</f>
        <v>0</v>
      </c>
      <c r="AP13" s="470"/>
      <c r="AQ13" s="471" t="s">
        <v>31</v>
      </c>
      <c r="AR13" s="518"/>
      <c r="AT13" s="519"/>
      <c r="AU13" s="520"/>
      <c r="AV13" s="520"/>
      <c r="AW13" s="520"/>
      <c r="AX13" s="520"/>
      <c r="AY13" s="520"/>
      <c r="AZ13" s="520"/>
      <c r="BA13" s="540"/>
      <c r="BB13" s="520"/>
      <c r="BC13" s="520"/>
    </row>
    <row r="14" customHeight="1" spans="2:55">
      <c r="B14" s="352" t="s">
        <v>32</v>
      </c>
      <c r="C14" s="353"/>
      <c r="D14" s="357"/>
      <c r="E14" s="357"/>
      <c r="F14" s="358">
        <f>INT(D13/5)</f>
        <v>0</v>
      </c>
      <c r="G14" s="358"/>
      <c r="H14" s="356" t="s">
        <v>33</v>
      </c>
      <c r="I14" s="360"/>
      <c r="J14" s="403"/>
      <c r="K14" s="403"/>
      <c r="L14" s="362">
        <f>INT(J13/5)</f>
        <v>0</v>
      </c>
      <c r="M14" s="362"/>
      <c r="N14" s="363" t="s">
        <v>34</v>
      </c>
      <c r="O14" s="353"/>
      <c r="P14" s="357"/>
      <c r="Q14" s="357"/>
      <c r="R14" s="355">
        <f>INT(P13/5)</f>
        <v>0</v>
      </c>
      <c r="S14" s="441"/>
      <c r="U14" s="352" t="s">
        <v>32</v>
      </c>
      <c r="V14" s="353"/>
      <c r="W14" s="404"/>
      <c r="X14" s="404"/>
      <c r="Y14" s="404">
        <f>INT(W13/5)</f>
        <v>0</v>
      </c>
      <c r="Z14" s="404"/>
      <c r="AA14" s="357"/>
      <c r="AB14" s="357"/>
      <c r="AC14" s="356" t="s">
        <v>33</v>
      </c>
      <c r="AD14" s="360"/>
      <c r="AE14" s="472"/>
      <c r="AF14" s="472"/>
      <c r="AG14" s="473">
        <f t="shared" ref="AG14:AG18" si="1">INT(AE13/5)</f>
        <v>0</v>
      </c>
      <c r="AH14" s="473"/>
      <c r="AI14" s="495"/>
      <c r="AJ14" s="495"/>
      <c r="AK14" s="363" t="s">
        <v>34</v>
      </c>
      <c r="AL14" s="353"/>
      <c r="AM14" s="404"/>
      <c r="AN14" s="404"/>
      <c r="AO14" s="470">
        <f>INT(AM13/5)</f>
        <v>0</v>
      </c>
      <c r="AP14" s="470"/>
      <c r="AQ14" s="496"/>
      <c r="AR14" s="521"/>
      <c r="AT14" s="519"/>
      <c r="AU14" s="520"/>
      <c r="AV14" s="520"/>
      <c r="AW14" s="520"/>
      <c r="AX14" s="520"/>
      <c r="AY14" s="520"/>
      <c r="AZ14" s="520"/>
      <c r="BA14" s="540"/>
      <c r="BB14" s="520"/>
      <c r="BC14" s="520"/>
    </row>
    <row r="15" customHeight="1" spans="2:55">
      <c r="B15" s="359" t="s">
        <v>35</v>
      </c>
      <c r="C15" s="360"/>
      <c r="D15" s="361">
        <v>0</v>
      </c>
      <c r="E15" s="361"/>
      <c r="F15" s="362">
        <f t="shared" ref="F15" si="2">INT(D15/2)</f>
        <v>0</v>
      </c>
      <c r="G15" s="362"/>
      <c r="H15" s="363" t="s">
        <v>36</v>
      </c>
      <c r="I15" s="353"/>
      <c r="J15" s="390">
        <v>0</v>
      </c>
      <c r="K15" s="390"/>
      <c r="L15" s="355">
        <f t="shared" ref="L15" si="3">INT(J15/2)</f>
        <v>0</v>
      </c>
      <c r="M15" s="355"/>
      <c r="N15" s="356" t="s">
        <v>37</v>
      </c>
      <c r="O15" s="360"/>
      <c r="P15" s="361">
        <v>0</v>
      </c>
      <c r="Q15" s="361"/>
      <c r="R15" s="362">
        <f>INT(P15/2)</f>
        <v>0</v>
      </c>
      <c r="S15" s="442"/>
      <c r="U15" s="359" t="s">
        <v>35</v>
      </c>
      <c r="V15" s="360"/>
      <c r="W15" s="443">
        <f>IF(D15&gt;0,LOOKUP(M9,附表2!A2:A11,附表2!E2:E11)+AA16,0)</f>
        <v>0</v>
      </c>
      <c r="X15" s="443"/>
      <c r="Y15" s="473">
        <f>INT(W15/2)</f>
        <v>0</v>
      </c>
      <c r="Z15" s="473"/>
      <c r="AA15" s="474" t="s">
        <v>31</v>
      </c>
      <c r="AB15" s="474"/>
      <c r="AC15" s="363" t="s">
        <v>36</v>
      </c>
      <c r="AD15" s="353"/>
      <c r="AE15" s="475">
        <f>IF(J15&gt;0,LOOKUP(M9,附表2!A2:A11,附表2!F2:F11)+AI16,0)</f>
        <v>0</v>
      </c>
      <c r="AF15" s="475"/>
      <c r="AG15" s="470">
        <f t="shared" si="0"/>
        <v>0</v>
      </c>
      <c r="AH15" s="470"/>
      <c r="AI15" s="476" t="s">
        <v>31</v>
      </c>
      <c r="AJ15" s="476"/>
      <c r="AK15" s="356" t="s">
        <v>37</v>
      </c>
      <c r="AL15" s="360"/>
      <c r="AM15" s="443">
        <f>IF(P15&gt;0,LOOKUP(M9,附表2!A2:A11,附表2!G2:G11)+AQ16,0)</f>
        <v>0</v>
      </c>
      <c r="AN15" s="443"/>
      <c r="AO15" s="473">
        <f>INT(AM15/2)</f>
        <v>0</v>
      </c>
      <c r="AP15" s="473"/>
      <c r="AQ15" s="474" t="s">
        <v>31</v>
      </c>
      <c r="AR15" s="522"/>
      <c r="AT15" s="519"/>
      <c r="AU15" s="520"/>
      <c r="AV15" s="520"/>
      <c r="AW15" s="520"/>
      <c r="AX15" s="520"/>
      <c r="AY15" s="520"/>
      <c r="AZ15" s="520"/>
      <c r="BA15" s="540"/>
      <c r="BB15" s="520"/>
      <c r="BC15" s="520"/>
    </row>
    <row r="16" customHeight="1" spans="2:55">
      <c r="B16" s="359" t="s">
        <v>38</v>
      </c>
      <c r="C16" s="360"/>
      <c r="D16" s="361"/>
      <c r="E16" s="361"/>
      <c r="F16" s="364">
        <f t="shared" ref="F16" si="4">INT(D15/5)</f>
        <v>0</v>
      </c>
      <c r="G16" s="364"/>
      <c r="H16" s="363" t="s">
        <v>39</v>
      </c>
      <c r="I16" s="353"/>
      <c r="J16" s="390"/>
      <c r="K16" s="390"/>
      <c r="L16" s="355">
        <f t="shared" ref="L16" si="5">INT(J15/5)</f>
        <v>0</v>
      </c>
      <c r="M16" s="355"/>
      <c r="N16" s="356" t="s">
        <v>40</v>
      </c>
      <c r="O16" s="360"/>
      <c r="P16" s="361"/>
      <c r="Q16" s="361"/>
      <c r="R16" s="362">
        <f>INT(P15/5)</f>
        <v>0</v>
      </c>
      <c r="S16" s="442"/>
      <c r="U16" s="359" t="s">
        <v>38</v>
      </c>
      <c r="V16" s="360"/>
      <c r="W16" s="443"/>
      <c r="X16" s="443"/>
      <c r="Y16" s="472">
        <f>INT(W15/5)</f>
        <v>0</v>
      </c>
      <c r="Z16" s="472"/>
      <c r="AA16" s="403"/>
      <c r="AB16" s="403"/>
      <c r="AC16" s="363" t="s">
        <v>39</v>
      </c>
      <c r="AD16" s="353"/>
      <c r="AE16" s="475"/>
      <c r="AF16" s="475"/>
      <c r="AG16" s="470">
        <f t="shared" si="1"/>
        <v>0</v>
      </c>
      <c r="AH16" s="470"/>
      <c r="AI16" s="496"/>
      <c r="AJ16" s="496"/>
      <c r="AK16" s="356" t="s">
        <v>40</v>
      </c>
      <c r="AL16" s="360"/>
      <c r="AM16" s="443"/>
      <c r="AN16" s="443"/>
      <c r="AO16" s="473">
        <f>INT(AM15/5)</f>
        <v>0</v>
      </c>
      <c r="AP16" s="473"/>
      <c r="AQ16" s="495"/>
      <c r="AR16" s="523"/>
      <c r="AT16" s="519"/>
      <c r="AU16" s="520"/>
      <c r="AV16" s="520"/>
      <c r="AW16" s="520"/>
      <c r="AX16" s="520"/>
      <c r="AY16" s="520"/>
      <c r="AZ16" s="520"/>
      <c r="BA16" s="540"/>
      <c r="BB16" s="520"/>
      <c r="BC16" s="520"/>
    </row>
    <row r="17" customHeight="1" spans="2:55">
      <c r="B17" s="352" t="s">
        <v>41</v>
      </c>
      <c r="C17" s="353"/>
      <c r="D17" s="357">
        <v>0</v>
      </c>
      <c r="E17" s="357"/>
      <c r="F17" s="355">
        <f t="shared" ref="F17" si="6">INT(D17/2)</f>
        <v>0</v>
      </c>
      <c r="G17" s="355"/>
      <c r="H17" s="356" t="s">
        <v>42</v>
      </c>
      <c r="I17" s="360"/>
      <c r="J17" s="403">
        <v>0</v>
      </c>
      <c r="K17" s="403"/>
      <c r="L17" s="362">
        <f t="shared" ref="L17" si="7">INT(J17/2)</f>
        <v>0</v>
      </c>
      <c r="M17" s="362"/>
      <c r="N17" s="363" t="s">
        <v>43</v>
      </c>
      <c r="O17" s="353"/>
      <c r="P17" s="404">
        <f>附表!H27-LOOKUP(D6,附表!E2:E7,附表!F2:F7)</f>
        <v>8</v>
      </c>
      <c r="Q17" s="404"/>
      <c r="R17" s="444" t="s">
        <v>44</v>
      </c>
      <c r="S17" s="445"/>
      <c r="U17" s="352" t="s">
        <v>41</v>
      </c>
      <c r="V17" s="353"/>
      <c r="W17" s="404">
        <f>IF(D17&gt;0,LOOKUP(M9,附表2!A2:A11,附表2!H2:H11)+AA18,0)</f>
        <v>0</v>
      </c>
      <c r="X17" s="404"/>
      <c r="Y17" s="470">
        <f>INT(W17/2)</f>
        <v>0</v>
      </c>
      <c r="Z17" s="470"/>
      <c r="AA17" s="476" t="s">
        <v>31</v>
      </c>
      <c r="AB17" s="476"/>
      <c r="AC17" s="356" t="s">
        <v>42</v>
      </c>
      <c r="AD17" s="360"/>
      <c r="AE17" s="472">
        <f>IF(J17&gt;0,LOOKUP(M9,附表2!A2:A11,附表2!I2:I11)+AI18,0)</f>
        <v>0</v>
      </c>
      <c r="AF17" s="472"/>
      <c r="AG17" s="473">
        <f t="shared" si="0"/>
        <v>0</v>
      </c>
      <c r="AH17" s="473"/>
      <c r="AI17" s="474" t="s">
        <v>31</v>
      </c>
      <c r="AJ17" s="474"/>
      <c r="AK17" s="363" t="s">
        <v>43</v>
      </c>
      <c r="AL17" s="353"/>
      <c r="AM17" s="404">
        <f>附表!F27-LOOKUP(D6,附表!E2:E7,附表!F2:F7)</f>
        <v>8</v>
      </c>
      <c r="AN17" s="404"/>
      <c r="AO17" s="404"/>
      <c r="AP17" s="524" t="s">
        <v>44</v>
      </c>
      <c r="AQ17" s="524"/>
      <c r="AR17" s="525"/>
      <c r="AT17" s="519"/>
      <c r="AU17" s="520"/>
      <c r="AV17" s="520"/>
      <c r="AW17" s="520"/>
      <c r="AX17" s="520"/>
      <c r="AY17" s="520"/>
      <c r="AZ17" s="520"/>
      <c r="BA17" s="540"/>
      <c r="BB17" s="520"/>
      <c r="BC17" s="520"/>
    </row>
    <row r="18" customHeight="1" spans="2:55">
      <c r="B18" s="352" t="s">
        <v>45</v>
      </c>
      <c r="C18" s="353"/>
      <c r="D18" s="357"/>
      <c r="E18" s="357"/>
      <c r="F18" s="358">
        <f t="shared" ref="F18" si="8">INT(D17/5)</f>
        <v>0</v>
      </c>
      <c r="G18" s="358"/>
      <c r="H18" s="356" t="s">
        <v>46</v>
      </c>
      <c r="I18" s="360"/>
      <c r="J18" s="403"/>
      <c r="K18" s="403"/>
      <c r="L18" s="364">
        <f t="shared" ref="L18" si="9">INT(J17/5)</f>
        <v>0</v>
      </c>
      <c r="M18" s="364"/>
      <c r="N18" s="363" t="s">
        <v>47</v>
      </c>
      <c r="O18" s="353"/>
      <c r="P18" s="405"/>
      <c r="Q18" s="405"/>
      <c r="R18" s="446">
        <v>0</v>
      </c>
      <c r="S18" s="447"/>
      <c r="U18" s="352" t="s">
        <v>45</v>
      </c>
      <c r="V18" s="353"/>
      <c r="W18" s="404"/>
      <c r="X18" s="404"/>
      <c r="Y18" s="404">
        <f>INT(W17/5)</f>
        <v>0</v>
      </c>
      <c r="Z18" s="404"/>
      <c r="AA18" s="357"/>
      <c r="AB18" s="357"/>
      <c r="AC18" s="356" t="s">
        <v>46</v>
      </c>
      <c r="AD18" s="360"/>
      <c r="AE18" s="472"/>
      <c r="AF18" s="472"/>
      <c r="AG18" s="472">
        <f t="shared" si="1"/>
        <v>0</v>
      </c>
      <c r="AH18" s="472"/>
      <c r="AI18" s="403"/>
      <c r="AJ18" s="403"/>
      <c r="AK18" s="363" t="s">
        <v>47</v>
      </c>
      <c r="AL18" s="353"/>
      <c r="AM18" s="404"/>
      <c r="AN18" s="404"/>
      <c r="AO18" s="404"/>
      <c r="AP18" s="526">
        <v>0</v>
      </c>
      <c r="AQ18" s="526"/>
      <c r="AR18" s="527"/>
      <c r="AT18" s="519"/>
      <c r="AU18" s="520"/>
      <c r="AV18" s="520"/>
      <c r="AW18" s="520"/>
      <c r="AX18" s="520"/>
      <c r="AY18" s="520"/>
      <c r="AZ18" s="520"/>
      <c r="BA18" s="540"/>
      <c r="BB18" s="520"/>
      <c r="BC18" s="520"/>
    </row>
    <row r="19" customHeight="1" spans="2:55">
      <c r="B19" s="359" t="s">
        <v>48</v>
      </c>
      <c r="C19" s="360"/>
      <c r="D19" s="361">
        <v>0</v>
      </c>
      <c r="E19" s="361"/>
      <c r="F19" s="365">
        <f>INT(D19/2)</f>
        <v>0</v>
      </c>
      <c r="G19" s="365"/>
      <c r="H19" s="366" t="s">
        <v>49</v>
      </c>
      <c r="I19" s="366"/>
      <c r="J19" s="406" t="s">
        <v>50</v>
      </c>
      <c r="K19" s="406"/>
      <c r="L19" s="407" t="s">
        <v>51</v>
      </c>
      <c r="M19" s="408"/>
      <c r="N19" s="409"/>
      <c r="O19" s="410" t="s">
        <v>50</v>
      </c>
      <c r="P19" s="410"/>
      <c r="Q19" s="448" t="s">
        <v>50</v>
      </c>
      <c r="R19" s="448"/>
      <c r="S19" s="449"/>
      <c r="U19" s="359" t="s">
        <v>48</v>
      </c>
      <c r="V19" s="360"/>
      <c r="W19" s="443">
        <f>IF(D19&gt;0,LOOKUP(M9,附表2!A2:A11,附表2!J2:J11)+AA20+AN19,0)</f>
        <v>0</v>
      </c>
      <c r="X19" s="443"/>
      <c r="Y19" s="443">
        <f>INT(W19/2)</f>
        <v>0</v>
      </c>
      <c r="Z19" s="443"/>
      <c r="AA19" s="474" t="s">
        <v>31</v>
      </c>
      <c r="AB19" s="474"/>
      <c r="AC19" s="366" t="s">
        <v>49</v>
      </c>
      <c r="AD19" s="366"/>
      <c r="AE19" s="357">
        <v>0</v>
      </c>
      <c r="AF19" s="357"/>
      <c r="AG19" s="497" t="s">
        <v>51</v>
      </c>
      <c r="AH19" s="497"/>
      <c r="AI19" s="497"/>
      <c r="AJ19" s="497"/>
      <c r="AK19" s="498">
        <f>IF(T9=0,0,VLOOKUP(T9,附表6!A2:K24,M9+2,0))</f>
        <v>0</v>
      </c>
      <c r="AL19" s="498"/>
      <c r="AM19" s="498"/>
      <c r="AN19" s="472">
        <f>INT(AK19*AE19*0.01)</f>
        <v>0</v>
      </c>
      <c r="AO19" s="472"/>
      <c r="AP19" s="472"/>
      <c r="AQ19" s="472"/>
      <c r="AR19" s="528"/>
      <c r="AT19" s="519"/>
      <c r="AU19" s="520"/>
      <c r="AV19" s="520"/>
      <c r="AW19" s="520"/>
      <c r="AX19" s="520"/>
      <c r="AY19" s="520"/>
      <c r="AZ19" s="520"/>
      <c r="BA19" s="540"/>
      <c r="BB19" s="520"/>
      <c r="BC19" s="520"/>
    </row>
    <row r="20" customHeight="1" spans="2:55">
      <c r="B20" s="367" t="s">
        <v>52</v>
      </c>
      <c r="C20" s="368"/>
      <c r="D20" s="369"/>
      <c r="E20" s="369"/>
      <c r="F20" s="370">
        <f>INT(D19/5)</f>
        <v>0</v>
      </c>
      <c r="G20" s="370"/>
      <c r="H20" s="371"/>
      <c r="I20" s="371"/>
      <c r="J20" s="411"/>
      <c r="K20" s="411"/>
      <c r="L20" s="412" t="s">
        <v>53</v>
      </c>
      <c r="M20" s="413"/>
      <c r="N20" s="414"/>
      <c r="O20" s="415" t="s">
        <v>50</v>
      </c>
      <c r="P20" s="415"/>
      <c r="Q20" s="415"/>
      <c r="R20" s="415"/>
      <c r="S20" s="450"/>
      <c r="U20" s="367" t="s">
        <v>52</v>
      </c>
      <c r="V20" s="368"/>
      <c r="W20" s="451"/>
      <c r="X20" s="451"/>
      <c r="Y20" s="451">
        <f>INT(W19/5)</f>
        <v>0</v>
      </c>
      <c r="Z20" s="451"/>
      <c r="AA20" s="369"/>
      <c r="AB20" s="369"/>
      <c r="AC20" s="371"/>
      <c r="AD20" s="371"/>
      <c r="AE20" s="477"/>
      <c r="AF20" s="477"/>
      <c r="AG20" s="499" t="s">
        <v>53</v>
      </c>
      <c r="AH20" s="499"/>
      <c r="AI20" s="499"/>
      <c r="AJ20" s="499"/>
      <c r="AK20" s="500">
        <v>0</v>
      </c>
      <c r="AL20" s="500"/>
      <c r="AM20" s="500"/>
      <c r="AN20" s="500"/>
      <c r="AO20" s="500"/>
      <c r="AP20" s="500"/>
      <c r="AQ20" s="500"/>
      <c r="AR20" s="529"/>
      <c r="AT20" s="530"/>
      <c r="AU20" s="305"/>
      <c r="AV20" s="305"/>
      <c r="AW20" s="305"/>
      <c r="AX20" s="305"/>
      <c r="AY20" s="305"/>
      <c r="AZ20" s="305"/>
      <c r="BA20" s="541"/>
      <c r="BB20" s="520"/>
      <c r="BC20" s="520"/>
    </row>
    <row r="21" customHeight="1" spans="35:55">
      <c r="AI21" s="501">
        <f>IF(AND(AE19&gt;=0,AE19&lt;25),1,IF(AE19&lt;50,2,IF(AE19&lt;75,3,IF(AE19&lt;100,4,5))))</f>
        <v>1</v>
      </c>
      <c r="AV21" s="514"/>
      <c r="AW21" s="514"/>
      <c r="AX21" s="514"/>
      <c r="AY21" s="514"/>
      <c r="AZ21" s="514"/>
      <c r="BA21" s="514"/>
      <c r="BB21" s="514"/>
      <c r="BC21" s="514"/>
    </row>
    <row r="22" customHeight="1" spans="2:55">
      <c r="B22" s="372" t="s">
        <v>54</v>
      </c>
      <c r="C22" s="373"/>
      <c r="D22" s="373"/>
      <c r="E22" s="373"/>
      <c r="F22" s="374">
        <v>0</v>
      </c>
      <c r="G22" s="374"/>
      <c r="H22" s="375">
        <f>IF(T9=0,INT(D15+D17),INT((W15+W17)/10)+AX8)</f>
        <v>0</v>
      </c>
      <c r="I22" s="416"/>
      <c r="J22" s="417" t="s">
        <v>55</v>
      </c>
      <c r="K22" s="418"/>
      <c r="L22" s="418"/>
      <c r="M22" s="418"/>
      <c r="N22" s="419">
        <v>0</v>
      </c>
      <c r="O22" s="420"/>
      <c r="P22" s="421">
        <f>IF(T9=0,INT(P13),INT(AM13))</f>
        <v>0</v>
      </c>
      <c r="Q22" s="452"/>
      <c r="R22" s="373" t="s">
        <v>56</v>
      </c>
      <c r="S22" s="373"/>
      <c r="T22" s="373"/>
      <c r="U22" s="373"/>
      <c r="V22" s="453">
        <v>0</v>
      </c>
      <c r="W22" s="453"/>
      <c r="X22" s="454">
        <v>99</v>
      </c>
      <c r="Y22" s="478"/>
      <c r="Z22" s="418" t="s">
        <v>57</v>
      </c>
      <c r="AA22" s="418"/>
      <c r="AB22" s="418"/>
      <c r="AC22" s="418"/>
      <c r="AD22" s="419">
        <v>0</v>
      </c>
      <c r="AE22" s="420"/>
      <c r="AF22" s="421">
        <f>IF(T9=0,INT(D19),INT(W19))</f>
        <v>0</v>
      </c>
      <c r="AG22" s="452"/>
      <c r="AH22" s="502" t="s">
        <v>58</v>
      </c>
      <c r="AI22" s="502"/>
      <c r="AJ22" s="502"/>
      <c r="AK22" s="502"/>
      <c r="AL22" s="503"/>
      <c r="AM22" s="504" t="s">
        <v>59</v>
      </c>
      <c r="AN22" s="504"/>
      <c r="AO22" s="504"/>
      <c r="AP22" s="531"/>
      <c r="AQ22" s="531"/>
      <c r="AR22" s="532"/>
      <c r="AS22" s="418" t="s">
        <v>60</v>
      </c>
      <c r="AT22" s="418"/>
      <c r="AU22" s="418"/>
      <c r="AV22" s="418"/>
      <c r="AW22" s="542"/>
      <c r="AX22" s="542"/>
      <c r="AY22" s="542"/>
      <c r="AZ22" s="542"/>
      <c r="BA22" s="543"/>
      <c r="BB22" s="544"/>
      <c r="BC22" s="544"/>
    </row>
    <row r="23" customHeight="1" spans="2:55">
      <c r="B23" s="376" t="s">
        <v>61</v>
      </c>
      <c r="C23" s="377"/>
      <c r="D23" s="377"/>
      <c r="E23" s="377"/>
      <c r="F23" s="378"/>
      <c r="G23" s="378"/>
      <c r="H23" s="379"/>
      <c r="I23" s="422"/>
      <c r="J23" s="423" t="s">
        <v>62</v>
      </c>
      <c r="K23" s="424"/>
      <c r="L23" s="424"/>
      <c r="M23" s="424"/>
      <c r="N23" s="425"/>
      <c r="O23" s="426"/>
      <c r="P23" s="427"/>
      <c r="Q23" s="455"/>
      <c r="R23" s="377" t="s">
        <v>63</v>
      </c>
      <c r="S23" s="377"/>
      <c r="T23" s="377"/>
      <c r="U23" s="377"/>
      <c r="V23" s="456"/>
      <c r="W23" s="456"/>
      <c r="X23" s="457"/>
      <c r="Y23" s="479"/>
      <c r="Z23" s="424" t="s">
        <v>64</v>
      </c>
      <c r="AA23" s="424"/>
      <c r="AB23" s="424"/>
      <c r="AC23" s="424"/>
      <c r="AD23" s="425"/>
      <c r="AE23" s="426"/>
      <c r="AF23" s="427"/>
      <c r="AG23" s="455"/>
      <c r="AH23" s="456" t="s">
        <v>65</v>
      </c>
      <c r="AI23" s="456"/>
      <c r="AJ23" s="456"/>
      <c r="AK23" s="456"/>
      <c r="AL23" s="505"/>
      <c r="AM23" s="506" t="s">
        <v>66</v>
      </c>
      <c r="AN23" s="506"/>
      <c r="AO23" s="506"/>
      <c r="AP23" s="533"/>
      <c r="AQ23" s="533"/>
      <c r="AR23" s="534"/>
      <c r="AS23" s="424"/>
      <c r="AT23" s="424"/>
      <c r="AU23" s="424"/>
      <c r="AV23" s="424"/>
      <c r="AW23" s="545"/>
      <c r="AX23" s="545"/>
      <c r="AY23" s="545"/>
      <c r="AZ23" s="545"/>
      <c r="BA23" s="546"/>
      <c r="BB23" s="544"/>
      <c r="BC23" s="544"/>
    </row>
    <row r="24" customHeight="1" spans="2:55">
      <c r="B24" s="380" t="str">
        <f>IF(T5=0," ","["&amp;LOOKUP(T5,职业列表!A2:A116,职业列表!B2:B116)&amp;"]的本职技能："&amp;LOOKUP(T5,职业列表!A2:A116,职业列表!F2:F116))</f>
        <v>[自定义职业]的本职技能：不多于7个本职技能。在职业属性中输入第二职业属性的数值（留空则视为EDU）并自行设置起始信誉。使用自定义职业前，请先咨询你的守秘人</v>
      </c>
      <c r="C24" s="380"/>
      <c r="D24" s="380"/>
      <c r="E24" s="380"/>
      <c r="F24" s="380"/>
      <c r="G24" s="380"/>
      <c r="H24" s="380"/>
      <c r="I24" s="380"/>
      <c r="J24" s="380"/>
      <c r="K24" s="380"/>
      <c r="L24" s="380"/>
      <c r="M24" s="380"/>
      <c r="N24" s="380"/>
      <c r="O24" s="380"/>
      <c r="P24" s="380"/>
      <c r="Q24" s="380"/>
      <c r="R24" s="380"/>
      <c r="S24" s="380"/>
      <c r="T24" s="380"/>
      <c r="U24" s="380"/>
      <c r="V24" s="380"/>
      <c r="W24" s="380"/>
      <c r="X24" s="380"/>
      <c r="Y24" s="380"/>
      <c r="Z24" s="380"/>
      <c r="AA24" s="380"/>
      <c r="AB24" s="380"/>
      <c r="AC24" s="380"/>
      <c r="AD24" s="380"/>
      <c r="AE24" s="380"/>
      <c r="AF24" s="380"/>
      <c r="AG24" s="380"/>
      <c r="AH24" s="380"/>
      <c r="AI24" s="380"/>
      <c r="AJ24" s="380"/>
      <c r="AK24" s="380"/>
      <c r="AL24" s="380"/>
      <c r="AM24" s="380"/>
      <c r="AN24" s="380"/>
      <c r="AO24" s="380"/>
      <c r="AP24" s="380"/>
      <c r="AQ24" s="380"/>
      <c r="AR24" s="380"/>
      <c r="AS24" s="380"/>
      <c r="AT24" s="380"/>
      <c r="AU24" s="380"/>
      <c r="AV24" s="380"/>
      <c r="AW24" s="380"/>
      <c r="AX24" s="380"/>
      <c r="AY24" s="380"/>
      <c r="AZ24" s="380"/>
      <c r="BA24" s="380"/>
      <c r="BB24" s="380"/>
      <c r="BC24" s="380"/>
    </row>
    <row r="25" customHeight="1" spans="2:55">
      <c r="B25" s="333" t="s">
        <v>67</v>
      </c>
      <c r="C25" s="334"/>
      <c r="D25" s="334"/>
      <c r="E25" s="334"/>
      <c r="F25" s="334"/>
      <c r="G25" s="334"/>
      <c r="H25" s="334"/>
      <c r="I25" s="334"/>
      <c r="J25" s="334"/>
      <c r="K25" s="334"/>
      <c r="L25" s="334"/>
      <c r="M25" s="334"/>
      <c r="N25" s="334"/>
      <c r="O25" s="334"/>
      <c r="P25" s="334"/>
      <c r="Q25" s="334"/>
      <c r="R25" s="334"/>
      <c r="S25" s="334"/>
      <c r="T25" s="334"/>
      <c r="U25" s="334"/>
      <c r="V25" s="334"/>
      <c r="W25" s="334"/>
      <c r="X25" s="334"/>
      <c r="Y25" s="334"/>
      <c r="Z25" s="334"/>
      <c r="AA25" s="334"/>
      <c r="AB25" s="334"/>
      <c r="AC25" s="334"/>
      <c r="AD25" s="334"/>
      <c r="AE25" s="334"/>
      <c r="AF25" s="334"/>
      <c r="AG25" s="334"/>
      <c r="AH25" s="334"/>
      <c r="AI25" s="334"/>
      <c r="AJ25" s="334"/>
      <c r="AK25" s="334"/>
      <c r="AL25" s="334"/>
      <c r="AM25" s="334"/>
      <c r="AN25" s="334"/>
      <c r="AO25" s="334"/>
      <c r="AP25" s="334"/>
      <c r="AQ25" s="334"/>
      <c r="AR25" s="334"/>
      <c r="AS25" s="334"/>
      <c r="AT25" s="334"/>
      <c r="AU25" s="334"/>
      <c r="AV25" s="334"/>
      <c r="AW25" s="334"/>
      <c r="AX25" s="334"/>
      <c r="AY25" s="334"/>
      <c r="AZ25" s="334"/>
      <c r="BA25" s="433"/>
      <c r="BB25" s="547"/>
      <c r="BC25" s="547"/>
    </row>
    <row r="26" customHeight="1" spans="2:55">
      <c r="B26" s="381"/>
      <c r="C26" s="382" t="s">
        <v>68</v>
      </c>
      <c r="D26" s="382"/>
      <c r="E26" s="382"/>
      <c r="F26" s="382"/>
      <c r="G26" s="382"/>
      <c r="H26" s="382"/>
      <c r="I26" s="382"/>
      <c r="J26" s="382" t="s">
        <v>69</v>
      </c>
      <c r="K26" s="382"/>
      <c r="L26" s="382" t="s">
        <v>70</v>
      </c>
      <c r="M26" s="382"/>
      <c r="N26" s="382" t="s">
        <v>71</v>
      </c>
      <c r="O26" s="382"/>
      <c r="P26" s="382" t="s">
        <v>4</v>
      </c>
      <c r="Q26" s="382"/>
      <c r="R26" s="382" t="s">
        <v>72</v>
      </c>
      <c r="S26" s="382"/>
      <c r="T26" s="382" t="s">
        <v>73</v>
      </c>
      <c r="U26" s="382"/>
      <c r="V26" s="382"/>
      <c r="W26" s="382"/>
      <c r="X26" s="382"/>
      <c r="Y26" s="382"/>
      <c r="Z26" s="382" t="s">
        <v>64</v>
      </c>
      <c r="AA26" s="480"/>
      <c r="AB26" s="481"/>
      <c r="AC26" s="382" t="s">
        <v>68</v>
      </c>
      <c r="AD26" s="382"/>
      <c r="AE26" s="382"/>
      <c r="AF26" s="382"/>
      <c r="AG26" s="382"/>
      <c r="AH26" s="382"/>
      <c r="AI26" s="382"/>
      <c r="AJ26" s="382" t="s">
        <v>69</v>
      </c>
      <c r="AK26" s="382"/>
      <c r="AL26" s="382" t="s">
        <v>70</v>
      </c>
      <c r="AM26" s="382"/>
      <c r="AN26" s="382" t="s">
        <v>71</v>
      </c>
      <c r="AO26" s="382"/>
      <c r="AP26" s="382" t="s">
        <v>4</v>
      </c>
      <c r="AQ26" s="382"/>
      <c r="AR26" s="382" t="s">
        <v>72</v>
      </c>
      <c r="AS26" s="382"/>
      <c r="AT26" s="382" t="s">
        <v>73</v>
      </c>
      <c r="AU26" s="382"/>
      <c r="AV26" s="382"/>
      <c r="AW26" s="382"/>
      <c r="AX26" s="382"/>
      <c r="AY26" s="382"/>
      <c r="AZ26" s="382" t="s">
        <v>64</v>
      </c>
      <c r="BA26" s="548"/>
      <c r="BB26" s="549"/>
      <c r="BC26" s="549"/>
    </row>
    <row r="27" customHeight="1" spans="2:55">
      <c r="B27" s="383" t="s">
        <v>74</v>
      </c>
      <c r="C27" s="384" t="s">
        <v>75</v>
      </c>
      <c r="D27" s="384"/>
      <c r="E27" s="384"/>
      <c r="F27" s="384"/>
      <c r="G27" s="384"/>
      <c r="H27" s="384"/>
      <c r="I27" s="384"/>
      <c r="J27" s="428">
        <v>5</v>
      </c>
      <c r="K27" s="428"/>
      <c r="L27" s="428"/>
      <c r="M27" s="428"/>
      <c r="N27" s="428"/>
      <c r="O27" s="428"/>
      <c r="P27" s="428"/>
      <c r="Q27" s="428"/>
      <c r="R27" s="428"/>
      <c r="S27" s="428"/>
      <c r="T27" s="458">
        <f t="shared" ref="T27:T40" si="10">SUM(J27:S27)</f>
        <v>5</v>
      </c>
      <c r="U27" s="458"/>
      <c r="V27" s="458">
        <f t="shared" ref="V27:V40" si="11">INT(T27/2)</f>
        <v>2</v>
      </c>
      <c r="W27" s="458"/>
      <c r="X27" s="458">
        <f t="shared" ref="X27:X40" si="12">INT(T27/5)</f>
        <v>1</v>
      </c>
      <c r="Y27" s="458"/>
      <c r="Z27" s="458"/>
      <c r="AA27" s="482"/>
      <c r="AB27" s="483" t="s">
        <v>74</v>
      </c>
      <c r="AC27" s="386" t="s">
        <v>76</v>
      </c>
      <c r="AD27" s="386"/>
      <c r="AE27" s="386"/>
      <c r="AF27" s="386"/>
      <c r="AG27" s="386"/>
      <c r="AH27" s="386"/>
      <c r="AI27" s="386"/>
      <c r="AJ27" s="391">
        <v>10</v>
      </c>
      <c r="AK27" s="391"/>
      <c r="AL27" s="391"/>
      <c r="AM27" s="391"/>
      <c r="AN27" s="391"/>
      <c r="AO27" s="391"/>
      <c r="AP27" s="391"/>
      <c r="AQ27" s="391"/>
      <c r="AR27" s="390"/>
      <c r="AS27" s="390"/>
      <c r="AT27" s="429">
        <f t="shared" ref="AT27:AT48" si="13">SUM(AJ27:AS27)</f>
        <v>10</v>
      </c>
      <c r="AU27" s="429"/>
      <c r="AV27" s="429">
        <f t="shared" ref="AV27:AV42" si="14">INT(AT27/2)</f>
        <v>5</v>
      </c>
      <c r="AW27" s="429"/>
      <c r="AX27" s="429">
        <f t="shared" ref="AX27:AX42" si="15">INT(AT27/5)</f>
        <v>2</v>
      </c>
      <c r="AY27" s="429"/>
      <c r="AZ27" s="550"/>
      <c r="BA27" s="551"/>
      <c r="BB27" s="552" t="str">
        <f t="shared" ref="BB27:BB67" si="16">IF(T27=0,"",CONCATENATE(C27,T27))</f>
        <v>会计5</v>
      </c>
      <c r="BC27" s="552" t="str">
        <f t="shared" ref="BC27:BC67" si="17">IF(AT27=0,"",CONCATENATE(AC27,AT27))</f>
        <v>说服10</v>
      </c>
    </row>
    <row r="28" customHeight="1" spans="2:55">
      <c r="B28" s="385" t="s">
        <v>74</v>
      </c>
      <c r="C28" s="386" t="s">
        <v>77</v>
      </c>
      <c r="D28" s="386"/>
      <c r="E28" s="386"/>
      <c r="F28" s="386"/>
      <c r="G28" s="386"/>
      <c r="H28" s="386"/>
      <c r="I28" s="386"/>
      <c r="J28" s="391">
        <v>1</v>
      </c>
      <c r="K28" s="391"/>
      <c r="L28" s="391"/>
      <c r="M28" s="391"/>
      <c r="N28" s="391"/>
      <c r="O28" s="391"/>
      <c r="P28" s="391"/>
      <c r="Q28" s="391"/>
      <c r="R28" s="391"/>
      <c r="S28" s="391"/>
      <c r="T28" s="429">
        <f t="shared" si="10"/>
        <v>1</v>
      </c>
      <c r="U28" s="429"/>
      <c r="V28" s="429">
        <f t="shared" si="11"/>
        <v>0</v>
      </c>
      <c r="W28" s="429"/>
      <c r="X28" s="429">
        <f t="shared" si="12"/>
        <v>0</v>
      </c>
      <c r="Y28" s="429"/>
      <c r="Z28" s="429"/>
      <c r="AA28" s="484"/>
      <c r="AB28" s="485" t="s">
        <v>74</v>
      </c>
      <c r="AC28" s="388" t="s">
        <v>78</v>
      </c>
      <c r="AD28" s="388"/>
      <c r="AE28" s="388"/>
      <c r="AF28" s="388"/>
      <c r="AG28" s="388"/>
      <c r="AH28" s="388"/>
      <c r="AI28" s="388"/>
      <c r="AJ28" s="392">
        <v>1</v>
      </c>
      <c r="AK28" s="392"/>
      <c r="AL28" s="392"/>
      <c r="AM28" s="392"/>
      <c r="AN28" s="392"/>
      <c r="AO28" s="392"/>
      <c r="AP28" s="392"/>
      <c r="AQ28" s="392"/>
      <c r="AR28" s="361"/>
      <c r="AS28" s="361"/>
      <c r="AT28" s="430">
        <f t="shared" si="13"/>
        <v>1</v>
      </c>
      <c r="AU28" s="430"/>
      <c r="AV28" s="430">
        <f t="shared" si="14"/>
        <v>0</v>
      </c>
      <c r="AW28" s="430"/>
      <c r="AX28" s="430">
        <f t="shared" si="15"/>
        <v>0</v>
      </c>
      <c r="AY28" s="430"/>
      <c r="AZ28" s="507"/>
      <c r="BA28" s="553"/>
      <c r="BB28" s="552" t="str">
        <f t="shared" si="16"/>
        <v>人类学1</v>
      </c>
      <c r="BC28" s="552" t="str">
        <f t="shared" si="17"/>
        <v>驾驶:1</v>
      </c>
    </row>
    <row r="29" customHeight="1" spans="2:55">
      <c r="B29" s="387" t="s">
        <v>74</v>
      </c>
      <c r="C29" s="388" t="s">
        <v>79</v>
      </c>
      <c r="D29" s="388"/>
      <c r="E29" s="388"/>
      <c r="F29" s="388"/>
      <c r="G29" s="388"/>
      <c r="H29" s="388"/>
      <c r="I29" s="388"/>
      <c r="J29" s="392">
        <v>5</v>
      </c>
      <c r="K29" s="392"/>
      <c r="L29" s="392"/>
      <c r="M29" s="392"/>
      <c r="N29" s="392"/>
      <c r="O29" s="392"/>
      <c r="P29" s="392"/>
      <c r="Q29" s="392"/>
      <c r="R29" s="392"/>
      <c r="S29" s="392"/>
      <c r="T29" s="430">
        <f t="shared" si="10"/>
        <v>5</v>
      </c>
      <c r="U29" s="430"/>
      <c r="V29" s="430">
        <f t="shared" si="11"/>
        <v>2</v>
      </c>
      <c r="W29" s="430"/>
      <c r="X29" s="430">
        <f t="shared" si="12"/>
        <v>1</v>
      </c>
      <c r="Y29" s="430"/>
      <c r="Z29" s="430"/>
      <c r="AA29" s="486"/>
      <c r="AB29" s="483" t="s">
        <v>74</v>
      </c>
      <c r="AC29" s="386" t="s">
        <v>80</v>
      </c>
      <c r="AD29" s="386"/>
      <c r="AE29" s="386"/>
      <c r="AF29" s="386"/>
      <c r="AG29" s="386"/>
      <c r="AH29" s="386"/>
      <c r="AI29" s="386"/>
      <c r="AJ29" s="391">
        <v>1</v>
      </c>
      <c r="AK29" s="391"/>
      <c r="AL29" s="391"/>
      <c r="AM29" s="391"/>
      <c r="AN29" s="391"/>
      <c r="AO29" s="391"/>
      <c r="AP29" s="391"/>
      <c r="AQ29" s="391"/>
      <c r="AR29" s="390"/>
      <c r="AS29" s="390"/>
      <c r="AT29" s="429">
        <f t="shared" si="13"/>
        <v>1</v>
      </c>
      <c r="AU29" s="429"/>
      <c r="AV29" s="429">
        <f t="shared" si="14"/>
        <v>0</v>
      </c>
      <c r="AW29" s="429"/>
      <c r="AX29" s="429">
        <f t="shared" si="15"/>
        <v>0</v>
      </c>
      <c r="AY29" s="429"/>
      <c r="AZ29" s="550"/>
      <c r="BA29" s="551"/>
      <c r="BB29" s="552" t="str">
        <f t="shared" si="16"/>
        <v>估价5</v>
      </c>
      <c r="BC29" s="552" t="str">
        <f t="shared" si="17"/>
        <v>精神分析1</v>
      </c>
    </row>
    <row r="30" customHeight="1" spans="2:55">
      <c r="B30" s="385" t="s">
        <v>74</v>
      </c>
      <c r="C30" s="386" t="s">
        <v>81</v>
      </c>
      <c r="D30" s="386"/>
      <c r="E30" s="386"/>
      <c r="F30" s="386"/>
      <c r="G30" s="386"/>
      <c r="H30" s="386"/>
      <c r="I30" s="386"/>
      <c r="J30" s="391">
        <v>1</v>
      </c>
      <c r="K30" s="391"/>
      <c r="L30" s="391"/>
      <c r="M30" s="391"/>
      <c r="N30" s="391"/>
      <c r="O30" s="391"/>
      <c r="P30" s="391"/>
      <c r="Q30" s="391"/>
      <c r="R30" s="391"/>
      <c r="S30" s="391"/>
      <c r="T30" s="429">
        <f t="shared" si="10"/>
        <v>1</v>
      </c>
      <c r="U30" s="429"/>
      <c r="V30" s="429">
        <f t="shared" si="11"/>
        <v>0</v>
      </c>
      <c r="W30" s="429"/>
      <c r="X30" s="429">
        <f t="shared" si="12"/>
        <v>0</v>
      </c>
      <c r="Y30" s="429"/>
      <c r="Z30" s="429"/>
      <c r="AA30" s="484"/>
      <c r="AB30" s="485" t="s">
        <v>74</v>
      </c>
      <c r="AC30" s="388" t="s">
        <v>82</v>
      </c>
      <c r="AD30" s="388"/>
      <c r="AE30" s="388"/>
      <c r="AF30" s="388"/>
      <c r="AG30" s="388"/>
      <c r="AH30" s="388"/>
      <c r="AI30" s="388"/>
      <c r="AJ30" s="392">
        <v>10</v>
      </c>
      <c r="AK30" s="392"/>
      <c r="AL30" s="392"/>
      <c r="AM30" s="392"/>
      <c r="AN30" s="392"/>
      <c r="AO30" s="392"/>
      <c r="AP30" s="392"/>
      <c r="AQ30" s="392"/>
      <c r="AR30" s="361"/>
      <c r="AS30" s="361"/>
      <c r="AT30" s="430">
        <f t="shared" si="13"/>
        <v>10</v>
      </c>
      <c r="AU30" s="430"/>
      <c r="AV30" s="430">
        <f t="shared" si="14"/>
        <v>5</v>
      </c>
      <c r="AW30" s="430"/>
      <c r="AX30" s="430">
        <f t="shared" si="15"/>
        <v>2</v>
      </c>
      <c r="AY30" s="430"/>
      <c r="AZ30" s="507"/>
      <c r="BA30" s="553"/>
      <c r="BB30" s="552" t="str">
        <f t="shared" si="16"/>
        <v>考古学1</v>
      </c>
      <c r="BC30" s="552" t="str">
        <f t="shared" si="17"/>
        <v>心理学10</v>
      </c>
    </row>
    <row r="31" customHeight="1" spans="2:56">
      <c r="B31" s="387" t="s">
        <v>74</v>
      </c>
      <c r="C31" s="389" t="s">
        <v>83</v>
      </c>
      <c r="D31" s="389"/>
      <c r="E31" s="389"/>
      <c r="F31" s="361" t="s">
        <v>84</v>
      </c>
      <c r="G31" s="361"/>
      <c r="H31" s="361"/>
      <c r="I31" s="361"/>
      <c r="J31" s="392">
        <v>5</v>
      </c>
      <c r="K31" s="392"/>
      <c r="L31" s="392"/>
      <c r="M31" s="392"/>
      <c r="N31" s="392"/>
      <c r="O31" s="392"/>
      <c r="P31" s="392"/>
      <c r="Q31" s="392"/>
      <c r="R31" s="392"/>
      <c r="S31" s="392"/>
      <c r="T31" s="430">
        <f t="shared" si="10"/>
        <v>5</v>
      </c>
      <c r="U31" s="430"/>
      <c r="V31" s="430">
        <f t="shared" si="11"/>
        <v>2</v>
      </c>
      <c r="W31" s="430"/>
      <c r="X31" s="430">
        <f t="shared" si="12"/>
        <v>1</v>
      </c>
      <c r="Y31" s="430"/>
      <c r="Z31" s="430"/>
      <c r="AA31" s="486"/>
      <c r="AB31" s="483" t="s">
        <v>74</v>
      </c>
      <c r="AC31" s="386" t="s">
        <v>85</v>
      </c>
      <c r="AD31" s="386"/>
      <c r="AE31" s="386"/>
      <c r="AF31" s="386"/>
      <c r="AG31" s="386"/>
      <c r="AH31" s="386"/>
      <c r="AI31" s="386"/>
      <c r="AJ31" s="391">
        <v>1</v>
      </c>
      <c r="AK31" s="391"/>
      <c r="AL31" s="391"/>
      <c r="AM31" s="391"/>
      <c r="AN31" s="391"/>
      <c r="AO31" s="391"/>
      <c r="AP31" s="391"/>
      <c r="AQ31" s="391"/>
      <c r="AR31" s="390"/>
      <c r="AS31" s="390"/>
      <c r="AT31" s="429">
        <f t="shared" si="13"/>
        <v>1</v>
      </c>
      <c r="AU31" s="429"/>
      <c r="AV31" s="429">
        <f t="shared" si="14"/>
        <v>0</v>
      </c>
      <c r="AW31" s="429"/>
      <c r="AX31" s="429">
        <f t="shared" si="15"/>
        <v>0</v>
      </c>
      <c r="AY31" s="429"/>
      <c r="AZ31" s="550"/>
      <c r="BA31" s="551"/>
      <c r="BB31" s="552" t="str">
        <f t="shared" si="16"/>
        <v>技艺:5</v>
      </c>
      <c r="BC31" s="552" t="str">
        <f t="shared" si="17"/>
        <v>骑术1</v>
      </c>
      <c r="BD31" s="501">
        <f>IF(OR(M9&lt;=8,AI21=5),10,IF(AI21=1,30,IF(AI21=2,25,IF(AI21=3,20,15))))</f>
        <v>30</v>
      </c>
    </row>
    <row r="32" customHeight="1" spans="2:55">
      <c r="B32" s="385" t="s">
        <v>74</v>
      </c>
      <c r="C32" s="390" t="s">
        <v>83</v>
      </c>
      <c r="D32" s="390"/>
      <c r="E32" s="390"/>
      <c r="F32" s="391" t="s">
        <v>86</v>
      </c>
      <c r="G32" s="391"/>
      <c r="H32" s="391"/>
      <c r="I32" s="391"/>
      <c r="J32" s="391">
        <v>5</v>
      </c>
      <c r="K32" s="391"/>
      <c r="L32" s="391"/>
      <c r="M32" s="391"/>
      <c r="N32" s="391"/>
      <c r="O32" s="391"/>
      <c r="P32" s="391"/>
      <c r="Q32" s="391"/>
      <c r="R32" s="391"/>
      <c r="S32" s="391"/>
      <c r="T32" s="429">
        <f t="shared" si="10"/>
        <v>5</v>
      </c>
      <c r="U32" s="429"/>
      <c r="V32" s="429">
        <f t="shared" si="11"/>
        <v>2</v>
      </c>
      <c r="W32" s="429"/>
      <c r="X32" s="429">
        <f t="shared" si="12"/>
        <v>1</v>
      </c>
      <c r="Y32" s="429"/>
      <c r="Z32" s="429"/>
      <c r="AA32" s="484"/>
      <c r="AB32" s="485" t="s">
        <v>74</v>
      </c>
      <c r="AC32" s="388" t="s">
        <v>87</v>
      </c>
      <c r="AD32" s="388"/>
      <c r="AE32" s="388"/>
      <c r="AF32" s="388" t="s">
        <v>88</v>
      </c>
      <c r="AG32" s="388"/>
      <c r="AH32" s="388"/>
      <c r="AI32" s="388"/>
      <c r="AJ32" s="392">
        <v>1</v>
      </c>
      <c r="AK32" s="392"/>
      <c r="AL32" s="392"/>
      <c r="AM32" s="392"/>
      <c r="AN32" s="392"/>
      <c r="AO32" s="392"/>
      <c r="AP32" s="392"/>
      <c r="AQ32" s="392"/>
      <c r="AR32" s="361"/>
      <c r="AS32" s="361"/>
      <c r="AT32" s="430">
        <f t="shared" si="13"/>
        <v>1</v>
      </c>
      <c r="AU32" s="430"/>
      <c r="AV32" s="430">
        <f t="shared" si="14"/>
        <v>0</v>
      </c>
      <c r="AW32" s="430"/>
      <c r="AX32" s="430">
        <f t="shared" si="15"/>
        <v>0</v>
      </c>
      <c r="AY32" s="430"/>
      <c r="AZ32" s="507"/>
      <c r="BA32" s="553"/>
      <c r="BB32" s="552" t="str">
        <f t="shared" si="16"/>
        <v>技艺:5</v>
      </c>
      <c r="BC32" s="552" t="str">
        <f t="shared" si="17"/>
        <v>科学:1</v>
      </c>
    </row>
    <row r="33" customHeight="1" spans="2:55">
      <c r="B33" s="387" t="s">
        <v>74</v>
      </c>
      <c r="C33" s="389" t="s">
        <v>83</v>
      </c>
      <c r="D33" s="389"/>
      <c r="E33" s="389"/>
      <c r="F33" s="361" t="s">
        <v>89</v>
      </c>
      <c r="G33" s="361"/>
      <c r="H33" s="361"/>
      <c r="I33" s="361"/>
      <c r="J33" s="392">
        <v>5</v>
      </c>
      <c r="K33" s="392"/>
      <c r="L33" s="392"/>
      <c r="M33" s="392"/>
      <c r="N33" s="392"/>
      <c r="O33" s="392"/>
      <c r="P33" s="392"/>
      <c r="Q33" s="392"/>
      <c r="R33" s="392"/>
      <c r="S33" s="392"/>
      <c r="T33" s="430">
        <f t="shared" si="10"/>
        <v>5</v>
      </c>
      <c r="U33" s="430"/>
      <c r="V33" s="430">
        <f t="shared" si="11"/>
        <v>2</v>
      </c>
      <c r="W33" s="430"/>
      <c r="X33" s="430">
        <f t="shared" si="12"/>
        <v>1</v>
      </c>
      <c r="Y33" s="430"/>
      <c r="Z33" s="430"/>
      <c r="AA33" s="486"/>
      <c r="AB33" s="483" t="s">
        <v>74</v>
      </c>
      <c r="AC33" s="386" t="s">
        <v>87</v>
      </c>
      <c r="AD33" s="386"/>
      <c r="AE33" s="386"/>
      <c r="AF33" s="391" t="s">
        <v>90</v>
      </c>
      <c r="AG33" s="391"/>
      <c r="AH33" s="391"/>
      <c r="AI33" s="391"/>
      <c r="AJ33" s="391">
        <v>1</v>
      </c>
      <c r="AK33" s="391"/>
      <c r="AL33" s="391"/>
      <c r="AM33" s="391"/>
      <c r="AN33" s="391"/>
      <c r="AO33" s="391"/>
      <c r="AP33" s="391"/>
      <c r="AQ33" s="391"/>
      <c r="AR33" s="390"/>
      <c r="AS33" s="390"/>
      <c r="AT33" s="429">
        <f t="shared" si="13"/>
        <v>1</v>
      </c>
      <c r="AU33" s="429"/>
      <c r="AV33" s="429">
        <f t="shared" si="14"/>
        <v>0</v>
      </c>
      <c r="AW33" s="429"/>
      <c r="AX33" s="429">
        <f t="shared" si="15"/>
        <v>0</v>
      </c>
      <c r="AY33" s="429"/>
      <c r="AZ33" s="550"/>
      <c r="BA33" s="551"/>
      <c r="BB33" s="552" t="str">
        <f t="shared" si="16"/>
        <v>技艺:5</v>
      </c>
      <c r="BC33" s="552" t="str">
        <f t="shared" si="17"/>
        <v>科学:1</v>
      </c>
    </row>
    <row r="34" customHeight="1" spans="2:55">
      <c r="B34" s="385" t="s">
        <v>74</v>
      </c>
      <c r="C34" s="386" t="s">
        <v>91</v>
      </c>
      <c r="D34" s="386"/>
      <c r="E34" s="386"/>
      <c r="F34" s="386"/>
      <c r="G34" s="386"/>
      <c r="H34" s="386"/>
      <c r="I34" s="386"/>
      <c r="J34" s="391">
        <v>15</v>
      </c>
      <c r="K34" s="391"/>
      <c r="L34" s="391"/>
      <c r="M34" s="391"/>
      <c r="N34" s="391"/>
      <c r="O34" s="391"/>
      <c r="P34" s="391"/>
      <c r="Q34" s="391"/>
      <c r="R34" s="391"/>
      <c r="S34" s="391"/>
      <c r="T34" s="429">
        <f t="shared" si="10"/>
        <v>15</v>
      </c>
      <c r="U34" s="429"/>
      <c r="V34" s="429">
        <f t="shared" si="11"/>
        <v>7</v>
      </c>
      <c r="W34" s="429"/>
      <c r="X34" s="429">
        <f t="shared" si="12"/>
        <v>3</v>
      </c>
      <c r="Y34" s="429"/>
      <c r="Z34" s="429"/>
      <c r="AA34" s="484"/>
      <c r="AB34" s="485" t="s">
        <v>74</v>
      </c>
      <c r="AC34" s="388" t="s">
        <v>87</v>
      </c>
      <c r="AD34" s="388"/>
      <c r="AE34" s="388"/>
      <c r="AF34" s="388" t="s">
        <v>92</v>
      </c>
      <c r="AG34" s="388"/>
      <c r="AH34" s="388"/>
      <c r="AI34" s="388"/>
      <c r="AJ34" s="392">
        <v>1</v>
      </c>
      <c r="AK34" s="392"/>
      <c r="AL34" s="392"/>
      <c r="AM34" s="392"/>
      <c r="AN34" s="392"/>
      <c r="AO34" s="392"/>
      <c r="AP34" s="392"/>
      <c r="AQ34" s="392"/>
      <c r="AR34" s="361"/>
      <c r="AS34" s="361"/>
      <c r="AT34" s="430">
        <f t="shared" si="13"/>
        <v>1</v>
      </c>
      <c r="AU34" s="430"/>
      <c r="AV34" s="430">
        <f t="shared" si="14"/>
        <v>0</v>
      </c>
      <c r="AW34" s="430"/>
      <c r="AX34" s="430">
        <f t="shared" si="15"/>
        <v>0</v>
      </c>
      <c r="AY34" s="430"/>
      <c r="AZ34" s="507"/>
      <c r="BA34" s="553"/>
      <c r="BB34" s="552" t="str">
        <f t="shared" si="16"/>
        <v>魅惑15</v>
      </c>
      <c r="BC34" s="552" t="str">
        <f t="shared" si="17"/>
        <v>科学:1</v>
      </c>
    </row>
    <row r="35" customHeight="1" spans="2:55">
      <c r="B35" s="387" t="s">
        <v>74</v>
      </c>
      <c r="C35" s="388" t="s">
        <v>93</v>
      </c>
      <c r="D35" s="388"/>
      <c r="E35" s="388"/>
      <c r="F35" s="388"/>
      <c r="G35" s="388"/>
      <c r="H35" s="388"/>
      <c r="I35" s="388"/>
      <c r="J35" s="392">
        <v>20</v>
      </c>
      <c r="K35" s="392"/>
      <c r="L35" s="392"/>
      <c r="M35" s="392"/>
      <c r="N35" s="392"/>
      <c r="O35" s="392"/>
      <c r="P35" s="392"/>
      <c r="Q35" s="392"/>
      <c r="R35" s="392"/>
      <c r="S35" s="392"/>
      <c r="T35" s="430">
        <f t="shared" si="10"/>
        <v>20</v>
      </c>
      <c r="U35" s="430"/>
      <c r="V35" s="430">
        <f t="shared" si="11"/>
        <v>10</v>
      </c>
      <c r="W35" s="430"/>
      <c r="X35" s="430">
        <f t="shared" si="12"/>
        <v>4</v>
      </c>
      <c r="Y35" s="430"/>
      <c r="Z35" s="430"/>
      <c r="AA35" s="486"/>
      <c r="AB35" s="483" t="s">
        <v>74</v>
      </c>
      <c r="AC35" s="386" t="s">
        <v>94</v>
      </c>
      <c r="AD35" s="386"/>
      <c r="AE35" s="386"/>
      <c r="AF35" s="386"/>
      <c r="AG35" s="386"/>
      <c r="AH35" s="386"/>
      <c r="AI35" s="386"/>
      <c r="AJ35" s="391">
        <v>10</v>
      </c>
      <c r="AK35" s="391"/>
      <c r="AL35" s="391"/>
      <c r="AM35" s="391"/>
      <c r="AN35" s="391"/>
      <c r="AO35" s="391"/>
      <c r="AP35" s="391"/>
      <c r="AQ35" s="391"/>
      <c r="AR35" s="390"/>
      <c r="AS35" s="390"/>
      <c r="AT35" s="429">
        <f t="shared" si="13"/>
        <v>10</v>
      </c>
      <c r="AU35" s="429"/>
      <c r="AV35" s="429">
        <f t="shared" si="14"/>
        <v>5</v>
      </c>
      <c r="AW35" s="429"/>
      <c r="AX35" s="429">
        <f t="shared" si="15"/>
        <v>2</v>
      </c>
      <c r="AY35" s="429"/>
      <c r="AZ35" s="550"/>
      <c r="BA35" s="551"/>
      <c r="BB35" s="552" t="str">
        <f t="shared" si="16"/>
        <v>攀爬20</v>
      </c>
      <c r="BC35" s="552" t="str">
        <f t="shared" si="17"/>
        <v>妙手10</v>
      </c>
    </row>
    <row r="36" customHeight="1" spans="2:55">
      <c r="B36" s="385" t="s">
        <v>74</v>
      </c>
      <c r="C36" s="386" t="s">
        <v>95</v>
      </c>
      <c r="D36" s="386"/>
      <c r="E36" s="386"/>
      <c r="F36" s="386"/>
      <c r="G36" s="386"/>
      <c r="H36" s="386"/>
      <c r="I36" s="386"/>
      <c r="J36" s="391">
        <v>0</v>
      </c>
      <c r="K36" s="391"/>
      <c r="L36" s="391"/>
      <c r="M36" s="391"/>
      <c r="N36" s="391"/>
      <c r="O36" s="391"/>
      <c r="P36" s="391"/>
      <c r="Q36" s="391"/>
      <c r="R36" s="391"/>
      <c r="S36" s="391"/>
      <c r="T36" s="429">
        <f t="shared" si="10"/>
        <v>0</v>
      </c>
      <c r="U36" s="429"/>
      <c r="V36" s="429">
        <f t="shared" si="11"/>
        <v>0</v>
      </c>
      <c r="W36" s="429"/>
      <c r="X36" s="429">
        <f t="shared" si="12"/>
        <v>0</v>
      </c>
      <c r="Y36" s="429"/>
      <c r="Z36" s="429"/>
      <c r="AA36" s="484"/>
      <c r="AB36" s="485" t="s">
        <v>74</v>
      </c>
      <c r="AC36" s="388" t="s">
        <v>96</v>
      </c>
      <c r="AD36" s="388"/>
      <c r="AE36" s="388"/>
      <c r="AF36" s="388"/>
      <c r="AG36" s="388"/>
      <c r="AH36" s="388"/>
      <c r="AI36" s="388"/>
      <c r="AJ36" s="392">
        <v>25</v>
      </c>
      <c r="AK36" s="392"/>
      <c r="AL36" s="392"/>
      <c r="AM36" s="392"/>
      <c r="AN36" s="392"/>
      <c r="AO36" s="392"/>
      <c r="AP36" s="392"/>
      <c r="AQ36" s="392"/>
      <c r="AR36" s="361"/>
      <c r="AS36" s="361"/>
      <c r="AT36" s="430">
        <f t="shared" si="13"/>
        <v>25</v>
      </c>
      <c r="AU36" s="430"/>
      <c r="AV36" s="430">
        <f t="shared" si="14"/>
        <v>12</v>
      </c>
      <c r="AW36" s="430"/>
      <c r="AX36" s="430">
        <f t="shared" si="15"/>
        <v>5</v>
      </c>
      <c r="AY36" s="430"/>
      <c r="AZ36" s="507"/>
      <c r="BA36" s="553"/>
      <c r="BB36" s="552" t="str">
        <f t="shared" si="16"/>
        <v/>
      </c>
      <c r="BC36" s="552" t="str">
        <f t="shared" si="17"/>
        <v>侦察25</v>
      </c>
    </row>
    <row r="37" customHeight="1" spans="2:55">
      <c r="B37" s="387" t="s">
        <v>74</v>
      </c>
      <c r="C37" s="388" t="s">
        <v>97</v>
      </c>
      <c r="D37" s="388"/>
      <c r="E37" s="388"/>
      <c r="F37" s="388"/>
      <c r="G37" s="388"/>
      <c r="H37" s="388"/>
      <c r="I37" s="388"/>
      <c r="J37" s="392">
        <v>5</v>
      </c>
      <c r="K37" s="392"/>
      <c r="L37" s="392"/>
      <c r="M37" s="392"/>
      <c r="N37" s="392"/>
      <c r="O37" s="392"/>
      <c r="P37" s="392"/>
      <c r="Q37" s="392"/>
      <c r="R37" s="392"/>
      <c r="S37" s="392"/>
      <c r="T37" s="430">
        <f t="shared" si="10"/>
        <v>5</v>
      </c>
      <c r="U37" s="430"/>
      <c r="V37" s="430">
        <f t="shared" si="11"/>
        <v>2</v>
      </c>
      <c r="W37" s="430"/>
      <c r="X37" s="430">
        <f t="shared" si="12"/>
        <v>1</v>
      </c>
      <c r="Y37" s="430"/>
      <c r="Z37" s="430"/>
      <c r="AA37" s="486"/>
      <c r="AB37" s="483" t="s">
        <v>74</v>
      </c>
      <c r="AC37" s="386" t="s">
        <v>98</v>
      </c>
      <c r="AD37" s="386"/>
      <c r="AE37" s="386"/>
      <c r="AF37" s="386"/>
      <c r="AG37" s="386"/>
      <c r="AH37" s="386"/>
      <c r="AI37" s="386"/>
      <c r="AJ37" s="391">
        <v>20</v>
      </c>
      <c r="AK37" s="391"/>
      <c r="AL37" s="391"/>
      <c r="AM37" s="391"/>
      <c r="AN37" s="391"/>
      <c r="AO37" s="391"/>
      <c r="AP37" s="391"/>
      <c r="AQ37" s="391"/>
      <c r="AR37" s="390"/>
      <c r="AS37" s="390"/>
      <c r="AT37" s="429">
        <f t="shared" si="13"/>
        <v>20</v>
      </c>
      <c r="AU37" s="429"/>
      <c r="AV37" s="429">
        <f t="shared" si="14"/>
        <v>10</v>
      </c>
      <c r="AW37" s="429"/>
      <c r="AX37" s="429">
        <f t="shared" si="15"/>
        <v>4</v>
      </c>
      <c r="AY37" s="429"/>
      <c r="AZ37" s="550"/>
      <c r="BA37" s="551"/>
      <c r="BB37" s="552" t="str">
        <f t="shared" si="16"/>
        <v>乔装5</v>
      </c>
      <c r="BC37" s="552" t="str">
        <f t="shared" si="17"/>
        <v>潜行20</v>
      </c>
    </row>
    <row r="38" customHeight="1" spans="2:55">
      <c r="B38" s="385" t="s">
        <v>74</v>
      </c>
      <c r="C38" s="386" t="s">
        <v>99</v>
      </c>
      <c r="D38" s="386"/>
      <c r="E38" s="386"/>
      <c r="F38" s="386"/>
      <c r="G38" s="386"/>
      <c r="H38" s="386"/>
      <c r="I38" s="386"/>
      <c r="J38" s="429">
        <f>IF(T9=0,INT(J13/2),INT(AE13/2))</f>
        <v>0</v>
      </c>
      <c r="K38" s="391"/>
      <c r="L38" s="391"/>
      <c r="M38" s="391"/>
      <c r="N38" s="391"/>
      <c r="O38" s="391"/>
      <c r="P38" s="391"/>
      <c r="Q38" s="391"/>
      <c r="R38" s="391"/>
      <c r="S38" s="391"/>
      <c r="T38" s="429">
        <f t="shared" si="10"/>
        <v>0</v>
      </c>
      <c r="U38" s="429"/>
      <c r="V38" s="429">
        <f t="shared" si="11"/>
        <v>0</v>
      </c>
      <c r="W38" s="429"/>
      <c r="X38" s="429">
        <f t="shared" si="12"/>
        <v>0</v>
      </c>
      <c r="Y38" s="429"/>
      <c r="Z38" s="429"/>
      <c r="AA38" s="484"/>
      <c r="AB38" s="485" t="s">
        <v>74</v>
      </c>
      <c r="AC38" s="388" t="s">
        <v>100</v>
      </c>
      <c r="AD38" s="388"/>
      <c r="AE38" s="388"/>
      <c r="AF38" s="388"/>
      <c r="AG38" s="388"/>
      <c r="AH38" s="388"/>
      <c r="AI38" s="388"/>
      <c r="AJ38" s="392">
        <v>10</v>
      </c>
      <c r="AK38" s="392"/>
      <c r="AL38" s="392"/>
      <c r="AM38" s="392"/>
      <c r="AN38" s="392"/>
      <c r="AO38" s="392"/>
      <c r="AP38" s="392"/>
      <c r="AQ38" s="392"/>
      <c r="AR38" s="361"/>
      <c r="AS38" s="361"/>
      <c r="AT38" s="430">
        <f t="shared" si="13"/>
        <v>10</v>
      </c>
      <c r="AU38" s="430"/>
      <c r="AV38" s="430">
        <f t="shared" si="14"/>
        <v>5</v>
      </c>
      <c r="AW38" s="430"/>
      <c r="AX38" s="430">
        <f t="shared" si="15"/>
        <v>2</v>
      </c>
      <c r="AY38" s="430"/>
      <c r="AZ38" s="507"/>
      <c r="BA38" s="553"/>
      <c r="BB38" s="552" t="str">
        <f t="shared" si="16"/>
        <v/>
      </c>
      <c r="BC38" s="552" t="str">
        <f t="shared" si="17"/>
        <v>生存:10</v>
      </c>
    </row>
    <row r="39" customHeight="1" spans="2:55">
      <c r="B39" s="387" t="s">
        <v>74</v>
      </c>
      <c r="C39" s="388" t="s">
        <v>101</v>
      </c>
      <c r="D39" s="388"/>
      <c r="E39" s="388"/>
      <c r="F39" s="388"/>
      <c r="G39" s="388"/>
      <c r="H39" s="388"/>
      <c r="I39" s="388"/>
      <c r="J39" s="392">
        <v>10</v>
      </c>
      <c r="K39" s="392"/>
      <c r="L39" s="392"/>
      <c r="M39" s="392"/>
      <c r="N39" s="392"/>
      <c r="O39" s="392"/>
      <c r="P39" s="392"/>
      <c r="Q39" s="392"/>
      <c r="R39" s="392"/>
      <c r="S39" s="392"/>
      <c r="T39" s="430">
        <f t="shared" si="10"/>
        <v>10</v>
      </c>
      <c r="U39" s="430"/>
      <c r="V39" s="430">
        <f t="shared" si="11"/>
        <v>5</v>
      </c>
      <c r="W39" s="430"/>
      <c r="X39" s="430">
        <f t="shared" si="12"/>
        <v>2</v>
      </c>
      <c r="Y39" s="430"/>
      <c r="Z39" s="430"/>
      <c r="AA39" s="486"/>
      <c r="AB39" s="483" t="s">
        <v>74</v>
      </c>
      <c r="AC39" s="386" t="s">
        <v>102</v>
      </c>
      <c r="AD39" s="386"/>
      <c r="AE39" s="386"/>
      <c r="AF39" s="386"/>
      <c r="AG39" s="386"/>
      <c r="AH39" s="386"/>
      <c r="AI39" s="386"/>
      <c r="AJ39" s="391">
        <v>20</v>
      </c>
      <c r="AK39" s="391"/>
      <c r="AL39" s="391"/>
      <c r="AM39" s="391"/>
      <c r="AN39" s="391"/>
      <c r="AO39" s="391"/>
      <c r="AP39" s="391"/>
      <c r="AQ39" s="391"/>
      <c r="AR39" s="390"/>
      <c r="AS39" s="390"/>
      <c r="AT39" s="429">
        <f t="shared" si="13"/>
        <v>20</v>
      </c>
      <c r="AU39" s="429"/>
      <c r="AV39" s="429">
        <f t="shared" si="14"/>
        <v>10</v>
      </c>
      <c r="AW39" s="429"/>
      <c r="AX39" s="429">
        <f t="shared" si="15"/>
        <v>4</v>
      </c>
      <c r="AY39" s="429"/>
      <c r="AZ39" s="550"/>
      <c r="BA39" s="551"/>
      <c r="BB39" s="552" t="str">
        <f t="shared" si="16"/>
        <v>马车驾驶10</v>
      </c>
      <c r="BC39" s="552" t="str">
        <f t="shared" si="17"/>
        <v>游泳20</v>
      </c>
    </row>
    <row r="40" customHeight="1" spans="2:55">
      <c r="B40" s="385" t="s">
        <v>74</v>
      </c>
      <c r="C40" s="386" t="s">
        <v>103</v>
      </c>
      <c r="D40" s="386"/>
      <c r="E40" s="386"/>
      <c r="F40" s="386"/>
      <c r="G40" s="386"/>
      <c r="H40" s="386"/>
      <c r="I40" s="386"/>
      <c r="J40" s="391">
        <v>10</v>
      </c>
      <c r="K40" s="391"/>
      <c r="L40" s="391"/>
      <c r="M40" s="391"/>
      <c r="N40" s="391"/>
      <c r="O40" s="391"/>
      <c r="P40" s="391"/>
      <c r="Q40" s="391"/>
      <c r="R40" s="459"/>
      <c r="S40" s="459"/>
      <c r="T40" s="429">
        <f t="shared" si="10"/>
        <v>10</v>
      </c>
      <c r="U40" s="429"/>
      <c r="V40" s="429">
        <f t="shared" si="11"/>
        <v>5</v>
      </c>
      <c r="W40" s="429"/>
      <c r="X40" s="429">
        <f t="shared" si="12"/>
        <v>2</v>
      </c>
      <c r="Y40" s="429"/>
      <c r="Z40" s="429"/>
      <c r="AA40" s="484"/>
      <c r="AB40" s="485" t="s">
        <v>74</v>
      </c>
      <c r="AC40" s="388" t="s">
        <v>104</v>
      </c>
      <c r="AD40" s="388"/>
      <c r="AE40" s="388"/>
      <c r="AF40" s="388"/>
      <c r="AG40" s="388"/>
      <c r="AH40" s="388"/>
      <c r="AI40" s="388"/>
      <c r="AJ40" s="392">
        <v>20</v>
      </c>
      <c r="AK40" s="392"/>
      <c r="AL40" s="392"/>
      <c r="AM40" s="392"/>
      <c r="AN40" s="392"/>
      <c r="AO40" s="392"/>
      <c r="AP40" s="392"/>
      <c r="AQ40" s="392"/>
      <c r="AR40" s="361"/>
      <c r="AS40" s="361"/>
      <c r="AT40" s="430">
        <f t="shared" si="13"/>
        <v>20</v>
      </c>
      <c r="AU40" s="430"/>
      <c r="AV40" s="430">
        <f t="shared" si="14"/>
        <v>10</v>
      </c>
      <c r="AW40" s="430"/>
      <c r="AX40" s="430">
        <f t="shared" si="15"/>
        <v>4</v>
      </c>
      <c r="AY40" s="430"/>
      <c r="AZ40" s="507"/>
      <c r="BA40" s="553"/>
      <c r="BB40" s="552" t="str">
        <f t="shared" si="16"/>
        <v>电气维修10</v>
      </c>
      <c r="BC40" s="552" t="str">
        <f t="shared" si="17"/>
        <v>投掷20</v>
      </c>
    </row>
    <row r="41" customHeight="1" spans="2:55">
      <c r="B41" s="387" t="s">
        <v>74</v>
      </c>
      <c r="C41" s="388" t="s">
        <v>105</v>
      </c>
      <c r="D41" s="388"/>
      <c r="E41" s="388"/>
      <c r="F41" s="388"/>
      <c r="G41" s="388"/>
      <c r="H41" s="388"/>
      <c r="I41" s="388"/>
      <c r="J41" s="392">
        <v>5</v>
      </c>
      <c r="K41" s="392"/>
      <c r="L41" s="392"/>
      <c r="M41" s="392"/>
      <c r="N41" s="392"/>
      <c r="O41" s="392"/>
      <c r="P41" s="392"/>
      <c r="Q41" s="392"/>
      <c r="R41" s="392"/>
      <c r="S41" s="392"/>
      <c r="T41" s="430">
        <f t="shared" ref="T41:T67" si="18">SUM(J41:S41)</f>
        <v>5</v>
      </c>
      <c r="U41" s="430"/>
      <c r="V41" s="430">
        <f t="shared" ref="V41:V67" si="19">INT(T41/2)</f>
        <v>2</v>
      </c>
      <c r="W41" s="430"/>
      <c r="X41" s="430">
        <f t="shared" ref="X41:X67" si="20">INT(T41/5)</f>
        <v>1</v>
      </c>
      <c r="Y41" s="430"/>
      <c r="Z41" s="430"/>
      <c r="AA41" s="486"/>
      <c r="AB41" s="483" t="s">
        <v>74</v>
      </c>
      <c r="AC41" s="386" t="s">
        <v>106</v>
      </c>
      <c r="AD41" s="386"/>
      <c r="AE41" s="386"/>
      <c r="AF41" s="386"/>
      <c r="AG41" s="386"/>
      <c r="AH41" s="386"/>
      <c r="AI41" s="386"/>
      <c r="AJ41" s="391">
        <v>10</v>
      </c>
      <c r="AK41" s="391"/>
      <c r="AL41" s="391"/>
      <c r="AM41" s="391"/>
      <c r="AN41" s="391"/>
      <c r="AO41" s="391"/>
      <c r="AP41" s="391"/>
      <c r="AQ41" s="391"/>
      <c r="AR41" s="390"/>
      <c r="AS41" s="390"/>
      <c r="AT41" s="429">
        <f t="shared" si="13"/>
        <v>10</v>
      </c>
      <c r="AU41" s="429"/>
      <c r="AV41" s="429">
        <f t="shared" si="14"/>
        <v>5</v>
      </c>
      <c r="AW41" s="429"/>
      <c r="AX41" s="429">
        <f t="shared" si="15"/>
        <v>2</v>
      </c>
      <c r="AY41" s="429"/>
      <c r="AZ41" s="550"/>
      <c r="BA41" s="551"/>
      <c r="BB41" s="552" t="str">
        <f t="shared" si="16"/>
        <v>话术5</v>
      </c>
      <c r="BC41" s="552" t="str">
        <f t="shared" si="17"/>
        <v>追踪10</v>
      </c>
    </row>
    <row r="42" customHeight="1" spans="2:55">
      <c r="B42" s="385" t="s">
        <v>74</v>
      </c>
      <c r="C42" s="386" t="s">
        <v>107</v>
      </c>
      <c r="D42" s="386"/>
      <c r="E42" s="386"/>
      <c r="F42" s="386" t="s">
        <v>108</v>
      </c>
      <c r="G42" s="386"/>
      <c r="H42" s="386"/>
      <c r="I42" s="386"/>
      <c r="J42" s="429">
        <f>LOOKUP(F42,分支技能!$H$4:$H$11,分支技能!$I$4:$I$11)</f>
        <v>25</v>
      </c>
      <c r="K42" s="391"/>
      <c r="L42" s="391"/>
      <c r="M42" s="391"/>
      <c r="N42" s="391"/>
      <c r="O42" s="391"/>
      <c r="P42" s="391"/>
      <c r="Q42" s="391"/>
      <c r="R42" s="391"/>
      <c r="S42" s="391"/>
      <c r="T42" s="429">
        <f t="shared" si="18"/>
        <v>25</v>
      </c>
      <c r="U42" s="429"/>
      <c r="V42" s="429">
        <f t="shared" si="19"/>
        <v>12</v>
      </c>
      <c r="W42" s="429"/>
      <c r="X42" s="429">
        <f t="shared" si="20"/>
        <v>5</v>
      </c>
      <c r="Y42" s="429"/>
      <c r="Z42" s="429"/>
      <c r="AA42" s="484"/>
      <c r="AB42" s="485" t="s">
        <v>74</v>
      </c>
      <c r="AC42" s="388" t="s">
        <v>109</v>
      </c>
      <c r="AD42" s="388"/>
      <c r="AE42" s="388"/>
      <c r="AF42" s="388" t="s">
        <v>110</v>
      </c>
      <c r="AG42" s="388"/>
      <c r="AH42" s="388"/>
      <c r="AI42" s="388"/>
      <c r="AJ42" s="507">
        <f>LOOKUP(AF42,分支技能!N4:N9,分支技能!O4:O9)</f>
        <v>1</v>
      </c>
      <c r="AK42" s="507"/>
      <c r="AL42" s="392"/>
      <c r="AM42" s="392"/>
      <c r="AN42" s="392"/>
      <c r="AO42" s="392"/>
      <c r="AP42" s="392"/>
      <c r="AQ42" s="392"/>
      <c r="AR42" s="361"/>
      <c r="AS42" s="361"/>
      <c r="AT42" s="430">
        <f t="shared" si="13"/>
        <v>1</v>
      </c>
      <c r="AU42" s="430"/>
      <c r="AV42" s="430">
        <f t="shared" si="14"/>
        <v>0</v>
      </c>
      <c r="AW42" s="430"/>
      <c r="AX42" s="430">
        <f t="shared" si="15"/>
        <v>0</v>
      </c>
      <c r="AY42" s="430"/>
      <c r="AZ42" s="507"/>
      <c r="BA42" s="553"/>
      <c r="BB42" s="552" t="str">
        <f t="shared" si="16"/>
        <v>格斗:25</v>
      </c>
      <c r="BC42" s="552" t="str">
        <f t="shared" si="17"/>
        <v>罕见:1</v>
      </c>
    </row>
    <row r="43" customHeight="1" spans="2:55">
      <c r="B43" s="387" t="s">
        <v>74</v>
      </c>
      <c r="C43" s="392" t="s">
        <v>107</v>
      </c>
      <c r="D43" s="392"/>
      <c r="E43" s="392"/>
      <c r="F43" s="388" t="s">
        <v>111</v>
      </c>
      <c r="G43" s="388"/>
      <c r="H43" s="388"/>
      <c r="I43" s="388"/>
      <c r="J43" s="430">
        <f>LOOKUP(F43,分支技能!$H$4:$H$11,分支技能!$I$4:$I$11)</f>
        <v>20</v>
      </c>
      <c r="K43" s="392"/>
      <c r="L43" s="392"/>
      <c r="M43" s="392"/>
      <c r="N43" s="392"/>
      <c r="O43" s="392"/>
      <c r="P43" s="392"/>
      <c r="Q43" s="392"/>
      <c r="R43" s="392"/>
      <c r="S43" s="392"/>
      <c r="T43" s="430">
        <f t="shared" si="18"/>
        <v>20</v>
      </c>
      <c r="U43" s="430"/>
      <c r="V43" s="430">
        <f t="shared" si="19"/>
        <v>10</v>
      </c>
      <c r="W43" s="430"/>
      <c r="X43" s="430">
        <f t="shared" si="20"/>
        <v>4</v>
      </c>
      <c r="Y43" s="430"/>
      <c r="Z43" s="430"/>
      <c r="AA43" s="486"/>
      <c r="AB43" s="487" t="s">
        <v>112</v>
      </c>
      <c r="AC43" s="390" t="s">
        <v>113</v>
      </c>
      <c r="AD43" s="390"/>
      <c r="AE43" s="390"/>
      <c r="AF43" s="390"/>
      <c r="AG43" s="390"/>
      <c r="AH43" s="390"/>
      <c r="AI43" s="390"/>
      <c r="AJ43" s="390">
        <v>0</v>
      </c>
      <c r="AK43" s="390"/>
      <c r="AL43" s="391"/>
      <c r="AM43" s="391"/>
      <c r="AN43" s="391"/>
      <c r="AO43" s="391"/>
      <c r="AP43" s="391"/>
      <c r="AQ43" s="391"/>
      <c r="AR43" s="390"/>
      <c r="AS43" s="390"/>
      <c r="AT43" s="429">
        <f t="shared" si="13"/>
        <v>0</v>
      </c>
      <c r="AU43" s="429"/>
      <c r="AV43" s="429">
        <f t="shared" ref="AV43:AV50" si="21">INT(AT43/2)</f>
        <v>0</v>
      </c>
      <c r="AW43" s="429"/>
      <c r="AX43" s="429">
        <f t="shared" ref="AX43:AX50" si="22">INT(AT43/5)</f>
        <v>0</v>
      </c>
      <c r="AY43" s="429"/>
      <c r="AZ43" s="550" t="s">
        <v>50</v>
      </c>
      <c r="BA43" s="551"/>
      <c r="BB43" s="552" t="str">
        <f t="shared" si="16"/>
        <v>格斗:20</v>
      </c>
      <c r="BC43" s="552" t="str">
        <f t="shared" si="17"/>
        <v/>
      </c>
    </row>
    <row r="44" customHeight="1" spans="2:55">
      <c r="B44" s="385" t="s">
        <v>74</v>
      </c>
      <c r="C44" s="386" t="s">
        <v>107</v>
      </c>
      <c r="D44" s="386"/>
      <c r="E44" s="386"/>
      <c r="F44" s="391" t="s">
        <v>114</v>
      </c>
      <c r="G44" s="391"/>
      <c r="H44" s="391"/>
      <c r="I44" s="391"/>
      <c r="J44" s="429">
        <f>LOOKUP(F44,分支技能!$H$4:$H$11,分支技能!$I$4:$I$11)</f>
        <v>5</v>
      </c>
      <c r="K44" s="391"/>
      <c r="L44" s="391"/>
      <c r="M44" s="391"/>
      <c r="N44" s="391"/>
      <c r="O44" s="391"/>
      <c r="P44" s="391"/>
      <c r="Q44" s="391"/>
      <c r="R44" s="391"/>
      <c r="S44" s="391"/>
      <c r="T44" s="429">
        <f t="shared" si="18"/>
        <v>5</v>
      </c>
      <c r="U44" s="429"/>
      <c r="V44" s="429">
        <f t="shared" si="19"/>
        <v>2</v>
      </c>
      <c r="W44" s="429"/>
      <c r="X44" s="429">
        <f t="shared" si="20"/>
        <v>1</v>
      </c>
      <c r="Y44" s="429"/>
      <c r="Z44" s="429"/>
      <c r="AA44" s="484"/>
      <c r="AB44" s="488" t="s">
        <v>112</v>
      </c>
      <c r="AC44" s="361" t="s">
        <v>115</v>
      </c>
      <c r="AD44" s="361"/>
      <c r="AE44" s="361"/>
      <c r="AF44" s="361"/>
      <c r="AG44" s="361"/>
      <c r="AH44" s="361"/>
      <c r="AI44" s="361"/>
      <c r="AJ44" s="361">
        <v>0</v>
      </c>
      <c r="AK44" s="361"/>
      <c r="AL44" s="392"/>
      <c r="AM44" s="392"/>
      <c r="AN44" s="392"/>
      <c r="AO44" s="392"/>
      <c r="AP44" s="392"/>
      <c r="AQ44" s="392"/>
      <c r="AR44" s="361"/>
      <c r="AS44" s="361"/>
      <c r="AT44" s="430">
        <f t="shared" si="13"/>
        <v>0</v>
      </c>
      <c r="AU44" s="430"/>
      <c r="AV44" s="430">
        <f t="shared" si="21"/>
        <v>0</v>
      </c>
      <c r="AW44" s="430"/>
      <c r="AX44" s="430">
        <f t="shared" si="22"/>
        <v>0</v>
      </c>
      <c r="AY44" s="430"/>
      <c r="AZ44" s="507"/>
      <c r="BA44" s="553"/>
      <c r="BB44" s="552" t="str">
        <f t="shared" si="16"/>
        <v>格斗:5</v>
      </c>
      <c r="BC44" s="552" t="str">
        <f t="shared" si="17"/>
        <v/>
      </c>
    </row>
    <row r="45" customHeight="1" spans="2:55">
      <c r="B45" s="387" t="s">
        <v>74</v>
      </c>
      <c r="C45" s="389" t="s">
        <v>116</v>
      </c>
      <c r="D45" s="389"/>
      <c r="E45" s="389"/>
      <c r="F45" s="393" t="s">
        <v>117</v>
      </c>
      <c r="G45" s="393"/>
      <c r="H45" s="393"/>
      <c r="I45" s="393"/>
      <c r="J45" s="430">
        <f>LOOKUP(F45,分支技能!K3:K9,分支技能!L3:L9)</f>
        <v>20</v>
      </c>
      <c r="K45" s="392"/>
      <c r="L45" s="392"/>
      <c r="M45" s="392"/>
      <c r="N45" s="392"/>
      <c r="O45" s="392"/>
      <c r="P45" s="392"/>
      <c r="Q45" s="392"/>
      <c r="R45" s="392"/>
      <c r="S45" s="392"/>
      <c r="T45" s="430">
        <f t="shared" si="18"/>
        <v>20</v>
      </c>
      <c r="U45" s="430"/>
      <c r="V45" s="430">
        <f t="shared" si="19"/>
        <v>10</v>
      </c>
      <c r="W45" s="430"/>
      <c r="X45" s="430">
        <f t="shared" si="20"/>
        <v>4</v>
      </c>
      <c r="Y45" s="430"/>
      <c r="Z45" s="430"/>
      <c r="AA45" s="486"/>
      <c r="AB45" s="487" t="s">
        <v>112</v>
      </c>
      <c r="AC45" s="390" t="s">
        <v>118</v>
      </c>
      <c r="AD45" s="390"/>
      <c r="AE45" s="390"/>
      <c r="AF45" s="390"/>
      <c r="AG45" s="390"/>
      <c r="AH45" s="390"/>
      <c r="AI45" s="390"/>
      <c r="AJ45" s="390">
        <v>10</v>
      </c>
      <c r="AK45" s="390"/>
      <c r="AL45" s="391"/>
      <c r="AM45" s="391"/>
      <c r="AN45" s="391"/>
      <c r="AO45" s="391"/>
      <c r="AP45" s="391"/>
      <c r="AQ45" s="391"/>
      <c r="AR45" s="475" t="s">
        <v>50</v>
      </c>
      <c r="AS45" s="475"/>
      <c r="AT45" s="429">
        <f t="shared" si="13"/>
        <v>10</v>
      </c>
      <c r="AU45" s="429"/>
      <c r="AV45" s="429">
        <f t="shared" si="21"/>
        <v>5</v>
      </c>
      <c r="AW45" s="429"/>
      <c r="AX45" s="429">
        <f t="shared" si="22"/>
        <v>2</v>
      </c>
      <c r="AY45" s="429"/>
      <c r="AZ45" s="550" t="s">
        <v>50</v>
      </c>
      <c r="BA45" s="551"/>
      <c r="BB45" s="552" t="str">
        <f t="shared" si="16"/>
        <v>射击:20</v>
      </c>
      <c r="BC45" s="552" t="str">
        <f t="shared" si="17"/>
        <v>冥想10</v>
      </c>
    </row>
    <row r="46" customHeight="1" spans="2:55">
      <c r="B46" s="385" t="s">
        <v>74</v>
      </c>
      <c r="C46" s="391" t="s">
        <v>116</v>
      </c>
      <c r="D46" s="391"/>
      <c r="E46" s="391"/>
      <c r="F46" s="394" t="s">
        <v>119</v>
      </c>
      <c r="G46" s="394"/>
      <c r="H46" s="394"/>
      <c r="I46" s="394"/>
      <c r="J46" s="429">
        <f>LOOKUP(F46,分支技能!K4:K10,分支技能!L4:L10)</f>
        <v>25</v>
      </c>
      <c r="K46" s="391"/>
      <c r="L46" s="391"/>
      <c r="M46" s="391"/>
      <c r="N46" s="391"/>
      <c r="O46" s="391"/>
      <c r="P46" s="391"/>
      <c r="Q46" s="391"/>
      <c r="R46" s="391"/>
      <c r="S46" s="391"/>
      <c r="T46" s="429">
        <f t="shared" si="18"/>
        <v>25</v>
      </c>
      <c r="U46" s="429"/>
      <c r="V46" s="429">
        <f t="shared" si="19"/>
        <v>12</v>
      </c>
      <c r="W46" s="429"/>
      <c r="X46" s="429">
        <f t="shared" si="20"/>
        <v>5</v>
      </c>
      <c r="Y46" s="429"/>
      <c r="Z46" s="429"/>
      <c r="AA46" s="484"/>
      <c r="AB46" s="488" t="s">
        <v>112</v>
      </c>
      <c r="AC46" s="361" t="s">
        <v>120</v>
      </c>
      <c r="AD46" s="361"/>
      <c r="AE46" s="361"/>
      <c r="AF46" s="361"/>
      <c r="AG46" s="361"/>
      <c r="AH46" s="361"/>
      <c r="AI46" s="361"/>
      <c r="AJ46" s="361">
        <v>0</v>
      </c>
      <c r="AK46" s="361"/>
      <c r="AL46" s="392"/>
      <c r="AM46" s="392"/>
      <c r="AN46" s="392"/>
      <c r="AO46" s="392"/>
      <c r="AP46" s="392"/>
      <c r="AQ46" s="392"/>
      <c r="AR46" s="443" t="s">
        <v>50</v>
      </c>
      <c r="AS46" s="443"/>
      <c r="AT46" s="430">
        <f t="shared" si="13"/>
        <v>0</v>
      </c>
      <c r="AU46" s="430"/>
      <c r="AV46" s="430">
        <f t="shared" si="21"/>
        <v>0</v>
      </c>
      <c r="AW46" s="430"/>
      <c r="AX46" s="430">
        <f t="shared" si="22"/>
        <v>0</v>
      </c>
      <c r="AY46" s="430"/>
      <c r="AZ46" s="507" t="s">
        <v>50</v>
      </c>
      <c r="BA46" s="553"/>
      <c r="BB46" s="552" t="str">
        <f t="shared" si="16"/>
        <v>射击:25</v>
      </c>
      <c r="BC46" s="552" t="str">
        <f t="shared" si="17"/>
        <v/>
      </c>
    </row>
    <row r="47" customHeight="1" spans="2:57">
      <c r="B47" s="387" t="s">
        <v>74</v>
      </c>
      <c r="C47" s="389" t="s">
        <v>116</v>
      </c>
      <c r="D47" s="389"/>
      <c r="E47" s="389"/>
      <c r="F47" s="392" t="s">
        <v>121</v>
      </c>
      <c r="G47" s="392"/>
      <c r="H47" s="392"/>
      <c r="I47" s="392"/>
      <c r="J47" s="430">
        <f>LOOKUP(F47,分支技能!K5:K11,分支技能!L5:L11)</f>
        <v>15</v>
      </c>
      <c r="K47" s="392"/>
      <c r="L47" s="392"/>
      <c r="M47" s="392"/>
      <c r="N47" s="392"/>
      <c r="O47" s="392"/>
      <c r="P47" s="392"/>
      <c r="Q47" s="392"/>
      <c r="R47" s="392"/>
      <c r="S47" s="392"/>
      <c r="T47" s="430">
        <f t="shared" si="18"/>
        <v>15</v>
      </c>
      <c r="U47" s="430"/>
      <c r="V47" s="430">
        <f t="shared" si="19"/>
        <v>7</v>
      </c>
      <c r="W47" s="430"/>
      <c r="X47" s="430">
        <f t="shared" si="20"/>
        <v>3</v>
      </c>
      <c r="Y47" s="430"/>
      <c r="Z47" s="430"/>
      <c r="AA47" s="486"/>
      <c r="AB47" s="487" t="s">
        <v>112</v>
      </c>
      <c r="AC47" s="390" t="s">
        <v>122</v>
      </c>
      <c r="AD47" s="390"/>
      <c r="AE47" s="390"/>
      <c r="AF47" s="390"/>
      <c r="AG47" s="390"/>
      <c r="AH47" s="390"/>
      <c r="AI47" s="390"/>
      <c r="AJ47" s="508">
        <f>IF(BD47=1,30,10)</f>
        <v>10</v>
      </c>
      <c r="AK47" s="508"/>
      <c r="AL47" s="391"/>
      <c r="AM47" s="391"/>
      <c r="AN47" s="391"/>
      <c r="AO47" s="391"/>
      <c r="AP47" s="391"/>
      <c r="AQ47" s="391"/>
      <c r="AR47" s="390"/>
      <c r="AS47" s="390"/>
      <c r="AT47" s="429">
        <f t="shared" si="13"/>
        <v>10</v>
      </c>
      <c r="AU47" s="429"/>
      <c r="AV47" s="429">
        <f t="shared" si="21"/>
        <v>5</v>
      </c>
      <c r="AW47" s="429"/>
      <c r="AX47" s="429">
        <f t="shared" si="22"/>
        <v>2</v>
      </c>
      <c r="AY47" s="429"/>
      <c r="AZ47" s="550">
        <f>BE47</f>
        <v>30</v>
      </c>
      <c r="BA47" s="551"/>
      <c r="BB47" s="552" t="str">
        <f t="shared" si="16"/>
        <v>射击:15</v>
      </c>
      <c r="BC47" s="552" t="str">
        <f t="shared" si="17"/>
        <v>占卜10</v>
      </c>
      <c r="BD47" s="554">
        <f>IF(OR(T9=8,T9=9,T9=21,AND(T9=10,M9&lt;=7),AND(T9=11,M9&lt;=7),AND(T9=22,M9&lt;=8)),1,2)</f>
        <v>2</v>
      </c>
      <c r="BE47" s="554">
        <f>IF(OR(AND(T9=8,M9=9,AI21=5),AND(T9=9,M9=9,AI21=5),AND(T9=21,M9=9,AI21=5),AND(T9=10,M9=7,AI21=5),AND(T9=11,M9=7,AI21=5),AND(T9=22,M9=8,AI21=5)),10,IF(OR(AND(T9=8,M9=9,AI21=4),AND(T9=9,M9=9,AI21=4),AND(T9=21,M9=9,AI21=4),AND(T9=10,M9=7,AI21=4),AND(T9=11,M9=7,AI21=4),AND(T9=22,M9=8,AI21=4)),15,IF(OR(AND(T9=8,M9=9,AI21=3),AND(T9=9,M9=9,AI21=3),AND(T9=21,M9=9,AI21=3),AND(T9=10,M9=7,AI21=3),AND(T9=11,M9=7,AI21=3),AND(T9=22,M9=8,AI21=3)),20,IF(OR(AND(T9=8,M9=9,AI21=2),AND(T9=9,M9=9,AI21=2),AND(T9=21,M9=9,AI21=2),AND(T9=10,M9=7,AI21=2),AND(T9=11,M9=7,AI21=2),AND(T9=22,M9=8,AI21=2)),25,30))))</f>
        <v>30</v>
      </c>
    </row>
    <row r="48" customHeight="1" spans="2:56">
      <c r="B48" s="385" t="s">
        <v>74</v>
      </c>
      <c r="C48" s="386" t="s">
        <v>123</v>
      </c>
      <c r="D48" s="386"/>
      <c r="E48" s="386"/>
      <c r="F48" s="386"/>
      <c r="G48" s="386"/>
      <c r="H48" s="386"/>
      <c r="I48" s="386"/>
      <c r="J48" s="391">
        <v>30</v>
      </c>
      <c r="K48" s="391"/>
      <c r="L48" s="391"/>
      <c r="M48" s="391"/>
      <c r="N48" s="391"/>
      <c r="O48" s="391"/>
      <c r="P48" s="391"/>
      <c r="Q48" s="391"/>
      <c r="R48" s="391"/>
      <c r="S48" s="391"/>
      <c r="T48" s="429">
        <f t="shared" si="18"/>
        <v>30</v>
      </c>
      <c r="U48" s="429"/>
      <c r="V48" s="429">
        <f t="shared" si="19"/>
        <v>15</v>
      </c>
      <c r="W48" s="429"/>
      <c r="X48" s="429">
        <f t="shared" si="20"/>
        <v>6</v>
      </c>
      <c r="Y48" s="429"/>
      <c r="Z48" s="429"/>
      <c r="AA48" s="484"/>
      <c r="AB48" s="488" t="s">
        <v>112</v>
      </c>
      <c r="AC48" s="388" t="s">
        <v>124</v>
      </c>
      <c r="AD48" s="388"/>
      <c r="AE48" s="388"/>
      <c r="AF48" s="388"/>
      <c r="AG48" s="388"/>
      <c r="AH48" s="388"/>
      <c r="AI48" s="388"/>
      <c r="AJ48" s="509">
        <f>IF(BD48=1,40,15)</f>
        <v>15</v>
      </c>
      <c r="AK48" s="509"/>
      <c r="AL48" s="392"/>
      <c r="AM48" s="392"/>
      <c r="AN48" s="392"/>
      <c r="AO48" s="392"/>
      <c r="AP48" s="392"/>
      <c r="AQ48" s="392"/>
      <c r="AR48" s="361"/>
      <c r="AS48" s="361"/>
      <c r="AT48" s="430">
        <f t="shared" si="13"/>
        <v>15</v>
      </c>
      <c r="AU48" s="430"/>
      <c r="AV48" s="430">
        <f t="shared" si="21"/>
        <v>7</v>
      </c>
      <c r="AW48" s="430"/>
      <c r="AX48" s="430">
        <f t="shared" si="22"/>
        <v>3</v>
      </c>
      <c r="AY48" s="430"/>
      <c r="AZ48" s="507">
        <f>IF(OR(AND(T9=20,M9&lt;=8),AND(T9=20,M9=9,AI21&gt;=4)),1,IF(AND(T9=20,M9=9,AI21=3),5,IF(AND(T9=20,M9=9,AI21=2),10,IF(AND(T9=20,M9=9,AI21=1),15,15))))</f>
        <v>15</v>
      </c>
      <c r="BA48" s="553"/>
      <c r="BB48" s="552" t="str">
        <f t="shared" si="16"/>
        <v>急救30</v>
      </c>
      <c r="BC48" s="552" t="str">
        <f t="shared" si="17"/>
        <v>环境利用15</v>
      </c>
      <c r="BD48" s="554">
        <f>IF(T9=20,1,2)</f>
        <v>2</v>
      </c>
    </row>
    <row r="49" customHeight="1" spans="2:55">
      <c r="B49" s="387" t="s">
        <v>74</v>
      </c>
      <c r="C49" s="388" t="s">
        <v>125</v>
      </c>
      <c r="D49" s="388"/>
      <c r="E49" s="388"/>
      <c r="F49" s="388"/>
      <c r="G49" s="388"/>
      <c r="H49" s="388"/>
      <c r="I49" s="388"/>
      <c r="J49" s="392">
        <v>5</v>
      </c>
      <c r="K49" s="392"/>
      <c r="L49" s="392"/>
      <c r="M49" s="392"/>
      <c r="N49" s="392"/>
      <c r="O49" s="392"/>
      <c r="P49" s="392"/>
      <c r="Q49" s="392"/>
      <c r="R49" s="392"/>
      <c r="S49" s="392"/>
      <c r="T49" s="430">
        <f t="shared" si="18"/>
        <v>5</v>
      </c>
      <c r="U49" s="430"/>
      <c r="V49" s="430">
        <f t="shared" si="19"/>
        <v>2</v>
      </c>
      <c r="W49" s="430"/>
      <c r="X49" s="430">
        <f t="shared" si="20"/>
        <v>1</v>
      </c>
      <c r="Y49" s="430"/>
      <c r="Z49" s="430"/>
      <c r="AA49" s="486"/>
      <c r="AB49" s="487" t="str">
        <f t="shared" ref="AB49:AB67" si="23">_xlfn.IFS(OR(AC49="表演",AC49="博物学",AC49="斗殴",AC49="斗殴或格斗专精任一或射击专精任一",AC49="法律",AC49="格斗专精（任二）",AC49="格斗专精（任一）",AC49="格斗专精任一",AC49="话术",AC49="机械维修",AC49="急救",AC49="科学（任二）",AC49="科学（任一）",AC49="历史",AC49="魅惑",AC49="妙手",AC49="气象学",AC49="潜行",AC49="潜水",AC49="乔装",AC49="闪避",AC49="射击专精（任一）",AC49="射击专精任一",AC49="生存",AC49="生物学",AC49="说服",AC49="图书馆使用",AC49="心理学",AC49="驯兽",AC49="药学",AC49="医学",AC49="游泳",AC49="侦察",AC49="追踪",AC49="精神分析",AC49="领航"),"●",AC49="","",NOT(OR(AC49="表演",AC49="博物学",AC49="斗殴",AC49="斗殴或格斗专精任一或射击专精任一",AC49="法律",AC49="格斗专精（任二）",AC49="格斗专精（任一）",AC49="格斗专精任一",AC49="话术",AC49="机械维修",AC49="急救",AC49="科学（任二）",AC49="科学（任一）",AC49="历史",AC49="魅惑",AC49="妙手",AC49="气象学",AC49="潜行",AC49="潜水",AC49="乔装",AC49="闪避",AC49="射击专精（任一）",AC49="射击专精任一",AC49="生存",AC49="生物学",AC49="说服",AC49="图书馆使用",AC49="心理学",AC49="驯兽",AC49="药学",AC49="医学",AC49="游泳",AC49="侦察",AC49="追踪",AC49="精神分析",AC49="领航")),"☆")</f>
        <v/>
      </c>
      <c r="AC49" s="489" t="str">
        <f>IFERROR(VLOOKUP($F$9&amp;ROW(A1),附表4!A:C,3,0),"")</f>
        <v/>
      </c>
      <c r="AD49" s="489"/>
      <c r="AE49" s="489"/>
      <c r="AF49" s="489"/>
      <c r="AG49" s="489"/>
      <c r="AH49" s="489"/>
      <c r="AI49" s="489"/>
      <c r="AJ49" s="508" t="str">
        <f>IFERROR(VLOOKUP($F$9&amp;ROW(A1),附表4!A:D,4,0),"")</f>
        <v/>
      </c>
      <c r="AK49" s="508"/>
      <c r="AL49" s="391"/>
      <c r="AM49" s="391"/>
      <c r="AN49" s="391"/>
      <c r="AO49" s="391"/>
      <c r="AP49" s="391"/>
      <c r="AQ49" s="391"/>
      <c r="AR49" s="475" t="s">
        <v>50</v>
      </c>
      <c r="AS49" s="475"/>
      <c r="AT49" s="429">
        <f t="shared" ref="AT49:AT67" si="24">IF(AB49="●",0,SUM(AJ49:AS49))</f>
        <v>0</v>
      </c>
      <c r="AU49" s="429"/>
      <c r="AV49" s="429">
        <f t="shared" si="21"/>
        <v>0</v>
      </c>
      <c r="AW49" s="429"/>
      <c r="AX49" s="429">
        <f t="shared" si="22"/>
        <v>0</v>
      </c>
      <c r="AY49" s="429"/>
      <c r="AZ49" s="550" t="str">
        <f>IFERROR(VLOOKUP(AC49,附表5!B:C,2,0),"")</f>
        <v/>
      </c>
      <c r="BA49" s="551"/>
      <c r="BB49" s="552" t="str">
        <f t="shared" si="16"/>
        <v>历史5</v>
      </c>
      <c r="BC49" s="552" t="str">
        <f t="shared" si="17"/>
        <v/>
      </c>
    </row>
    <row r="50" customHeight="1" spans="2:55">
      <c r="B50" s="385" t="s">
        <v>74</v>
      </c>
      <c r="C50" s="386" t="s">
        <v>126</v>
      </c>
      <c r="D50" s="386"/>
      <c r="E50" s="386"/>
      <c r="F50" s="386"/>
      <c r="G50" s="386"/>
      <c r="H50" s="386"/>
      <c r="I50" s="386"/>
      <c r="J50" s="391">
        <v>15</v>
      </c>
      <c r="K50" s="391"/>
      <c r="L50" s="391"/>
      <c r="M50" s="391"/>
      <c r="N50" s="391"/>
      <c r="O50" s="391"/>
      <c r="P50" s="391"/>
      <c r="Q50" s="391"/>
      <c r="R50" s="391"/>
      <c r="S50" s="391"/>
      <c r="T50" s="429">
        <f t="shared" si="18"/>
        <v>15</v>
      </c>
      <c r="U50" s="429"/>
      <c r="V50" s="429">
        <f t="shared" si="19"/>
        <v>7</v>
      </c>
      <c r="W50" s="429"/>
      <c r="X50" s="429">
        <f t="shared" si="20"/>
        <v>3</v>
      </c>
      <c r="Y50" s="429"/>
      <c r="Z50" s="429"/>
      <c r="AA50" s="484"/>
      <c r="AB50" s="490" t="str">
        <f t="shared" si="23"/>
        <v/>
      </c>
      <c r="AC50" s="491" t="str">
        <f>IFERROR(VLOOKUP($F$9&amp;ROW(A2),附表4!A:C,3,0),"")</f>
        <v/>
      </c>
      <c r="AD50" s="491"/>
      <c r="AE50" s="491"/>
      <c r="AF50" s="491"/>
      <c r="AG50" s="491"/>
      <c r="AH50" s="491"/>
      <c r="AI50" s="491"/>
      <c r="AJ50" s="509" t="str">
        <f>IFERROR(VLOOKUP($F$9&amp;ROW(A2),附表4!A:D,4,0),"")</f>
        <v/>
      </c>
      <c r="AK50" s="509"/>
      <c r="AL50" s="392"/>
      <c r="AM50" s="392"/>
      <c r="AN50" s="392"/>
      <c r="AO50" s="392"/>
      <c r="AP50" s="392"/>
      <c r="AQ50" s="392"/>
      <c r="AR50" s="443" t="s">
        <v>50</v>
      </c>
      <c r="AS50" s="443"/>
      <c r="AT50" s="430">
        <f t="shared" si="24"/>
        <v>0</v>
      </c>
      <c r="AU50" s="430"/>
      <c r="AV50" s="430">
        <f t="shared" si="21"/>
        <v>0</v>
      </c>
      <c r="AW50" s="430"/>
      <c r="AX50" s="430">
        <f t="shared" si="22"/>
        <v>0</v>
      </c>
      <c r="AY50" s="430"/>
      <c r="AZ50" s="507" t="str">
        <f>IFERROR(VLOOKUP(AC50,附表5!B:C,2,0),"")</f>
        <v/>
      </c>
      <c r="BA50" s="553"/>
      <c r="BB50" s="552" t="str">
        <f t="shared" si="16"/>
        <v>恐吓15</v>
      </c>
      <c r="BC50" s="552" t="str">
        <f t="shared" si="17"/>
        <v/>
      </c>
    </row>
    <row r="51" customHeight="1" spans="2:55">
      <c r="B51" s="387" t="s">
        <v>74</v>
      </c>
      <c r="C51" s="388" t="s">
        <v>127</v>
      </c>
      <c r="D51" s="388"/>
      <c r="E51" s="388"/>
      <c r="F51" s="388"/>
      <c r="G51" s="388"/>
      <c r="H51" s="388"/>
      <c r="I51" s="388"/>
      <c r="J51" s="392">
        <v>20</v>
      </c>
      <c r="K51" s="392"/>
      <c r="L51" s="392"/>
      <c r="M51" s="392"/>
      <c r="N51" s="392"/>
      <c r="O51" s="392"/>
      <c r="P51" s="392"/>
      <c r="Q51" s="392"/>
      <c r="R51" s="392"/>
      <c r="S51" s="392"/>
      <c r="T51" s="430">
        <f t="shared" si="18"/>
        <v>20</v>
      </c>
      <c r="U51" s="430"/>
      <c r="V51" s="430">
        <f t="shared" si="19"/>
        <v>10</v>
      </c>
      <c r="W51" s="430"/>
      <c r="X51" s="430">
        <f t="shared" si="20"/>
        <v>4</v>
      </c>
      <c r="Y51" s="430"/>
      <c r="Z51" s="430"/>
      <c r="AA51" s="486"/>
      <c r="AB51" s="487" t="str">
        <f t="shared" si="23"/>
        <v/>
      </c>
      <c r="AC51" s="489" t="str">
        <f>IFERROR(VLOOKUP($F$9&amp;ROW(A3),附表4!A:C,3,0),"")</f>
        <v/>
      </c>
      <c r="AD51" s="489"/>
      <c r="AE51" s="489"/>
      <c r="AF51" s="489"/>
      <c r="AG51" s="489"/>
      <c r="AH51" s="489"/>
      <c r="AI51" s="489"/>
      <c r="AJ51" s="508" t="str">
        <f>IFERROR(VLOOKUP($F$9&amp;ROW(A3),附表4!A:D,4,0),"")</f>
        <v/>
      </c>
      <c r="AK51" s="508"/>
      <c r="AL51" s="391"/>
      <c r="AM51" s="391"/>
      <c r="AN51" s="391"/>
      <c r="AO51" s="391"/>
      <c r="AP51" s="391"/>
      <c r="AQ51" s="391"/>
      <c r="AR51" s="475" t="s">
        <v>50</v>
      </c>
      <c r="AS51" s="475"/>
      <c r="AT51" s="429">
        <f t="shared" si="24"/>
        <v>0</v>
      </c>
      <c r="AU51" s="429"/>
      <c r="AV51" s="429">
        <f t="shared" ref="AV51:AV67" si="25">INT(AT51/2)</f>
        <v>0</v>
      </c>
      <c r="AW51" s="429"/>
      <c r="AX51" s="429">
        <f t="shared" ref="AX51:AX67" si="26">INT(AT51/5)</f>
        <v>0</v>
      </c>
      <c r="AY51" s="429"/>
      <c r="AZ51" s="550" t="str">
        <f>IFERROR(VLOOKUP(AC51,附表5!B:C,2,0),"")</f>
        <v/>
      </c>
      <c r="BA51" s="551"/>
      <c r="BB51" s="552" t="str">
        <f t="shared" si="16"/>
        <v>跳跃20</v>
      </c>
      <c r="BC51" s="552" t="str">
        <f t="shared" si="17"/>
        <v/>
      </c>
    </row>
    <row r="52" customHeight="1" spans="2:55">
      <c r="B52" s="385" t="s">
        <v>74</v>
      </c>
      <c r="C52" s="395" t="s">
        <v>128</v>
      </c>
      <c r="D52" s="395"/>
      <c r="E52" s="395"/>
      <c r="F52" s="386" t="s">
        <v>129</v>
      </c>
      <c r="G52" s="386"/>
      <c r="H52" s="386"/>
      <c r="I52" s="386"/>
      <c r="J52" s="429">
        <f>IF(OR(AND(T36&gt;=50,P15&gt;=40),AND(T36&lt;50,P15&gt;=70)),P15,IF(AT43&gt;=20,AT43,0))</f>
        <v>0</v>
      </c>
      <c r="K52" s="391"/>
      <c r="L52" s="391"/>
      <c r="M52" s="391"/>
      <c r="N52" s="391"/>
      <c r="O52" s="391"/>
      <c r="P52" s="391"/>
      <c r="Q52" s="391"/>
      <c r="R52" s="391"/>
      <c r="S52" s="391"/>
      <c r="T52" s="429">
        <f t="shared" si="18"/>
        <v>0</v>
      </c>
      <c r="U52" s="429"/>
      <c r="V52" s="429">
        <f t="shared" si="19"/>
        <v>0</v>
      </c>
      <c r="W52" s="429"/>
      <c r="X52" s="429">
        <f t="shared" si="20"/>
        <v>0</v>
      </c>
      <c r="Y52" s="429"/>
      <c r="Z52" s="429"/>
      <c r="AA52" s="484"/>
      <c r="AB52" s="490" t="str">
        <f t="shared" si="23"/>
        <v/>
      </c>
      <c r="AC52" s="491" t="str">
        <f>IFERROR(VLOOKUP($F$9&amp;ROW(A4),附表4!A:C,3,0),"")</f>
        <v/>
      </c>
      <c r="AD52" s="491"/>
      <c r="AE52" s="491"/>
      <c r="AF52" s="491"/>
      <c r="AG52" s="491"/>
      <c r="AH52" s="491"/>
      <c r="AI52" s="491"/>
      <c r="AJ52" s="509" t="str">
        <f>IFERROR(VLOOKUP($F$9&amp;ROW(A4),附表4!A:D,4,0),"")</f>
        <v/>
      </c>
      <c r="AK52" s="509"/>
      <c r="AL52" s="392"/>
      <c r="AM52" s="392"/>
      <c r="AN52" s="392"/>
      <c r="AO52" s="392"/>
      <c r="AP52" s="392"/>
      <c r="AQ52" s="392"/>
      <c r="AR52" s="443" t="s">
        <v>50</v>
      </c>
      <c r="AS52" s="443"/>
      <c r="AT52" s="430">
        <f t="shared" si="24"/>
        <v>0</v>
      </c>
      <c r="AU52" s="430"/>
      <c r="AV52" s="430">
        <f t="shared" si="25"/>
        <v>0</v>
      </c>
      <c r="AW52" s="430"/>
      <c r="AX52" s="430">
        <f t="shared" si="26"/>
        <v>0</v>
      </c>
      <c r="AY52" s="430"/>
      <c r="AZ52" s="507" t="str">
        <f>IFERROR(VLOOKUP(AC52,附表5!B:C,2,0),"")</f>
        <v/>
      </c>
      <c r="BA52" s="553"/>
      <c r="BB52" s="552" t="str">
        <f t="shared" si="16"/>
        <v/>
      </c>
      <c r="BC52" s="552" t="str">
        <f t="shared" si="17"/>
        <v/>
      </c>
    </row>
    <row r="53" customHeight="1" spans="2:55">
      <c r="B53" s="387" t="s">
        <v>74</v>
      </c>
      <c r="C53" s="389" t="s">
        <v>128</v>
      </c>
      <c r="D53" s="389"/>
      <c r="E53" s="389"/>
      <c r="F53" s="388" t="s">
        <v>130</v>
      </c>
      <c r="G53" s="388"/>
      <c r="H53" s="388"/>
      <c r="I53" s="388"/>
      <c r="J53" s="430">
        <f>IF(OR(AND(T36&gt;=50,P15&gt;=40),AND(T36&lt;50,P15&gt;=70)),P15,IF(AT43&gt;=20,AT43,0))</f>
        <v>0</v>
      </c>
      <c r="K53" s="392"/>
      <c r="L53" s="392"/>
      <c r="M53" s="392"/>
      <c r="N53" s="392"/>
      <c r="O53" s="392"/>
      <c r="P53" s="392"/>
      <c r="Q53" s="392"/>
      <c r="R53" s="392"/>
      <c r="S53" s="392"/>
      <c r="T53" s="430">
        <f t="shared" si="18"/>
        <v>0</v>
      </c>
      <c r="U53" s="430"/>
      <c r="V53" s="430">
        <f t="shared" si="19"/>
        <v>0</v>
      </c>
      <c r="W53" s="430"/>
      <c r="X53" s="430">
        <f t="shared" si="20"/>
        <v>0</v>
      </c>
      <c r="Y53" s="430"/>
      <c r="Z53" s="430"/>
      <c r="AA53" s="486"/>
      <c r="AB53" s="487" t="str">
        <f t="shared" si="23"/>
        <v/>
      </c>
      <c r="AC53" s="489" t="str">
        <f>IFERROR(VLOOKUP($F$9&amp;ROW(A5),附表4!A:C,3,0),"")</f>
        <v/>
      </c>
      <c r="AD53" s="489"/>
      <c r="AE53" s="489"/>
      <c r="AF53" s="489"/>
      <c r="AG53" s="489"/>
      <c r="AH53" s="489"/>
      <c r="AI53" s="489"/>
      <c r="AJ53" s="508" t="str">
        <f>IFERROR(VLOOKUP($F$9&amp;ROW(A5),附表4!A:D,4,0),"")</f>
        <v/>
      </c>
      <c r="AK53" s="508"/>
      <c r="AL53" s="391"/>
      <c r="AM53" s="391"/>
      <c r="AN53" s="391"/>
      <c r="AO53" s="391"/>
      <c r="AP53" s="391"/>
      <c r="AQ53" s="391"/>
      <c r="AR53" s="475" t="s">
        <v>50</v>
      </c>
      <c r="AS53" s="475"/>
      <c r="AT53" s="429">
        <f t="shared" si="24"/>
        <v>0</v>
      </c>
      <c r="AU53" s="429"/>
      <c r="AV53" s="429">
        <f t="shared" si="25"/>
        <v>0</v>
      </c>
      <c r="AW53" s="429"/>
      <c r="AX53" s="429">
        <f t="shared" si="26"/>
        <v>0</v>
      </c>
      <c r="AY53" s="429"/>
      <c r="AZ53" s="550" t="str">
        <f>IFERROR(VLOOKUP(AC53,附表5!B:C,2,0),"")</f>
        <v/>
      </c>
      <c r="BA53" s="551"/>
      <c r="BB53" s="552" t="str">
        <f t="shared" si="16"/>
        <v/>
      </c>
      <c r="BC53" s="552" t="str">
        <f t="shared" si="17"/>
        <v/>
      </c>
    </row>
    <row r="54" customHeight="1" spans="2:55">
      <c r="B54" s="385" t="s">
        <v>74</v>
      </c>
      <c r="C54" s="391" t="s">
        <v>128</v>
      </c>
      <c r="D54" s="391"/>
      <c r="E54" s="391"/>
      <c r="F54" s="386" t="s">
        <v>131</v>
      </c>
      <c r="G54" s="386"/>
      <c r="H54" s="386"/>
      <c r="I54" s="386"/>
      <c r="J54" s="429">
        <f>IF(AT43&gt;=50,INT(AT43/2),0)</f>
        <v>0</v>
      </c>
      <c r="K54" s="429"/>
      <c r="L54" s="391"/>
      <c r="M54" s="391"/>
      <c r="N54" s="391"/>
      <c r="O54" s="391"/>
      <c r="P54" s="391"/>
      <c r="Q54" s="391"/>
      <c r="R54" s="391"/>
      <c r="S54" s="391"/>
      <c r="T54" s="429">
        <f t="shared" si="18"/>
        <v>0</v>
      </c>
      <c r="U54" s="429"/>
      <c r="V54" s="429">
        <f t="shared" si="19"/>
        <v>0</v>
      </c>
      <c r="W54" s="429"/>
      <c r="X54" s="429">
        <f t="shared" si="20"/>
        <v>0</v>
      </c>
      <c r="Y54" s="429"/>
      <c r="Z54" s="429"/>
      <c r="AA54" s="484"/>
      <c r="AB54" s="490" t="str">
        <f t="shared" si="23"/>
        <v/>
      </c>
      <c r="AC54" s="491" t="str">
        <f>IFERROR(VLOOKUP($F$9&amp;ROW(A6),附表4!A:C,3,0),"")</f>
        <v/>
      </c>
      <c r="AD54" s="491"/>
      <c r="AE54" s="491"/>
      <c r="AF54" s="491"/>
      <c r="AG54" s="491"/>
      <c r="AH54" s="491"/>
      <c r="AI54" s="491"/>
      <c r="AJ54" s="509" t="str">
        <f>IFERROR(VLOOKUP($F$9&amp;ROW(A6),附表4!A:D,4,0),"")</f>
        <v/>
      </c>
      <c r="AK54" s="509"/>
      <c r="AL54" s="392"/>
      <c r="AM54" s="392"/>
      <c r="AN54" s="392"/>
      <c r="AO54" s="392"/>
      <c r="AP54" s="392"/>
      <c r="AQ54" s="392"/>
      <c r="AR54" s="443" t="s">
        <v>50</v>
      </c>
      <c r="AS54" s="443"/>
      <c r="AT54" s="430">
        <f t="shared" si="24"/>
        <v>0</v>
      </c>
      <c r="AU54" s="430"/>
      <c r="AV54" s="430">
        <f t="shared" si="25"/>
        <v>0</v>
      </c>
      <c r="AW54" s="430"/>
      <c r="AX54" s="430">
        <f t="shared" si="26"/>
        <v>0</v>
      </c>
      <c r="AY54" s="430"/>
      <c r="AZ54" s="507" t="str">
        <f>IFERROR(VLOOKUP(AC54,附表5!B:C,2,0),"")</f>
        <v/>
      </c>
      <c r="BA54" s="553"/>
      <c r="BB54" s="552" t="str">
        <f t="shared" si="16"/>
        <v/>
      </c>
      <c r="BC54" s="552" t="str">
        <f t="shared" si="17"/>
        <v/>
      </c>
    </row>
    <row r="55" customHeight="1" spans="2:55">
      <c r="B55" s="387" t="s">
        <v>74</v>
      </c>
      <c r="C55" s="389" t="s">
        <v>128</v>
      </c>
      <c r="D55" s="389"/>
      <c r="E55" s="389"/>
      <c r="F55" s="388" t="s">
        <v>132</v>
      </c>
      <c r="G55" s="388"/>
      <c r="H55" s="388"/>
      <c r="I55" s="388"/>
      <c r="J55" s="430">
        <f>IF(AT43&gt;=70,INT(AT43/5),0)</f>
        <v>0</v>
      </c>
      <c r="K55" s="430"/>
      <c r="L55" s="392"/>
      <c r="M55" s="392"/>
      <c r="N55" s="392"/>
      <c r="O55" s="392"/>
      <c r="P55" s="392"/>
      <c r="Q55" s="392"/>
      <c r="R55" s="392"/>
      <c r="S55" s="392"/>
      <c r="T55" s="430">
        <f t="shared" si="18"/>
        <v>0</v>
      </c>
      <c r="U55" s="430"/>
      <c r="V55" s="430">
        <f t="shared" si="19"/>
        <v>0</v>
      </c>
      <c r="W55" s="430"/>
      <c r="X55" s="430">
        <f t="shared" si="20"/>
        <v>0</v>
      </c>
      <c r="Y55" s="430"/>
      <c r="Z55" s="430"/>
      <c r="AA55" s="486"/>
      <c r="AB55" s="487" t="str">
        <f t="shared" si="23"/>
        <v/>
      </c>
      <c r="AC55" s="489" t="str">
        <f>IFERROR(VLOOKUP($F$9&amp;ROW(A7),附表4!A:C,3,0),"")</f>
        <v/>
      </c>
      <c r="AD55" s="489"/>
      <c r="AE55" s="489"/>
      <c r="AF55" s="489"/>
      <c r="AG55" s="489"/>
      <c r="AH55" s="489"/>
      <c r="AI55" s="489"/>
      <c r="AJ55" s="508" t="str">
        <f>IFERROR(VLOOKUP($F$9&amp;ROW(A7),附表4!A:D,4,0),"")</f>
        <v/>
      </c>
      <c r="AK55" s="508"/>
      <c r="AL55" s="391"/>
      <c r="AM55" s="391"/>
      <c r="AN55" s="391"/>
      <c r="AO55" s="391"/>
      <c r="AP55" s="391"/>
      <c r="AQ55" s="391"/>
      <c r="AR55" s="475" t="s">
        <v>50</v>
      </c>
      <c r="AS55" s="475"/>
      <c r="AT55" s="429">
        <f t="shared" si="24"/>
        <v>0</v>
      </c>
      <c r="AU55" s="429"/>
      <c r="AV55" s="429">
        <f t="shared" si="25"/>
        <v>0</v>
      </c>
      <c r="AW55" s="429"/>
      <c r="AX55" s="429">
        <f t="shared" si="26"/>
        <v>0</v>
      </c>
      <c r="AY55" s="429"/>
      <c r="AZ55" s="550" t="str">
        <f>IFERROR(VLOOKUP(AC55,附表5!B:C,2,0),"")</f>
        <v/>
      </c>
      <c r="BA55" s="551"/>
      <c r="BB55" s="552" t="str">
        <f t="shared" si="16"/>
        <v/>
      </c>
      <c r="BC55" s="552" t="str">
        <f t="shared" si="17"/>
        <v/>
      </c>
    </row>
    <row r="56" customHeight="1" spans="2:55">
      <c r="B56" s="385" t="s">
        <v>74</v>
      </c>
      <c r="C56" s="395" t="s">
        <v>128</v>
      </c>
      <c r="D56" s="395"/>
      <c r="E56" s="395"/>
      <c r="F56" s="390" t="s">
        <v>133</v>
      </c>
      <c r="G56" s="390"/>
      <c r="H56" s="390"/>
      <c r="I56" s="390"/>
      <c r="J56" s="429">
        <f>IF(AT43&gt;=70,INT(AT43/5),0)</f>
        <v>0</v>
      </c>
      <c r="K56" s="429"/>
      <c r="L56" s="391"/>
      <c r="M56" s="391"/>
      <c r="N56" s="391"/>
      <c r="O56" s="391"/>
      <c r="P56" s="391"/>
      <c r="Q56" s="391"/>
      <c r="R56" s="391"/>
      <c r="S56" s="391"/>
      <c r="T56" s="429">
        <f t="shared" si="18"/>
        <v>0</v>
      </c>
      <c r="U56" s="429"/>
      <c r="V56" s="429">
        <f t="shared" si="19"/>
        <v>0</v>
      </c>
      <c r="W56" s="429"/>
      <c r="X56" s="429">
        <f t="shared" si="20"/>
        <v>0</v>
      </c>
      <c r="Y56" s="429"/>
      <c r="Z56" s="429"/>
      <c r="AA56" s="484"/>
      <c r="AB56" s="490" t="str">
        <f t="shared" si="23"/>
        <v/>
      </c>
      <c r="AC56" s="491" t="str">
        <f>IFERROR(VLOOKUP($F$9&amp;ROW(A8),附表4!A:C,3,0),"")</f>
        <v/>
      </c>
      <c r="AD56" s="491"/>
      <c r="AE56" s="491"/>
      <c r="AF56" s="491"/>
      <c r="AG56" s="491"/>
      <c r="AH56" s="491"/>
      <c r="AI56" s="491"/>
      <c r="AJ56" s="509" t="str">
        <f>IFERROR(VLOOKUP($F$9&amp;ROW(A8),附表4!A:D,4,0),"")</f>
        <v/>
      </c>
      <c r="AK56" s="509"/>
      <c r="AL56" s="392"/>
      <c r="AM56" s="392"/>
      <c r="AN56" s="392"/>
      <c r="AO56" s="392"/>
      <c r="AP56" s="392"/>
      <c r="AQ56" s="392"/>
      <c r="AR56" s="443" t="s">
        <v>50</v>
      </c>
      <c r="AS56" s="443"/>
      <c r="AT56" s="430">
        <f t="shared" si="24"/>
        <v>0</v>
      </c>
      <c r="AU56" s="430"/>
      <c r="AV56" s="430">
        <f t="shared" si="25"/>
        <v>0</v>
      </c>
      <c r="AW56" s="430"/>
      <c r="AX56" s="430">
        <f t="shared" si="26"/>
        <v>0</v>
      </c>
      <c r="AY56" s="430"/>
      <c r="AZ56" s="507" t="str">
        <f>IFERROR(VLOOKUP(AC56,附表5!B:C,2,0),"")</f>
        <v/>
      </c>
      <c r="BA56" s="553"/>
      <c r="BB56" s="552" t="str">
        <f t="shared" si="16"/>
        <v/>
      </c>
      <c r="BC56" s="552" t="str">
        <f t="shared" si="17"/>
        <v/>
      </c>
    </row>
    <row r="57" customHeight="1" spans="2:55">
      <c r="B57" s="387" t="s">
        <v>74</v>
      </c>
      <c r="C57" s="389" t="s">
        <v>128</v>
      </c>
      <c r="D57" s="389"/>
      <c r="E57" s="389"/>
      <c r="F57" s="361" t="s">
        <v>134</v>
      </c>
      <c r="G57" s="361"/>
      <c r="H57" s="361"/>
      <c r="I57" s="361"/>
      <c r="J57" s="430">
        <f>IF(AT43&gt;=70,INT(AT43/5),0)</f>
        <v>0</v>
      </c>
      <c r="K57" s="430"/>
      <c r="L57" s="392"/>
      <c r="M57" s="392"/>
      <c r="N57" s="392"/>
      <c r="O57" s="392"/>
      <c r="P57" s="392"/>
      <c r="Q57" s="392"/>
      <c r="R57" s="392"/>
      <c r="S57" s="392"/>
      <c r="T57" s="430">
        <f t="shared" si="18"/>
        <v>0</v>
      </c>
      <c r="U57" s="430"/>
      <c r="V57" s="430">
        <f t="shared" si="19"/>
        <v>0</v>
      </c>
      <c r="W57" s="430"/>
      <c r="X57" s="430">
        <f t="shared" si="20"/>
        <v>0</v>
      </c>
      <c r="Y57" s="430"/>
      <c r="Z57" s="430"/>
      <c r="AA57" s="486"/>
      <c r="AB57" s="487" t="str">
        <f t="shared" si="23"/>
        <v/>
      </c>
      <c r="AC57" s="489" t="str">
        <f>IFERROR(VLOOKUP($F$9&amp;ROW(A9),附表4!A:C,3,0),"")</f>
        <v/>
      </c>
      <c r="AD57" s="489"/>
      <c r="AE57" s="489"/>
      <c r="AF57" s="489"/>
      <c r="AG57" s="489"/>
      <c r="AH57" s="489"/>
      <c r="AI57" s="489"/>
      <c r="AJ57" s="508" t="str">
        <f>IFERROR(VLOOKUP($F$9&amp;ROW(A9),附表4!A:D,4,0),"")</f>
        <v/>
      </c>
      <c r="AK57" s="508"/>
      <c r="AL57" s="391"/>
      <c r="AM57" s="391"/>
      <c r="AN57" s="391"/>
      <c r="AO57" s="391"/>
      <c r="AP57" s="391"/>
      <c r="AQ57" s="391"/>
      <c r="AR57" s="475" t="s">
        <v>50</v>
      </c>
      <c r="AS57" s="475"/>
      <c r="AT57" s="429">
        <f t="shared" si="24"/>
        <v>0</v>
      </c>
      <c r="AU57" s="429"/>
      <c r="AV57" s="429">
        <f t="shared" si="25"/>
        <v>0</v>
      </c>
      <c r="AW57" s="429"/>
      <c r="AX57" s="429">
        <f t="shared" si="26"/>
        <v>0</v>
      </c>
      <c r="AY57" s="429"/>
      <c r="AZ57" s="550" t="str">
        <f>IFERROR(VLOOKUP(AC57,附表5!B:C,2,0),"")</f>
        <v/>
      </c>
      <c r="BA57" s="551"/>
      <c r="BB57" s="552" t="str">
        <f t="shared" si="16"/>
        <v/>
      </c>
      <c r="BC57" s="552" t="str">
        <f t="shared" si="17"/>
        <v/>
      </c>
    </row>
    <row r="58" customHeight="1" spans="2:55">
      <c r="B58" s="385" t="s">
        <v>74</v>
      </c>
      <c r="C58" s="396" t="s">
        <v>135</v>
      </c>
      <c r="D58" s="397"/>
      <c r="E58" s="398"/>
      <c r="F58" s="396"/>
      <c r="G58" s="397"/>
      <c r="H58" s="397"/>
      <c r="I58" s="398"/>
      <c r="J58" s="429">
        <f>IF(T9=0,INT(P15),INT(AM15))</f>
        <v>0</v>
      </c>
      <c r="K58" s="429"/>
      <c r="L58" s="391"/>
      <c r="M58" s="391"/>
      <c r="N58" s="391"/>
      <c r="O58" s="391"/>
      <c r="P58" s="391"/>
      <c r="Q58" s="391"/>
      <c r="R58" s="391"/>
      <c r="S58" s="391"/>
      <c r="T58" s="429">
        <f t="shared" si="18"/>
        <v>0</v>
      </c>
      <c r="U58" s="429"/>
      <c r="V58" s="429">
        <f t="shared" si="19"/>
        <v>0</v>
      </c>
      <c r="W58" s="429"/>
      <c r="X58" s="429">
        <f t="shared" si="20"/>
        <v>0</v>
      </c>
      <c r="Y58" s="429"/>
      <c r="Z58" s="429"/>
      <c r="AA58" s="484"/>
      <c r="AB58" s="490" t="str">
        <f t="shared" si="23"/>
        <v/>
      </c>
      <c r="AC58" s="491" t="str">
        <f>IFERROR(VLOOKUP($F$9&amp;ROW(A10),附表4!A:C,3,0),"")</f>
        <v/>
      </c>
      <c r="AD58" s="491"/>
      <c r="AE58" s="491"/>
      <c r="AF58" s="491"/>
      <c r="AG58" s="491"/>
      <c r="AH58" s="491"/>
      <c r="AI58" s="491"/>
      <c r="AJ58" s="509" t="str">
        <f>IFERROR(VLOOKUP($F$9&amp;ROW(A10),附表4!A:D,4,0),"")</f>
        <v/>
      </c>
      <c r="AK58" s="509"/>
      <c r="AL58" s="392"/>
      <c r="AM58" s="392"/>
      <c r="AN58" s="392"/>
      <c r="AO58" s="392"/>
      <c r="AP58" s="392"/>
      <c r="AQ58" s="392"/>
      <c r="AR58" s="443" t="s">
        <v>50</v>
      </c>
      <c r="AS58" s="443"/>
      <c r="AT58" s="430">
        <f t="shared" si="24"/>
        <v>0</v>
      </c>
      <c r="AU58" s="430"/>
      <c r="AV58" s="430">
        <f t="shared" si="25"/>
        <v>0</v>
      </c>
      <c r="AW58" s="430"/>
      <c r="AX58" s="430">
        <f t="shared" si="26"/>
        <v>0</v>
      </c>
      <c r="AY58" s="430"/>
      <c r="AZ58" s="507" t="str">
        <f>IFERROR(VLOOKUP(AC58,附表5!B:C,2,0),"")</f>
        <v/>
      </c>
      <c r="BA58" s="553"/>
      <c r="BB58" s="552" t="str">
        <f t="shared" si="16"/>
        <v/>
      </c>
      <c r="BC58" s="552" t="str">
        <f t="shared" si="17"/>
        <v/>
      </c>
    </row>
    <row r="59" customHeight="1" spans="2:55">
      <c r="B59" s="387" t="s">
        <v>74</v>
      </c>
      <c r="C59" s="388" t="s">
        <v>136</v>
      </c>
      <c r="D59" s="388"/>
      <c r="E59" s="388"/>
      <c r="F59" s="388"/>
      <c r="G59" s="388"/>
      <c r="H59" s="388"/>
      <c r="I59" s="388"/>
      <c r="J59" s="392">
        <v>5</v>
      </c>
      <c r="K59" s="392"/>
      <c r="L59" s="392"/>
      <c r="M59" s="392"/>
      <c r="N59" s="392"/>
      <c r="O59" s="392"/>
      <c r="P59" s="392"/>
      <c r="Q59" s="392"/>
      <c r="R59" s="361"/>
      <c r="S59" s="361"/>
      <c r="T59" s="430">
        <f t="shared" si="18"/>
        <v>5</v>
      </c>
      <c r="U59" s="430"/>
      <c r="V59" s="430">
        <f t="shared" si="19"/>
        <v>2</v>
      </c>
      <c r="W59" s="430"/>
      <c r="X59" s="430">
        <f t="shared" si="20"/>
        <v>1</v>
      </c>
      <c r="Y59" s="430"/>
      <c r="Z59" s="430"/>
      <c r="AA59" s="486"/>
      <c r="AB59" s="487" t="str">
        <f t="shared" si="23"/>
        <v/>
      </c>
      <c r="AC59" s="489" t="str">
        <f>IFERROR(VLOOKUP($F$9&amp;ROW(A11),附表4!A:C,3,0),"")</f>
        <v/>
      </c>
      <c r="AD59" s="489"/>
      <c r="AE59" s="489"/>
      <c r="AF59" s="489"/>
      <c r="AG59" s="489"/>
      <c r="AH59" s="489"/>
      <c r="AI59" s="489"/>
      <c r="AJ59" s="508" t="str">
        <f>IFERROR(VLOOKUP($F$9&amp;ROW(A11),附表4!A:D,4,0),"")</f>
        <v/>
      </c>
      <c r="AK59" s="508"/>
      <c r="AL59" s="391"/>
      <c r="AM59" s="391"/>
      <c r="AN59" s="391"/>
      <c r="AO59" s="391"/>
      <c r="AP59" s="391"/>
      <c r="AQ59" s="391"/>
      <c r="AR59" s="475" t="s">
        <v>50</v>
      </c>
      <c r="AS59" s="475"/>
      <c r="AT59" s="429">
        <f t="shared" si="24"/>
        <v>0</v>
      </c>
      <c r="AU59" s="429"/>
      <c r="AV59" s="429">
        <f t="shared" si="25"/>
        <v>0</v>
      </c>
      <c r="AW59" s="429"/>
      <c r="AX59" s="429">
        <f t="shared" si="26"/>
        <v>0</v>
      </c>
      <c r="AY59" s="429"/>
      <c r="AZ59" s="550" t="str">
        <f>IFERROR(VLOOKUP(AC59,附表5!B:C,2,0),"")</f>
        <v/>
      </c>
      <c r="BA59" s="551"/>
      <c r="BB59" s="552" t="str">
        <f t="shared" si="16"/>
        <v>法律5</v>
      </c>
      <c r="BC59" s="552" t="str">
        <f t="shared" si="17"/>
        <v/>
      </c>
    </row>
    <row r="60" customHeight="1" spans="2:55">
      <c r="B60" s="385" t="s">
        <v>74</v>
      </c>
      <c r="C60" s="386" t="s">
        <v>137</v>
      </c>
      <c r="D60" s="386"/>
      <c r="E60" s="386"/>
      <c r="F60" s="386"/>
      <c r="G60" s="386"/>
      <c r="H60" s="386"/>
      <c r="I60" s="386"/>
      <c r="J60" s="391">
        <v>20</v>
      </c>
      <c r="K60" s="391"/>
      <c r="L60" s="391"/>
      <c r="M60" s="391"/>
      <c r="N60" s="391"/>
      <c r="O60" s="391"/>
      <c r="P60" s="391"/>
      <c r="Q60" s="391"/>
      <c r="R60" s="390"/>
      <c r="S60" s="390"/>
      <c r="T60" s="429">
        <f t="shared" si="18"/>
        <v>20</v>
      </c>
      <c r="U60" s="429"/>
      <c r="V60" s="429">
        <f t="shared" si="19"/>
        <v>10</v>
      </c>
      <c r="W60" s="429"/>
      <c r="X60" s="429">
        <f t="shared" si="20"/>
        <v>4</v>
      </c>
      <c r="Y60" s="429"/>
      <c r="Z60" s="429"/>
      <c r="AA60" s="484"/>
      <c r="AB60" s="490" t="str">
        <f t="shared" si="23"/>
        <v/>
      </c>
      <c r="AC60" s="491" t="str">
        <f>IFERROR(VLOOKUP($F$9&amp;ROW(A12),附表4!A:C,3,0),"")</f>
        <v/>
      </c>
      <c r="AD60" s="491"/>
      <c r="AE60" s="491"/>
      <c r="AF60" s="491"/>
      <c r="AG60" s="491"/>
      <c r="AH60" s="491"/>
      <c r="AI60" s="491"/>
      <c r="AJ60" s="509" t="str">
        <f>IFERROR(VLOOKUP($F$9&amp;ROW(A12),附表4!A:D,4,0),"")</f>
        <v/>
      </c>
      <c r="AK60" s="509"/>
      <c r="AL60" s="392"/>
      <c r="AM60" s="392"/>
      <c r="AN60" s="392"/>
      <c r="AO60" s="392"/>
      <c r="AP60" s="392"/>
      <c r="AQ60" s="392"/>
      <c r="AR60" s="443" t="s">
        <v>50</v>
      </c>
      <c r="AS60" s="443"/>
      <c r="AT60" s="430">
        <f t="shared" si="24"/>
        <v>0</v>
      </c>
      <c r="AU60" s="430"/>
      <c r="AV60" s="430">
        <f t="shared" si="25"/>
        <v>0</v>
      </c>
      <c r="AW60" s="430"/>
      <c r="AX60" s="430">
        <f t="shared" si="26"/>
        <v>0</v>
      </c>
      <c r="AY60" s="430"/>
      <c r="AZ60" s="507" t="str">
        <f>IFERROR(VLOOKUP(AC60,附表5!B:C,2,0),"")</f>
        <v/>
      </c>
      <c r="BA60" s="553"/>
      <c r="BB60" s="552" t="str">
        <f t="shared" si="16"/>
        <v>图书馆使用20</v>
      </c>
      <c r="BC60" s="552" t="str">
        <f t="shared" si="17"/>
        <v/>
      </c>
    </row>
    <row r="61" customHeight="1" spans="2:55">
      <c r="B61" s="387" t="s">
        <v>74</v>
      </c>
      <c r="C61" s="388" t="s">
        <v>138</v>
      </c>
      <c r="D61" s="388"/>
      <c r="E61" s="388"/>
      <c r="F61" s="388"/>
      <c r="G61" s="388"/>
      <c r="H61" s="388"/>
      <c r="I61" s="388"/>
      <c r="J61" s="392">
        <v>20</v>
      </c>
      <c r="K61" s="392"/>
      <c r="L61" s="392"/>
      <c r="M61" s="392"/>
      <c r="N61" s="392"/>
      <c r="O61" s="392"/>
      <c r="P61" s="392"/>
      <c r="Q61" s="392"/>
      <c r="R61" s="361"/>
      <c r="S61" s="361"/>
      <c r="T61" s="430">
        <f t="shared" si="18"/>
        <v>20</v>
      </c>
      <c r="U61" s="430"/>
      <c r="V61" s="430">
        <f t="shared" si="19"/>
        <v>10</v>
      </c>
      <c r="W61" s="430"/>
      <c r="X61" s="430">
        <f t="shared" si="20"/>
        <v>4</v>
      </c>
      <c r="Y61" s="430"/>
      <c r="Z61" s="430"/>
      <c r="AA61" s="486"/>
      <c r="AB61" s="487" t="str">
        <f t="shared" si="23"/>
        <v/>
      </c>
      <c r="AC61" s="489" t="str">
        <f>IFERROR(VLOOKUP($F$9&amp;ROW(A13),附表4!A:C,3,0),"")</f>
        <v/>
      </c>
      <c r="AD61" s="489"/>
      <c r="AE61" s="489"/>
      <c r="AF61" s="489"/>
      <c r="AG61" s="489"/>
      <c r="AH61" s="489"/>
      <c r="AI61" s="489"/>
      <c r="AJ61" s="508" t="str">
        <f>IFERROR(VLOOKUP($F$9&amp;ROW(A13),附表4!A:D,4,0),"")</f>
        <v/>
      </c>
      <c r="AK61" s="508"/>
      <c r="AL61" s="391"/>
      <c r="AM61" s="391"/>
      <c r="AN61" s="391"/>
      <c r="AO61" s="391"/>
      <c r="AP61" s="391"/>
      <c r="AQ61" s="391"/>
      <c r="AR61" s="475" t="s">
        <v>50</v>
      </c>
      <c r="AS61" s="475"/>
      <c r="AT61" s="429">
        <f t="shared" si="24"/>
        <v>0</v>
      </c>
      <c r="AU61" s="429"/>
      <c r="AV61" s="429">
        <f t="shared" si="25"/>
        <v>0</v>
      </c>
      <c r="AW61" s="429"/>
      <c r="AX61" s="429">
        <f t="shared" si="26"/>
        <v>0</v>
      </c>
      <c r="AY61" s="429"/>
      <c r="AZ61" s="550" t="str">
        <f>IFERROR(VLOOKUP(AC61,附表5!B:C,2,0),"")</f>
        <v/>
      </c>
      <c r="BA61" s="551"/>
      <c r="BB61" s="552" t="str">
        <f t="shared" si="16"/>
        <v>聆听20</v>
      </c>
      <c r="BC61" s="552" t="str">
        <f t="shared" si="17"/>
        <v/>
      </c>
    </row>
    <row r="62" customHeight="1" spans="2:55">
      <c r="B62" s="385" t="s">
        <v>74</v>
      </c>
      <c r="C62" s="386" t="s">
        <v>139</v>
      </c>
      <c r="D62" s="386"/>
      <c r="E62" s="386"/>
      <c r="F62" s="386"/>
      <c r="G62" s="386"/>
      <c r="H62" s="386"/>
      <c r="I62" s="386"/>
      <c r="J62" s="391">
        <v>1</v>
      </c>
      <c r="K62" s="391"/>
      <c r="L62" s="391"/>
      <c r="M62" s="391"/>
      <c r="N62" s="391"/>
      <c r="O62" s="391"/>
      <c r="P62" s="391"/>
      <c r="Q62" s="391"/>
      <c r="R62" s="390"/>
      <c r="S62" s="390"/>
      <c r="T62" s="429">
        <f t="shared" si="18"/>
        <v>1</v>
      </c>
      <c r="U62" s="429"/>
      <c r="V62" s="429">
        <f t="shared" si="19"/>
        <v>0</v>
      </c>
      <c r="W62" s="429"/>
      <c r="X62" s="429">
        <f t="shared" si="20"/>
        <v>0</v>
      </c>
      <c r="Y62" s="429"/>
      <c r="Z62" s="429"/>
      <c r="AA62" s="484"/>
      <c r="AB62" s="490" t="str">
        <f t="shared" si="23"/>
        <v/>
      </c>
      <c r="AC62" s="491" t="str">
        <f>IFERROR(VLOOKUP($F$9&amp;ROW(A14),附表4!A:C,3,0),"")</f>
        <v/>
      </c>
      <c r="AD62" s="491"/>
      <c r="AE62" s="491"/>
      <c r="AF62" s="491"/>
      <c r="AG62" s="491"/>
      <c r="AH62" s="491"/>
      <c r="AI62" s="491"/>
      <c r="AJ62" s="509" t="str">
        <f>IFERROR(VLOOKUP($F$9&amp;ROW(A14),附表4!A:D,4,0),"")</f>
        <v/>
      </c>
      <c r="AK62" s="509"/>
      <c r="AL62" s="392"/>
      <c r="AM62" s="392"/>
      <c r="AN62" s="392"/>
      <c r="AO62" s="392"/>
      <c r="AP62" s="392"/>
      <c r="AQ62" s="392"/>
      <c r="AR62" s="443" t="s">
        <v>50</v>
      </c>
      <c r="AS62" s="443"/>
      <c r="AT62" s="430">
        <f t="shared" si="24"/>
        <v>0</v>
      </c>
      <c r="AU62" s="430"/>
      <c r="AV62" s="430">
        <f t="shared" si="25"/>
        <v>0</v>
      </c>
      <c r="AW62" s="430"/>
      <c r="AX62" s="430">
        <f t="shared" si="26"/>
        <v>0</v>
      </c>
      <c r="AY62" s="430"/>
      <c r="AZ62" s="507" t="str">
        <f>IFERROR(VLOOKUP(AC62,附表5!B:C,2,0),"")</f>
        <v/>
      </c>
      <c r="BA62" s="553"/>
      <c r="BB62" s="552" t="str">
        <f t="shared" si="16"/>
        <v>锁匠1</v>
      </c>
      <c r="BC62" s="552" t="str">
        <f t="shared" si="17"/>
        <v/>
      </c>
    </row>
    <row r="63" customHeight="1" spans="2:55">
      <c r="B63" s="387" t="s">
        <v>74</v>
      </c>
      <c r="C63" s="388" t="s">
        <v>140</v>
      </c>
      <c r="D63" s="388"/>
      <c r="E63" s="388"/>
      <c r="F63" s="388"/>
      <c r="G63" s="388"/>
      <c r="H63" s="388"/>
      <c r="I63" s="388"/>
      <c r="J63" s="392">
        <v>10</v>
      </c>
      <c r="K63" s="392"/>
      <c r="L63" s="392"/>
      <c r="M63" s="392"/>
      <c r="N63" s="392"/>
      <c r="O63" s="392"/>
      <c r="P63" s="392"/>
      <c r="Q63" s="392"/>
      <c r="R63" s="361"/>
      <c r="S63" s="361"/>
      <c r="T63" s="430">
        <f t="shared" si="18"/>
        <v>10</v>
      </c>
      <c r="U63" s="430"/>
      <c r="V63" s="430">
        <f t="shared" si="19"/>
        <v>5</v>
      </c>
      <c r="W63" s="430"/>
      <c r="X63" s="430">
        <f t="shared" si="20"/>
        <v>2</v>
      </c>
      <c r="Y63" s="430"/>
      <c r="Z63" s="430"/>
      <c r="AA63" s="486"/>
      <c r="AB63" s="487" t="str">
        <f t="shared" si="23"/>
        <v/>
      </c>
      <c r="AC63" s="489" t="str">
        <f>IFERROR(VLOOKUP($F$9&amp;ROW(A15),附表4!A:C,3,0),"")</f>
        <v/>
      </c>
      <c r="AD63" s="489"/>
      <c r="AE63" s="489"/>
      <c r="AF63" s="489"/>
      <c r="AG63" s="489"/>
      <c r="AH63" s="489"/>
      <c r="AI63" s="489"/>
      <c r="AJ63" s="508" t="str">
        <f>IFERROR(VLOOKUP($F$9&amp;ROW(A15),附表4!A:D,4,0),"")</f>
        <v/>
      </c>
      <c r="AK63" s="508"/>
      <c r="AL63" s="391"/>
      <c r="AM63" s="391"/>
      <c r="AN63" s="391"/>
      <c r="AO63" s="391"/>
      <c r="AP63" s="391"/>
      <c r="AQ63" s="391"/>
      <c r="AR63" s="475" t="s">
        <v>50</v>
      </c>
      <c r="AS63" s="475"/>
      <c r="AT63" s="429">
        <f t="shared" si="24"/>
        <v>0</v>
      </c>
      <c r="AU63" s="429"/>
      <c r="AV63" s="429">
        <f t="shared" si="25"/>
        <v>0</v>
      </c>
      <c r="AW63" s="429"/>
      <c r="AX63" s="429">
        <f t="shared" si="26"/>
        <v>0</v>
      </c>
      <c r="AY63" s="429"/>
      <c r="AZ63" s="550" t="str">
        <f>IFERROR(VLOOKUP(AC63,附表5!B:C,2,0),"")</f>
        <v/>
      </c>
      <c r="BA63" s="551"/>
      <c r="BB63" s="552" t="str">
        <f t="shared" si="16"/>
        <v>机械维修10</v>
      </c>
      <c r="BC63" s="552" t="str">
        <f t="shared" si="17"/>
        <v/>
      </c>
    </row>
    <row r="64" customHeight="1" spans="2:55">
      <c r="B64" s="385" t="s">
        <v>74</v>
      </c>
      <c r="C64" s="386" t="s">
        <v>141</v>
      </c>
      <c r="D64" s="386"/>
      <c r="E64" s="386"/>
      <c r="F64" s="386"/>
      <c r="G64" s="386"/>
      <c r="H64" s="386"/>
      <c r="I64" s="386"/>
      <c r="J64" s="391">
        <v>1</v>
      </c>
      <c r="K64" s="391"/>
      <c r="L64" s="391"/>
      <c r="M64" s="391"/>
      <c r="N64" s="391"/>
      <c r="O64" s="391"/>
      <c r="P64" s="391"/>
      <c r="Q64" s="391"/>
      <c r="R64" s="390"/>
      <c r="S64" s="390"/>
      <c r="T64" s="429">
        <f t="shared" si="18"/>
        <v>1</v>
      </c>
      <c r="U64" s="429"/>
      <c r="V64" s="429">
        <f t="shared" si="19"/>
        <v>0</v>
      </c>
      <c r="W64" s="429"/>
      <c r="X64" s="429">
        <f t="shared" si="20"/>
        <v>0</v>
      </c>
      <c r="Y64" s="429"/>
      <c r="Z64" s="429"/>
      <c r="AA64" s="484"/>
      <c r="AB64" s="490" t="str">
        <f t="shared" si="23"/>
        <v/>
      </c>
      <c r="AC64" s="491" t="str">
        <f>IFERROR(VLOOKUP($F$9&amp;ROW(A16),附表4!A:C,3,0),"")</f>
        <v/>
      </c>
      <c r="AD64" s="491"/>
      <c r="AE64" s="491"/>
      <c r="AF64" s="491"/>
      <c r="AG64" s="491"/>
      <c r="AH64" s="491"/>
      <c r="AI64" s="491"/>
      <c r="AJ64" s="509" t="str">
        <f>IFERROR(VLOOKUP($F$9&amp;ROW(A16),附表4!A:D,4,0),"")</f>
        <v/>
      </c>
      <c r="AK64" s="509"/>
      <c r="AL64" s="392"/>
      <c r="AM64" s="392"/>
      <c r="AN64" s="392"/>
      <c r="AO64" s="392"/>
      <c r="AP64" s="392"/>
      <c r="AQ64" s="392"/>
      <c r="AR64" s="443" t="s">
        <v>50</v>
      </c>
      <c r="AS64" s="443"/>
      <c r="AT64" s="430">
        <f t="shared" si="24"/>
        <v>0</v>
      </c>
      <c r="AU64" s="430"/>
      <c r="AV64" s="430">
        <f t="shared" si="25"/>
        <v>0</v>
      </c>
      <c r="AW64" s="430"/>
      <c r="AX64" s="430">
        <f t="shared" si="26"/>
        <v>0</v>
      </c>
      <c r="AY64" s="430"/>
      <c r="AZ64" s="507" t="str">
        <f>IFERROR(VLOOKUP(AC64,附表5!B:C,2,0),"")</f>
        <v/>
      </c>
      <c r="BA64" s="553"/>
      <c r="BB64" s="552" t="str">
        <f t="shared" si="16"/>
        <v>医学1</v>
      </c>
      <c r="BC64" s="552" t="str">
        <f t="shared" si="17"/>
        <v/>
      </c>
    </row>
    <row r="65" customHeight="1" spans="2:55">
      <c r="B65" s="387" t="s">
        <v>74</v>
      </c>
      <c r="C65" s="388" t="s">
        <v>142</v>
      </c>
      <c r="D65" s="388"/>
      <c r="E65" s="388"/>
      <c r="F65" s="388"/>
      <c r="G65" s="388"/>
      <c r="H65" s="388"/>
      <c r="I65" s="388"/>
      <c r="J65" s="392">
        <v>10</v>
      </c>
      <c r="K65" s="392"/>
      <c r="L65" s="392"/>
      <c r="M65" s="392"/>
      <c r="N65" s="392"/>
      <c r="O65" s="392"/>
      <c r="P65" s="392"/>
      <c r="Q65" s="392"/>
      <c r="R65" s="361"/>
      <c r="S65" s="361"/>
      <c r="T65" s="430">
        <f t="shared" si="18"/>
        <v>10</v>
      </c>
      <c r="U65" s="430"/>
      <c r="V65" s="430">
        <f t="shared" si="19"/>
        <v>5</v>
      </c>
      <c r="W65" s="430"/>
      <c r="X65" s="430">
        <f t="shared" si="20"/>
        <v>2</v>
      </c>
      <c r="Y65" s="430"/>
      <c r="Z65" s="430"/>
      <c r="AA65" s="486"/>
      <c r="AB65" s="487" t="str">
        <f t="shared" si="23"/>
        <v/>
      </c>
      <c r="AC65" s="489" t="str">
        <f>IFERROR(VLOOKUP($F$9&amp;ROW(A17),附表4!A:C,3,0),"")</f>
        <v/>
      </c>
      <c r="AD65" s="489"/>
      <c r="AE65" s="489"/>
      <c r="AF65" s="489"/>
      <c r="AG65" s="489"/>
      <c r="AH65" s="489"/>
      <c r="AI65" s="489"/>
      <c r="AJ65" s="508" t="str">
        <f>IFERROR(VLOOKUP($F$9&amp;ROW(A17),附表4!A:D,4,0),"")</f>
        <v/>
      </c>
      <c r="AK65" s="508"/>
      <c r="AL65" s="391"/>
      <c r="AM65" s="391"/>
      <c r="AN65" s="391"/>
      <c r="AO65" s="391"/>
      <c r="AP65" s="391"/>
      <c r="AQ65" s="391"/>
      <c r="AR65" s="475" t="s">
        <v>50</v>
      </c>
      <c r="AS65" s="475"/>
      <c r="AT65" s="429">
        <f t="shared" si="24"/>
        <v>0</v>
      </c>
      <c r="AU65" s="429"/>
      <c r="AV65" s="429">
        <f t="shared" si="25"/>
        <v>0</v>
      </c>
      <c r="AW65" s="429"/>
      <c r="AX65" s="429">
        <f t="shared" si="26"/>
        <v>0</v>
      </c>
      <c r="AY65" s="429"/>
      <c r="AZ65" s="550" t="str">
        <f>IFERROR(VLOOKUP(AC65,附表5!B:C,2,0),"")</f>
        <v/>
      </c>
      <c r="BA65" s="551"/>
      <c r="BB65" s="552" t="str">
        <f t="shared" si="16"/>
        <v>博物学10</v>
      </c>
      <c r="BC65" s="552" t="str">
        <f t="shared" si="17"/>
        <v/>
      </c>
    </row>
    <row r="66" customHeight="1" spans="2:55">
      <c r="B66" s="385" t="s">
        <v>74</v>
      </c>
      <c r="C66" s="386" t="s">
        <v>143</v>
      </c>
      <c r="D66" s="386"/>
      <c r="E66" s="386"/>
      <c r="F66" s="386"/>
      <c r="G66" s="386"/>
      <c r="H66" s="386"/>
      <c r="I66" s="386"/>
      <c r="J66" s="391">
        <v>10</v>
      </c>
      <c r="K66" s="391"/>
      <c r="L66" s="391"/>
      <c r="M66" s="391"/>
      <c r="N66" s="391"/>
      <c r="O66" s="391"/>
      <c r="P66" s="391"/>
      <c r="Q66" s="391"/>
      <c r="R66" s="390"/>
      <c r="S66" s="390"/>
      <c r="T66" s="429">
        <f t="shared" si="18"/>
        <v>10</v>
      </c>
      <c r="U66" s="429"/>
      <c r="V66" s="429">
        <f t="shared" si="19"/>
        <v>5</v>
      </c>
      <c r="W66" s="429"/>
      <c r="X66" s="429">
        <f t="shared" si="20"/>
        <v>2</v>
      </c>
      <c r="Y66" s="429"/>
      <c r="Z66" s="429"/>
      <c r="AA66" s="484"/>
      <c r="AB66" s="490" t="str">
        <f t="shared" si="23"/>
        <v/>
      </c>
      <c r="AC66" s="491" t="str">
        <f>IFERROR(VLOOKUP($F$9&amp;ROW(A18),附表4!A:C,3,0),"")</f>
        <v/>
      </c>
      <c r="AD66" s="491"/>
      <c r="AE66" s="491"/>
      <c r="AF66" s="491"/>
      <c r="AG66" s="491"/>
      <c r="AH66" s="491"/>
      <c r="AI66" s="491"/>
      <c r="AJ66" s="509" t="str">
        <f>IFERROR(VLOOKUP($F$9&amp;ROW(A18),附表4!A:D,4,0),"")</f>
        <v/>
      </c>
      <c r="AK66" s="509"/>
      <c r="AL66" s="392"/>
      <c r="AM66" s="392"/>
      <c r="AN66" s="392"/>
      <c r="AO66" s="392"/>
      <c r="AP66" s="392"/>
      <c r="AQ66" s="392"/>
      <c r="AR66" s="443" t="s">
        <v>50</v>
      </c>
      <c r="AS66" s="443"/>
      <c r="AT66" s="430">
        <f t="shared" si="24"/>
        <v>0</v>
      </c>
      <c r="AU66" s="430"/>
      <c r="AV66" s="430">
        <f t="shared" si="25"/>
        <v>0</v>
      </c>
      <c r="AW66" s="430"/>
      <c r="AX66" s="430">
        <f t="shared" si="26"/>
        <v>0</v>
      </c>
      <c r="AY66" s="430"/>
      <c r="AZ66" s="507" t="str">
        <f>IFERROR(VLOOKUP(AC66,附表5!B:C,2,0),"")</f>
        <v/>
      </c>
      <c r="BA66" s="553"/>
      <c r="BB66" s="552" t="str">
        <f t="shared" si="16"/>
        <v>领航10</v>
      </c>
      <c r="BC66" s="552" t="str">
        <f t="shared" si="17"/>
        <v/>
      </c>
    </row>
    <row r="67" customHeight="1" spans="2:55">
      <c r="B67" s="555" t="s">
        <v>74</v>
      </c>
      <c r="C67" s="556" t="s">
        <v>144</v>
      </c>
      <c r="D67" s="556"/>
      <c r="E67" s="556"/>
      <c r="F67" s="556"/>
      <c r="G67" s="556"/>
      <c r="H67" s="556"/>
      <c r="I67" s="556"/>
      <c r="J67" s="619">
        <v>1</v>
      </c>
      <c r="K67" s="619"/>
      <c r="L67" s="619"/>
      <c r="M67" s="619"/>
      <c r="N67" s="619"/>
      <c r="O67" s="619"/>
      <c r="P67" s="619"/>
      <c r="Q67" s="619"/>
      <c r="R67" s="369"/>
      <c r="S67" s="369"/>
      <c r="T67" s="629">
        <f t="shared" si="18"/>
        <v>1</v>
      </c>
      <c r="U67" s="629"/>
      <c r="V67" s="629">
        <f t="shared" si="19"/>
        <v>0</v>
      </c>
      <c r="W67" s="629"/>
      <c r="X67" s="629">
        <f t="shared" si="20"/>
        <v>0</v>
      </c>
      <c r="Y67" s="629"/>
      <c r="Z67" s="629"/>
      <c r="AA67" s="648"/>
      <c r="AB67" s="649" t="str">
        <f t="shared" si="23"/>
        <v/>
      </c>
      <c r="AC67" s="650"/>
      <c r="AD67" s="650"/>
      <c r="AE67" s="650"/>
      <c r="AF67" s="650"/>
      <c r="AG67" s="650"/>
      <c r="AH67" s="650"/>
      <c r="AI67" s="650"/>
      <c r="AJ67" s="674"/>
      <c r="AK67" s="674"/>
      <c r="AL67" s="675"/>
      <c r="AM67" s="675"/>
      <c r="AN67" s="675"/>
      <c r="AO67" s="675"/>
      <c r="AP67" s="675"/>
      <c r="AQ67" s="675"/>
      <c r="AR67" s="684" t="s">
        <v>50</v>
      </c>
      <c r="AS67" s="684"/>
      <c r="AT67" s="685">
        <f t="shared" si="24"/>
        <v>0</v>
      </c>
      <c r="AU67" s="685"/>
      <c r="AV67" s="685">
        <f t="shared" si="25"/>
        <v>0</v>
      </c>
      <c r="AW67" s="685"/>
      <c r="AX67" s="685">
        <f t="shared" si="26"/>
        <v>0</v>
      </c>
      <c r="AY67" s="685"/>
      <c r="AZ67" s="712" t="str">
        <f>IFERROR(VLOOKUP(AC67,附表5!B:C,2,0),"")</f>
        <v/>
      </c>
      <c r="BA67" s="713"/>
      <c r="BB67" s="552" t="str">
        <f t="shared" si="16"/>
        <v>操作重型机械1</v>
      </c>
      <c r="BC67" s="552" t="str">
        <f t="shared" si="17"/>
        <v/>
      </c>
    </row>
    <row r="68" customHeight="1" spans="2:55">
      <c r="B68" s="557" t="str">
        <f>IF(T5=0," ","职业信用范围："&amp;LOOKUP(T5,职业列表!A2:A116,职业列表!C2:C116))</f>
        <v>职业信用范围：0-99</v>
      </c>
      <c r="C68" s="557"/>
      <c r="D68" s="557"/>
      <c r="E68" s="557"/>
      <c r="F68" s="557"/>
      <c r="G68" s="557"/>
      <c r="H68" s="557"/>
      <c r="I68" s="557"/>
      <c r="J68" s="557"/>
      <c r="K68" s="557"/>
      <c r="L68" s="557"/>
      <c r="M68" s="557"/>
      <c r="N68" s="557"/>
      <c r="O68" s="557"/>
      <c r="P68" s="620" t="str">
        <f>IF(T5=0," ","剩余职业点="&amp;LOOKUP(T5,职业列表!A2:A116,职业列表!E2:E116)-SUM(P27:Q67,AP27:AQ67)&amp;"   剩余兴趣点="&amp;J17*2-SUM(R27:S67,AR27:AS67))</f>
        <v>剩余职业点=0   剩余兴趣点=0</v>
      </c>
      <c r="Q68" s="620"/>
      <c r="R68" s="620"/>
      <c r="S68" s="620"/>
      <c r="T68" s="620"/>
      <c r="U68" s="620"/>
      <c r="V68" s="620"/>
      <c r="W68" s="620"/>
      <c r="X68" s="620"/>
      <c r="Y68" s="620"/>
      <c r="Z68" s="620"/>
      <c r="AA68" s="620"/>
      <c r="AB68" s="620" t="str">
        <f>IF(T9=0," ","剩余魔药点="&amp;AX5-SUM(N27:O67,AN27:AO67))</f>
        <v> </v>
      </c>
      <c r="AC68" s="620"/>
      <c r="AD68" s="620"/>
      <c r="AE68" s="620"/>
      <c r="AF68" s="620"/>
      <c r="AG68" s="620"/>
      <c r="AH68" s="620"/>
      <c r="AI68" s="620"/>
      <c r="AJ68" s="620" t="s">
        <v>145</v>
      </c>
      <c r="AK68" s="620"/>
      <c r="AL68" s="620"/>
      <c r="AM68" s="620"/>
      <c r="AN68" s="620"/>
      <c r="AO68" s="620"/>
      <c r="AP68" s="620"/>
      <c r="AQ68" s="620"/>
      <c r="AR68" s="620"/>
      <c r="AS68" s="620"/>
      <c r="AT68" s="620"/>
      <c r="AU68" s="620"/>
      <c r="AV68" s="620"/>
      <c r="AW68" s="620"/>
      <c r="AX68" s="620"/>
      <c r="AY68" s="620"/>
      <c r="AZ68" s="620"/>
      <c r="BA68" s="620"/>
      <c r="BB68" s="620"/>
      <c r="BC68" s="620"/>
    </row>
    <row r="69" customHeight="1" spans="2:55">
      <c r="B69" s="558" t="s">
        <v>146</v>
      </c>
      <c r="C69" s="559"/>
      <c r="D69" s="559"/>
      <c r="E69" s="559"/>
      <c r="F69" s="559"/>
      <c r="G69" s="559"/>
      <c r="H69" s="559"/>
      <c r="I69" s="559"/>
      <c r="J69" s="559"/>
      <c r="K69" s="559"/>
      <c r="L69" s="559"/>
      <c r="M69" s="559"/>
      <c r="N69" s="559"/>
      <c r="O69" s="559"/>
      <c r="P69" s="559"/>
      <c r="Q69" s="559"/>
      <c r="R69" s="559"/>
      <c r="S69" s="559"/>
      <c r="T69" s="559"/>
      <c r="U69" s="559"/>
      <c r="V69" s="559"/>
      <c r="W69" s="559"/>
      <c r="X69" s="559"/>
      <c r="Y69" s="559"/>
      <c r="Z69" s="559"/>
      <c r="AA69" s="559"/>
      <c r="AB69" s="559"/>
      <c r="AC69" s="559"/>
      <c r="AD69" s="559"/>
      <c r="AE69" s="559"/>
      <c r="AF69" s="559"/>
      <c r="AG69" s="559"/>
      <c r="AH69" s="559"/>
      <c r="AI69" s="559"/>
      <c r="AJ69" s="559"/>
      <c r="AK69" s="559"/>
      <c r="AL69" s="559"/>
      <c r="AM69" s="559"/>
      <c r="AN69" s="559"/>
      <c r="AO69" s="686"/>
      <c r="AR69" s="574" t="s">
        <v>147</v>
      </c>
      <c r="AS69" s="576"/>
      <c r="AT69" s="576"/>
      <c r="AU69" s="576"/>
      <c r="AV69" s="576"/>
      <c r="AW69" s="576"/>
      <c r="AX69" s="576"/>
      <c r="AY69" s="714"/>
      <c r="AZ69" s="714"/>
      <c r="BA69" s="632"/>
      <c r="BB69" s="547"/>
      <c r="BC69" s="547"/>
    </row>
    <row r="70" customHeight="1" spans="2:55">
      <c r="B70" s="560" t="s">
        <v>146</v>
      </c>
      <c r="C70" s="561"/>
      <c r="D70" s="561"/>
      <c r="E70" s="561"/>
      <c r="F70" s="561"/>
      <c r="G70" s="561"/>
      <c r="H70" s="561" t="s">
        <v>148</v>
      </c>
      <c r="I70" s="561"/>
      <c r="J70" s="561"/>
      <c r="K70" s="561"/>
      <c r="L70" s="561"/>
      <c r="M70" s="561" t="s">
        <v>73</v>
      </c>
      <c r="N70" s="561"/>
      <c r="O70" s="561"/>
      <c r="P70" s="561"/>
      <c r="Q70" s="561"/>
      <c r="R70" s="561"/>
      <c r="S70" s="561" t="s">
        <v>149</v>
      </c>
      <c r="T70" s="561"/>
      <c r="U70" s="561"/>
      <c r="V70" s="561"/>
      <c r="W70" s="561"/>
      <c r="X70" s="561"/>
      <c r="Y70" s="651" t="s">
        <v>150</v>
      </c>
      <c r="Z70" s="651"/>
      <c r="AA70" s="651"/>
      <c r="AB70" s="651" t="s">
        <v>151</v>
      </c>
      <c r="AC70" s="651"/>
      <c r="AD70" s="651"/>
      <c r="AE70" s="651"/>
      <c r="AF70" s="651" t="s">
        <v>152</v>
      </c>
      <c r="AG70" s="651"/>
      <c r="AH70" s="651"/>
      <c r="AI70" s="651" t="s">
        <v>153</v>
      </c>
      <c r="AJ70" s="651"/>
      <c r="AK70" s="651"/>
      <c r="AL70" s="651"/>
      <c r="AM70" s="651" t="s">
        <v>154</v>
      </c>
      <c r="AN70" s="651"/>
      <c r="AO70" s="687"/>
      <c r="AR70" s="688" t="s">
        <v>155</v>
      </c>
      <c r="AS70" s="689"/>
      <c r="AT70" s="689"/>
      <c r="AU70" s="689"/>
      <c r="AV70" s="690" t="str">
        <f>LOOKUP(W13+W17,附表!A2:A32,附表!B2:B32)</f>
        <v>错误</v>
      </c>
      <c r="AW70" s="690"/>
      <c r="AX70" s="690"/>
      <c r="AY70" s="715"/>
      <c r="AZ70" s="715"/>
      <c r="BA70" s="716"/>
      <c r="BB70" s="348"/>
      <c r="BC70" s="348"/>
    </row>
    <row r="71" customHeight="1" spans="2:55">
      <c r="B71" s="562" t="s">
        <v>156</v>
      </c>
      <c r="C71" s="563"/>
      <c r="D71" s="563"/>
      <c r="E71" s="563"/>
      <c r="F71" s="563"/>
      <c r="G71" s="563"/>
      <c r="H71" s="563" t="s">
        <v>108</v>
      </c>
      <c r="I71" s="563"/>
      <c r="J71" s="563"/>
      <c r="K71" s="563"/>
      <c r="L71" s="563"/>
      <c r="M71" s="621">
        <f>T42</f>
        <v>25</v>
      </c>
      <c r="N71" s="621"/>
      <c r="O71" s="563">
        <f>INT(M71/2)</f>
        <v>12</v>
      </c>
      <c r="P71" s="563"/>
      <c r="Q71" s="563">
        <f>INT(M71/5)</f>
        <v>5</v>
      </c>
      <c r="R71" s="563"/>
      <c r="S71" s="563" t="s">
        <v>157</v>
      </c>
      <c r="T71" s="563"/>
      <c r="U71" s="563"/>
      <c r="V71" s="563"/>
      <c r="W71" s="563"/>
      <c r="X71" s="563"/>
      <c r="Y71" s="563" t="s">
        <v>158</v>
      </c>
      <c r="Z71" s="563"/>
      <c r="AA71" s="563"/>
      <c r="AB71" s="563" t="s">
        <v>159</v>
      </c>
      <c r="AC71" s="563"/>
      <c r="AD71" s="563"/>
      <c r="AE71" s="563"/>
      <c r="AF71" s="563">
        <v>1</v>
      </c>
      <c r="AG71" s="563"/>
      <c r="AH71" s="563"/>
      <c r="AI71" s="563" t="s">
        <v>158</v>
      </c>
      <c r="AJ71" s="563"/>
      <c r="AK71" s="563"/>
      <c r="AL71" s="563"/>
      <c r="AM71" s="563" t="s">
        <v>158</v>
      </c>
      <c r="AN71" s="563"/>
      <c r="AO71" s="691"/>
      <c r="AR71" s="688"/>
      <c r="AS71" s="689"/>
      <c r="AT71" s="689"/>
      <c r="AU71" s="689"/>
      <c r="AV71" s="690"/>
      <c r="AW71" s="690"/>
      <c r="AX71" s="690"/>
      <c r="AY71" s="715"/>
      <c r="AZ71" s="715"/>
      <c r="BA71" s="716"/>
      <c r="BB71" s="348"/>
      <c r="BC71" s="348"/>
    </row>
    <row r="72" customHeight="1" spans="2:55">
      <c r="B72" s="564"/>
      <c r="C72" s="565"/>
      <c r="D72" s="565"/>
      <c r="E72" s="565"/>
      <c r="F72" s="565"/>
      <c r="G72" s="565"/>
      <c r="H72" s="566" t="str">
        <f>IF(B72=0,"请选择武器",VLOOKUP(B72,武器列表!$A$2:$H$55,2,FALSE))</f>
        <v>请选择武器</v>
      </c>
      <c r="I72" s="622"/>
      <c r="J72" s="622"/>
      <c r="K72" s="622"/>
      <c r="L72" s="622"/>
      <c r="M72" s="623"/>
      <c r="N72" s="623"/>
      <c r="O72" s="623">
        <f>INT(M72/2)</f>
        <v>0</v>
      </c>
      <c r="P72" s="623"/>
      <c r="Q72" s="630">
        <f>INT(M72/5)</f>
        <v>0</v>
      </c>
      <c r="R72" s="630"/>
      <c r="S72" s="631" t="str">
        <f>IF(B72=0,"请选择武器",VLOOKUP(B72,武器列表!A2:H104,3,FALSE))</f>
        <v>请选择武器</v>
      </c>
      <c r="T72" s="565"/>
      <c r="U72" s="565"/>
      <c r="V72" s="565"/>
      <c r="W72" s="565"/>
      <c r="X72" s="565"/>
      <c r="Y72" s="472" t="str">
        <f>IF(B72=0," ",VLOOKUP(B72,武器列表!A2:H55,4,FALSE))</f>
        <v> </v>
      </c>
      <c r="Z72" s="472"/>
      <c r="AA72" s="472"/>
      <c r="AB72" s="652" t="str">
        <f>IF(B72=0," ",VLOOKUP(B72,武器列表!A2:H55,5,FALSE))</f>
        <v> </v>
      </c>
      <c r="AC72" s="652"/>
      <c r="AD72" s="652"/>
      <c r="AE72" s="652"/>
      <c r="AF72" s="653" t="str">
        <f>IF(B72=0," ",VLOOKUP(B72,武器列表!A2:H55,6,FALSE))</f>
        <v> </v>
      </c>
      <c r="AG72" s="653"/>
      <c r="AH72" s="653"/>
      <c r="AI72" s="652" t="str">
        <f>IF(B72=0," ",VLOOKUP(B72,武器列表!A2:H55,7,FALSE))</f>
        <v> </v>
      </c>
      <c r="AJ72" s="652"/>
      <c r="AK72" s="652"/>
      <c r="AL72" s="652"/>
      <c r="AM72" s="652" t="str">
        <f>IF(B72=0," ",VLOOKUP(B72,武器列表!A2:H55,8,FALSE))</f>
        <v> </v>
      </c>
      <c r="AN72" s="652"/>
      <c r="AO72" s="692"/>
      <c r="AR72" s="693" t="s">
        <v>160</v>
      </c>
      <c r="AS72" s="694"/>
      <c r="AT72" s="694"/>
      <c r="AU72" s="694"/>
      <c r="AV72" s="659" t="str">
        <f>LOOKUP(W13+W17,附表!A2:A32,附表!C2:C32)</f>
        <v>错误</v>
      </c>
      <c r="AW72" s="659"/>
      <c r="AX72" s="659"/>
      <c r="AY72" s="717"/>
      <c r="AZ72" s="717"/>
      <c r="BA72" s="718"/>
      <c r="BB72" s="520"/>
      <c r="BC72" s="520"/>
    </row>
    <row r="73" customHeight="1" spans="2:55">
      <c r="B73" s="567"/>
      <c r="C73" s="568"/>
      <c r="D73" s="568"/>
      <c r="E73" s="568"/>
      <c r="F73" s="568"/>
      <c r="G73" s="568"/>
      <c r="H73" s="569" t="str">
        <f>IF(B73=0,"请选择武器",VLOOKUP(B73,武器列表!$A$2:$H$55,2,FALSE))</f>
        <v>请选择武器</v>
      </c>
      <c r="I73" s="624"/>
      <c r="J73" s="624"/>
      <c r="K73" s="624"/>
      <c r="L73" s="624"/>
      <c r="M73" s="563"/>
      <c r="N73" s="563"/>
      <c r="O73" s="563">
        <f>INT(M73/2)</f>
        <v>0</v>
      </c>
      <c r="P73" s="563"/>
      <c r="Q73" s="563">
        <f>INT(M73/5)</f>
        <v>0</v>
      </c>
      <c r="R73" s="563"/>
      <c r="S73" s="569" t="str">
        <f>IF(B73=0,"请选择武器",VLOOKUP(B73,武器列表!A2:H104,3,FALSE))</f>
        <v>请选择武器</v>
      </c>
      <c r="T73" s="624"/>
      <c r="U73" s="624"/>
      <c r="V73" s="624"/>
      <c r="W73" s="624"/>
      <c r="X73" s="624"/>
      <c r="Y73" s="563" t="str">
        <f>IF(B73=0," ",VLOOKUP(B73,武器列表!A2:H55,4,FALSE))</f>
        <v> </v>
      </c>
      <c r="Z73" s="563"/>
      <c r="AA73" s="563"/>
      <c r="AB73" s="563" t="str">
        <f>IF(B73=0," ",VLOOKUP(B73,武器列表!A2:H55,5,FALSE))</f>
        <v> </v>
      </c>
      <c r="AC73" s="563"/>
      <c r="AD73" s="563"/>
      <c r="AE73" s="563"/>
      <c r="AF73" s="563" t="str">
        <f>IF(B73=0," ",VLOOKUP(B73,武器列表!A2:H55,6,FALSE))</f>
        <v> </v>
      </c>
      <c r="AG73" s="563"/>
      <c r="AH73" s="563"/>
      <c r="AI73" s="563" t="str">
        <f>IF(B73=0," ",VLOOKUP(B73,武器列表!A2:H55,7,FALSE))</f>
        <v> </v>
      </c>
      <c r="AJ73" s="563"/>
      <c r="AK73" s="563"/>
      <c r="AL73" s="563"/>
      <c r="AM73" s="563" t="str">
        <f>IF(B73=0," ",VLOOKUP(B73,武器列表!A2:H55,8,FALSE))</f>
        <v> </v>
      </c>
      <c r="AN73" s="563"/>
      <c r="AO73" s="691"/>
      <c r="AR73" s="693"/>
      <c r="AS73" s="694"/>
      <c r="AT73" s="694"/>
      <c r="AU73" s="694"/>
      <c r="AV73" s="659"/>
      <c r="AW73" s="659"/>
      <c r="AX73" s="659"/>
      <c r="AY73" s="717"/>
      <c r="AZ73" s="717"/>
      <c r="BA73" s="718"/>
      <c r="BB73" s="520"/>
      <c r="BC73" s="520"/>
    </row>
    <row r="74" customHeight="1" spans="2:55">
      <c r="B74" s="564"/>
      <c r="C74" s="565"/>
      <c r="D74" s="565"/>
      <c r="E74" s="565"/>
      <c r="F74" s="565"/>
      <c r="G74" s="565"/>
      <c r="H74" s="566" t="str">
        <f>IF(B74=0,"请选择武器",VLOOKUP(B74,武器列表!$A$2:$H$55,2,FALSE))</f>
        <v>请选择武器</v>
      </c>
      <c r="I74" s="622"/>
      <c r="J74" s="622"/>
      <c r="K74" s="622"/>
      <c r="L74" s="622"/>
      <c r="M74" s="623"/>
      <c r="N74" s="623"/>
      <c r="O74" s="623">
        <f>INT(M74/2)</f>
        <v>0</v>
      </c>
      <c r="P74" s="623"/>
      <c r="Q74" s="630">
        <f>INT(M74/5)</f>
        <v>0</v>
      </c>
      <c r="R74" s="630"/>
      <c r="S74" s="631" t="str">
        <f>IF(B74=0,"请选择武器",VLOOKUP(B74,武器列表!A4:H106,3,FALSE))</f>
        <v>请选择武器</v>
      </c>
      <c r="T74" s="565"/>
      <c r="U74" s="565"/>
      <c r="V74" s="565"/>
      <c r="W74" s="565"/>
      <c r="X74" s="565"/>
      <c r="Y74" s="472" t="str">
        <f>IF(B74=0," ",VLOOKUP(B74,武器列表!A2:H55,4,FALSE))</f>
        <v> </v>
      </c>
      <c r="Z74" s="472"/>
      <c r="AA74" s="472"/>
      <c r="AB74" s="652" t="str">
        <f>IF(B74=0," ",VLOOKUP(B74,武器列表!A2:H55,5,FALSE))</f>
        <v> </v>
      </c>
      <c r="AC74" s="652"/>
      <c r="AD74" s="652"/>
      <c r="AE74" s="652"/>
      <c r="AF74" s="653" t="str">
        <f>IF(B74=0," ",VLOOKUP(B74,武器列表!A2:H55,6,FALSE))</f>
        <v> </v>
      </c>
      <c r="AG74" s="653"/>
      <c r="AH74" s="653"/>
      <c r="AI74" s="652" t="str">
        <f>IF(B74=0," ",VLOOKUP(B74,武器列表!A2:H55,7,FALSE))</f>
        <v> </v>
      </c>
      <c r="AJ74" s="652"/>
      <c r="AK74" s="652"/>
      <c r="AL74" s="652"/>
      <c r="AM74" s="652" t="str">
        <f>IF(B74=0," ",VLOOKUP(B74,武器列表!A2:H55,8,FALSE))</f>
        <v> </v>
      </c>
      <c r="AN74" s="652"/>
      <c r="AO74" s="692"/>
      <c r="AR74" s="688" t="s">
        <v>161</v>
      </c>
      <c r="AS74" s="689"/>
      <c r="AT74" s="689"/>
      <c r="AU74" s="689"/>
      <c r="AV74" s="695">
        <f>T38</f>
        <v>0</v>
      </c>
      <c r="AW74" s="690"/>
      <c r="AX74" s="695">
        <f>V38</f>
        <v>0</v>
      </c>
      <c r="AY74" s="719"/>
      <c r="AZ74" s="719"/>
      <c r="BA74" s="716"/>
      <c r="BB74" s="348"/>
      <c r="BC74" s="348"/>
    </row>
    <row r="75" customHeight="1" spans="2:55">
      <c r="B75" s="570"/>
      <c r="C75" s="571"/>
      <c r="D75" s="571"/>
      <c r="E75" s="571"/>
      <c r="F75" s="571"/>
      <c r="G75" s="571"/>
      <c r="H75" s="572" t="str">
        <f>IF(B75=0,"请选择武器",VLOOKUP(B75,武器列表!$A$2:$H$55,2,FALSE))</f>
        <v>请选择武器</v>
      </c>
      <c r="I75" s="625"/>
      <c r="J75" s="625"/>
      <c r="K75" s="625"/>
      <c r="L75" s="625"/>
      <c r="M75" s="626"/>
      <c r="N75" s="626"/>
      <c r="O75" s="626">
        <f>INT(M75/2)</f>
        <v>0</v>
      </c>
      <c r="P75" s="626"/>
      <c r="Q75" s="626">
        <f>INT(M75/5)</f>
        <v>0</v>
      </c>
      <c r="R75" s="626"/>
      <c r="S75" s="572" t="str">
        <f>IF(B75=0,"请选择武器",VLOOKUP(B75,武器列表!A4:H106,3,FALSE))</f>
        <v>请选择武器</v>
      </c>
      <c r="T75" s="625"/>
      <c r="U75" s="625"/>
      <c r="V75" s="625"/>
      <c r="W75" s="625"/>
      <c r="X75" s="625"/>
      <c r="Y75" s="626" t="str">
        <f>IF(B75=0," ",VLOOKUP(B75,武器列表!A2:H55,4,FALSE))</f>
        <v> </v>
      </c>
      <c r="Z75" s="626"/>
      <c r="AA75" s="626"/>
      <c r="AB75" s="626" t="str">
        <f>IF(B75=0," ",VLOOKUP(B75,武器列表!A2:H55,5,FALSE))</f>
        <v> </v>
      </c>
      <c r="AC75" s="626"/>
      <c r="AD75" s="626"/>
      <c r="AE75" s="626"/>
      <c r="AF75" s="626" t="str">
        <f>IF(B75=0," ",VLOOKUP(B75,武器列表!A2:H55,6,FALSE))</f>
        <v> </v>
      </c>
      <c r="AG75" s="626"/>
      <c r="AH75" s="626"/>
      <c r="AI75" s="626" t="str">
        <f>IF(B75=0," ",VLOOKUP(B75,武器列表!A2:H55,7,FALSE))</f>
        <v> </v>
      </c>
      <c r="AJ75" s="626"/>
      <c r="AK75" s="626"/>
      <c r="AL75" s="626"/>
      <c r="AM75" s="626" t="str">
        <f>IF(B75=0," ",VLOOKUP(B75,武器列表!A2:H55,8,FALSE))</f>
        <v> </v>
      </c>
      <c r="AN75" s="626"/>
      <c r="AO75" s="696"/>
      <c r="AR75" s="697"/>
      <c r="AS75" s="698"/>
      <c r="AT75" s="698"/>
      <c r="AU75" s="698"/>
      <c r="AV75" s="699"/>
      <c r="AW75" s="699"/>
      <c r="AX75" s="720">
        <f>X38</f>
        <v>0</v>
      </c>
      <c r="AY75" s="721"/>
      <c r="AZ75" s="721"/>
      <c r="BA75" s="722"/>
      <c r="BB75" s="348"/>
      <c r="BC75" s="348"/>
    </row>
    <row r="76" customHeight="1" spans="2:55">
      <c r="B76" s="573" t="s">
        <v>162</v>
      </c>
      <c r="C76" s="573"/>
      <c r="D76" s="573"/>
      <c r="E76" s="573"/>
      <c r="F76" s="573"/>
      <c r="G76" s="573"/>
      <c r="H76" s="573"/>
      <c r="I76" s="573"/>
      <c r="J76" s="573"/>
      <c r="K76" s="573"/>
      <c r="L76" s="573"/>
      <c r="M76" s="573"/>
      <c r="N76" s="573"/>
      <c r="O76" s="573"/>
      <c r="P76" s="573"/>
      <c r="Q76" s="573"/>
      <c r="R76" s="573"/>
      <c r="S76" s="573"/>
      <c r="T76" s="573"/>
      <c r="U76" s="573"/>
      <c r="V76" s="573"/>
      <c r="W76" s="573"/>
      <c r="X76" s="573"/>
      <c r="Y76" s="573"/>
      <c r="Z76" s="573"/>
      <c r="AA76" s="573"/>
      <c r="AB76" s="573"/>
      <c r="AC76" s="573"/>
      <c r="AD76" s="573"/>
      <c r="AE76" s="573"/>
      <c r="AF76" s="573"/>
      <c r="AG76" s="573"/>
      <c r="AH76" s="573"/>
      <c r="AI76" s="573"/>
      <c r="AJ76" s="573"/>
      <c r="AK76" s="573"/>
      <c r="AL76" s="573"/>
      <c r="AM76" s="573"/>
      <c r="AN76" s="573"/>
      <c r="AO76" s="573"/>
      <c r="AP76" s="573"/>
      <c r="AQ76" s="573"/>
      <c r="AR76" s="573"/>
      <c r="AS76" s="573"/>
      <c r="AT76" s="573"/>
      <c r="AU76" s="573"/>
      <c r="AV76" s="573"/>
      <c r="AW76" s="573"/>
      <c r="AX76" s="573"/>
      <c r="AY76" s="573"/>
      <c r="AZ76" s="573"/>
      <c r="BA76" s="573"/>
      <c r="BB76" s="501"/>
      <c r="BC76" s="501"/>
    </row>
    <row r="78" customHeight="1" spans="2:55">
      <c r="B78" s="574" t="s">
        <v>163</v>
      </c>
      <c r="C78" s="575"/>
      <c r="D78" s="576"/>
      <c r="E78" s="576"/>
      <c r="F78" s="576"/>
      <c r="G78" s="576"/>
      <c r="H78" s="576"/>
      <c r="I78" s="576"/>
      <c r="J78" s="576"/>
      <c r="K78" s="576"/>
      <c r="L78" s="576"/>
      <c r="M78" s="576"/>
      <c r="N78" s="576"/>
      <c r="O78" s="576"/>
      <c r="P78" s="576"/>
      <c r="Q78" s="576"/>
      <c r="R78" s="576"/>
      <c r="S78" s="576"/>
      <c r="T78" s="576"/>
      <c r="U78" s="576"/>
      <c r="V78" s="576"/>
      <c r="W78" s="576"/>
      <c r="X78" s="632"/>
      <c r="Z78" s="574" t="s">
        <v>164</v>
      </c>
      <c r="AA78" s="576"/>
      <c r="AB78" s="576"/>
      <c r="AC78" s="576"/>
      <c r="AD78" s="576"/>
      <c r="AE78" s="576"/>
      <c r="AF78" s="576"/>
      <c r="AG78" s="576"/>
      <c r="AH78" s="576"/>
      <c r="AI78" s="576"/>
      <c r="AJ78" s="576"/>
      <c r="AK78" s="576"/>
      <c r="AL78" s="576"/>
      <c r="AM78" s="576"/>
      <c r="AN78" s="576"/>
      <c r="AO78" s="576"/>
      <c r="AP78" s="576"/>
      <c r="AQ78" s="576"/>
      <c r="AR78" s="576"/>
      <c r="AS78" s="576"/>
      <c r="AT78" s="576"/>
      <c r="AU78" s="576"/>
      <c r="AV78" s="576"/>
      <c r="AW78" s="576"/>
      <c r="AX78" s="576"/>
      <c r="AY78" s="576"/>
      <c r="AZ78" s="576"/>
      <c r="BA78" s="632"/>
      <c r="BB78" s="547"/>
      <c r="BC78" s="547"/>
    </row>
    <row r="79" customHeight="1" spans="2:55">
      <c r="B79" s="577" t="str">
        <f>"信用评级："&amp;T36&amp;"% / "&amp;V36&amp;"% / "&amp;X36&amp;"%"</f>
        <v>信用评级：0% / 0% / 0%</v>
      </c>
      <c r="C79" s="578"/>
      <c r="D79" s="578"/>
      <c r="E79" s="578"/>
      <c r="F79" s="578"/>
      <c r="G79" s="578"/>
      <c r="H79" s="578"/>
      <c r="I79" s="578"/>
      <c r="J79" s="578"/>
      <c r="K79" s="578"/>
      <c r="L79" s="578"/>
      <c r="M79" s="578"/>
      <c r="N79" s="578"/>
      <c r="O79" s="627"/>
      <c r="P79" s="627" t="str">
        <f>"生活水平："&amp;LOOKUP(T36,{0,1,10,50,90,99},{"身无分文","贫穷","标准","小康","富裕","富豪"})</f>
        <v>生活水平：身无分文</v>
      </c>
      <c r="Q79" s="627"/>
      <c r="R79" s="578"/>
      <c r="S79" s="578"/>
      <c r="T79" s="578"/>
      <c r="U79" s="578"/>
      <c r="V79" s="578"/>
      <c r="W79" s="578"/>
      <c r="X79" s="633"/>
      <c r="Z79" s="654" t="s">
        <v>165</v>
      </c>
      <c r="AA79" s="655"/>
      <c r="AB79" s="655"/>
      <c r="AC79" s="655"/>
      <c r="AD79" s="655"/>
      <c r="AE79" s="655"/>
      <c r="AF79" s="656"/>
      <c r="AG79" s="676"/>
      <c r="AH79" s="676"/>
      <c r="AI79" s="676"/>
      <c r="AJ79" s="676"/>
      <c r="AK79" s="676"/>
      <c r="AL79" s="676"/>
      <c r="AM79" s="676"/>
      <c r="AN79" s="676"/>
      <c r="AO79" s="676"/>
      <c r="AP79" s="676"/>
      <c r="AQ79" s="676"/>
      <c r="AR79" s="676"/>
      <c r="AS79" s="676"/>
      <c r="AT79" s="676"/>
      <c r="AU79" s="676"/>
      <c r="AV79" s="676"/>
      <c r="AW79" s="676"/>
      <c r="AX79" s="676"/>
      <c r="AY79" s="676"/>
      <c r="AZ79" s="676"/>
      <c r="BA79" s="723"/>
      <c r="BB79" s="724"/>
      <c r="BC79" s="724"/>
    </row>
    <row r="80" customHeight="1" spans="2:55">
      <c r="B80" s="579" t="s">
        <v>166</v>
      </c>
      <c r="C80" s="580"/>
      <c r="D80" s="581"/>
      <c r="E80" s="582"/>
      <c r="F80" s="582"/>
      <c r="G80" s="582"/>
      <c r="H80" s="582"/>
      <c r="I80" s="582"/>
      <c r="J80" s="582"/>
      <c r="K80" s="582"/>
      <c r="L80" s="582"/>
      <c r="M80" s="582"/>
      <c r="N80" s="628" t="s">
        <v>167</v>
      </c>
      <c r="O80" s="628"/>
      <c r="P80" s="628"/>
      <c r="Q80" s="634"/>
      <c r="R80" s="634"/>
      <c r="S80" s="634"/>
      <c r="T80" s="634"/>
      <c r="U80" s="634"/>
      <c r="V80" s="634"/>
      <c r="W80" s="634"/>
      <c r="X80" s="635"/>
      <c r="Z80" s="654"/>
      <c r="AA80" s="655"/>
      <c r="AB80" s="655"/>
      <c r="AC80" s="655"/>
      <c r="AD80" s="655"/>
      <c r="AE80" s="655"/>
      <c r="AF80" s="657"/>
      <c r="AG80" s="677"/>
      <c r="AH80" s="677"/>
      <c r="AI80" s="677"/>
      <c r="AJ80" s="677"/>
      <c r="AK80" s="677"/>
      <c r="AL80" s="677"/>
      <c r="AM80" s="677"/>
      <c r="AN80" s="677"/>
      <c r="AO80" s="677"/>
      <c r="AP80" s="677"/>
      <c r="AQ80" s="677"/>
      <c r="AR80" s="677"/>
      <c r="AS80" s="677"/>
      <c r="AT80" s="677"/>
      <c r="AU80" s="677"/>
      <c r="AV80" s="677"/>
      <c r="AW80" s="677"/>
      <c r="AX80" s="677"/>
      <c r="AY80" s="677"/>
      <c r="AZ80" s="677"/>
      <c r="BA80" s="725"/>
      <c r="BB80" s="724"/>
      <c r="BC80" s="724"/>
    </row>
    <row r="81" customHeight="1" spans="2:55">
      <c r="B81" s="583"/>
      <c r="C81" s="584"/>
      <c r="D81" s="584"/>
      <c r="E81" s="584"/>
      <c r="F81" s="584"/>
      <c r="G81" s="584"/>
      <c r="H81" s="584"/>
      <c r="I81" s="584"/>
      <c r="J81" s="584"/>
      <c r="K81" s="584"/>
      <c r="L81" s="584"/>
      <c r="M81" s="584"/>
      <c r="N81" s="584"/>
      <c r="O81" s="586"/>
      <c r="P81" s="586"/>
      <c r="Q81" s="586"/>
      <c r="R81" s="584"/>
      <c r="S81" s="584"/>
      <c r="T81" s="584"/>
      <c r="U81" s="584"/>
      <c r="V81" s="584"/>
      <c r="W81" s="584"/>
      <c r="X81" s="636"/>
      <c r="Z81" s="658" t="s">
        <v>168</v>
      </c>
      <c r="AA81" s="659"/>
      <c r="AB81" s="659"/>
      <c r="AC81" s="659"/>
      <c r="AD81" s="659"/>
      <c r="AE81" s="659"/>
      <c r="AF81" s="660"/>
      <c r="AG81" s="678"/>
      <c r="AH81" s="678"/>
      <c r="AI81" s="678"/>
      <c r="AJ81" s="678"/>
      <c r="AK81" s="678"/>
      <c r="AL81" s="678"/>
      <c r="AM81" s="678"/>
      <c r="AN81" s="678"/>
      <c r="AO81" s="678"/>
      <c r="AP81" s="678"/>
      <c r="AQ81" s="678"/>
      <c r="AR81" s="678"/>
      <c r="AS81" s="678"/>
      <c r="AT81" s="678"/>
      <c r="AU81" s="678"/>
      <c r="AV81" s="678"/>
      <c r="AW81" s="678"/>
      <c r="AX81" s="678"/>
      <c r="AY81" s="678"/>
      <c r="AZ81" s="678"/>
      <c r="BA81" s="726"/>
      <c r="BB81" s="727"/>
      <c r="BC81" s="727"/>
    </row>
    <row r="82" customHeight="1" spans="2:55">
      <c r="B82" s="585"/>
      <c r="C82" s="586"/>
      <c r="D82" s="586"/>
      <c r="E82" s="586"/>
      <c r="F82" s="586"/>
      <c r="G82" s="586"/>
      <c r="H82" s="586"/>
      <c r="I82" s="586"/>
      <c r="J82" s="586"/>
      <c r="K82" s="586"/>
      <c r="L82" s="586"/>
      <c r="M82" s="586"/>
      <c r="N82" s="586"/>
      <c r="O82" s="586"/>
      <c r="P82" s="586"/>
      <c r="Q82" s="586"/>
      <c r="R82" s="586"/>
      <c r="S82" s="586"/>
      <c r="T82" s="586"/>
      <c r="U82" s="586"/>
      <c r="V82" s="586"/>
      <c r="W82" s="586"/>
      <c r="X82" s="637"/>
      <c r="Z82" s="658"/>
      <c r="AA82" s="659"/>
      <c r="AB82" s="659"/>
      <c r="AC82" s="659"/>
      <c r="AD82" s="659"/>
      <c r="AE82" s="659"/>
      <c r="AF82" s="661"/>
      <c r="AG82" s="679"/>
      <c r="AH82" s="679"/>
      <c r="AI82" s="679"/>
      <c r="AJ82" s="679"/>
      <c r="AK82" s="679"/>
      <c r="AL82" s="679"/>
      <c r="AM82" s="679"/>
      <c r="AN82" s="679"/>
      <c r="AO82" s="679"/>
      <c r="AP82" s="679"/>
      <c r="AQ82" s="679"/>
      <c r="AR82" s="679"/>
      <c r="AS82" s="679"/>
      <c r="AT82" s="679"/>
      <c r="AU82" s="679"/>
      <c r="AV82" s="679"/>
      <c r="AW82" s="679"/>
      <c r="AX82" s="679"/>
      <c r="AY82" s="679"/>
      <c r="AZ82" s="679"/>
      <c r="BA82" s="728"/>
      <c r="BB82" s="727"/>
      <c r="BC82" s="727"/>
    </row>
    <row r="83" customHeight="1" spans="2:55">
      <c r="B83" s="585"/>
      <c r="C83" s="586"/>
      <c r="D83" s="586"/>
      <c r="E83" s="586"/>
      <c r="F83" s="586"/>
      <c r="G83" s="586"/>
      <c r="H83" s="586"/>
      <c r="I83" s="586"/>
      <c r="J83" s="586"/>
      <c r="K83" s="586"/>
      <c r="L83" s="586"/>
      <c r="M83" s="586"/>
      <c r="N83" s="586"/>
      <c r="O83" s="586"/>
      <c r="P83" s="586"/>
      <c r="Q83" s="586"/>
      <c r="R83" s="586"/>
      <c r="S83" s="586"/>
      <c r="T83" s="586"/>
      <c r="U83" s="586"/>
      <c r="V83" s="586"/>
      <c r="W83" s="586"/>
      <c r="X83" s="637"/>
      <c r="Z83" s="654" t="s">
        <v>169</v>
      </c>
      <c r="AA83" s="655"/>
      <c r="AB83" s="655"/>
      <c r="AC83" s="655"/>
      <c r="AD83" s="655"/>
      <c r="AE83" s="655"/>
      <c r="AF83" s="656"/>
      <c r="AG83" s="676"/>
      <c r="AH83" s="676"/>
      <c r="AI83" s="676"/>
      <c r="AJ83" s="676"/>
      <c r="AK83" s="676"/>
      <c r="AL83" s="676"/>
      <c r="AM83" s="676"/>
      <c r="AN83" s="676"/>
      <c r="AO83" s="676"/>
      <c r="AP83" s="676"/>
      <c r="AQ83" s="676"/>
      <c r="AR83" s="676"/>
      <c r="AS83" s="676"/>
      <c r="AT83" s="676"/>
      <c r="AU83" s="676"/>
      <c r="AV83" s="676"/>
      <c r="AW83" s="676"/>
      <c r="AX83" s="676"/>
      <c r="AY83" s="676"/>
      <c r="AZ83" s="676"/>
      <c r="BA83" s="723"/>
      <c r="BB83" s="724"/>
      <c r="BC83" s="724"/>
    </row>
    <row r="84" customHeight="1" spans="2:55">
      <c r="B84" s="587"/>
      <c r="C84" s="588"/>
      <c r="D84" s="588"/>
      <c r="E84" s="588"/>
      <c r="F84" s="588"/>
      <c r="G84" s="588"/>
      <c r="H84" s="588"/>
      <c r="I84" s="588"/>
      <c r="J84" s="588"/>
      <c r="K84" s="588"/>
      <c r="L84" s="588"/>
      <c r="M84" s="588"/>
      <c r="N84" s="588"/>
      <c r="O84" s="588"/>
      <c r="P84" s="588"/>
      <c r="Q84" s="588"/>
      <c r="R84" s="588"/>
      <c r="S84" s="588"/>
      <c r="T84" s="588"/>
      <c r="U84" s="588"/>
      <c r="V84" s="588"/>
      <c r="W84" s="588"/>
      <c r="X84" s="638"/>
      <c r="Z84" s="654"/>
      <c r="AA84" s="655"/>
      <c r="AB84" s="655"/>
      <c r="AC84" s="655"/>
      <c r="AD84" s="655"/>
      <c r="AE84" s="655"/>
      <c r="AF84" s="657"/>
      <c r="AG84" s="677"/>
      <c r="AH84" s="677"/>
      <c r="AI84" s="677"/>
      <c r="AJ84" s="677"/>
      <c r="AK84" s="677"/>
      <c r="AL84" s="677"/>
      <c r="AM84" s="677"/>
      <c r="AN84" s="677"/>
      <c r="AO84" s="677"/>
      <c r="AP84" s="677"/>
      <c r="AQ84" s="677"/>
      <c r="AR84" s="677"/>
      <c r="AS84" s="677"/>
      <c r="AT84" s="677"/>
      <c r="AU84" s="677"/>
      <c r="AV84" s="677"/>
      <c r="AW84" s="677"/>
      <c r="AX84" s="677"/>
      <c r="AY84" s="677"/>
      <c r="AZ84" s="677"/>
      <c r="BA84" s="725"/>
      <c r="BB84" s="724"/>
      <c r="BC84" s="724"/>
    </row>
    <row r="85" customHeight="1" spans="2:55">
      <c r="B85" s="514"/>
      <c r="C85" s="514"/>
      <c r="D85" s="514"/>
      <c r="E85" s="514"/>
      <c r="F85" s="514"/>
      <c r="G85" s="514"/>
      <c r="H85" s="514"/>
      <c r="I85" s="514"/>
      <c r="J85" s="514"/>
      <c r="K85" s="514"/>
      <c r="L85" s="514"/>
      <c r="M85" s="514"/>
      <c r="N85" s="514"/>
      <c r="O85" s="514"/>
      <c r="P85" s="514"/>
      <c r="Q85" s="514"/>
      <c r="R85" s="514"/>
      <c r="S85" s="514"/>
      <c r="T85" s="514"/>
      <c r="U85" s="514"/>
      <c r="V85" s="514"/>
      <c r="W85" s="514"/>
      <c r="X85" s="514"/>
      <c r="Z85" s="658" t="s">
        <v>170</v>
      </c>
      <c r="AA85" s="659"/>
      <c r="AB85" s="659"/>
      <c r="AC85" s="659"/>
      <c r="AD85" s="659"/>
      <c r="AE85" s="659"/>
      <c r="AF85" s="660"/>
      <c r="AG85" s="678"/>
      <c r="AH85" s="678"/>
      <c r="AI85" s="678"/>
      <c r="AJ85" s="678"/>
      <c r="AK85" s="678"/>
      <c r="AL85" s="678"/>
      <c r="AM85" s="678"/>
      <c r="AN85" s="678"/>
      <c r="AO85" s="678"/>
      <c r="AP85" s="678"/>
      <c r="AQ85" s="678"/>
      <c r="AR85" s="678"/>
      <c r="AS85" s="678"/>
      <c r="AT85" s="678"/>
      <c r="AU85" s="678"/>
      <c r="AV85" s="678"/>
      <c r="AW85" s="678"/>
      <c r="AX85" s="678"/>
      <c r="AY85" s="678"/>
      <c r="AZ85" s="678"/>
      <c r="BA85" s="726"/>
      <c r="BB85" s="727"/>
      <c r="BC85" s="727"/>
    </row>
    <row r="86" customHeight="1" spans="2:55">
      <c r="B86" s="269" t="s">
        <v>171</v>
      </c>
      <c r="C86" s="270"/>
      <c r="D86" s="270"/>
      <c r="E86" s="270"/>
      <c r="F86" s="270"/>
      <c r="G86" s="270"/>
      <c r="H86" s="270"/>
      <c r="I86" s="270"/>
      <c r="J86" s="270"/>
      <c r="K86" s="270"/>
      <c r="L86" s="270"/>
      <c r="M86" s="270"/>
      <c r="N86" s="270"/>
      <c r="O86" s="270"/>
      <c r="P86" s="270"/>
      <c r="Q86" s="270"/>
      <c r="R86" s="270"/>
      <c r="S86" s="270"/>
      <c r="T86" s="270"/>
      <c r="U86" s="270"/>
      <c r="V86" s="270"/>
      <c r="W86" s="270"/>
      <c r="X86" s="315"/>
      <c r="Z86" s="658"/>
      <c r="AA86" s="659"/>
      <c r="AB86" s="659"/>
      <c r="AC86" s="659"/>
      <c r="AD86" s="659"/>
      <c r="AE86" s="659"/>
      <c r="AF86" s="661"/>
      <c r="AG86" s="679"/>
      <c r="AH86" s="679"/>
      <c r="AI86" s="679"/>
      <c r="AJ86" s="679"/>
      <c r="AK86" s="679"/>
      <c r="AL86" s="679"/>
      <c r="AM86" s="679"/>
      <c r="AN86" s="679"/>
      <c r="AO86" s="679"/>
      <c r="AP86" s="679"/>
      <c r="AQ86" s="679"/>
      <c r="AR86" s="679"/>
      <c r="AS86" s="679"/>
      <c r="AT86" s="679"/>
      <c r="AU86" s="679"/>
      <c r="AV86" s="679"/>
      <c r="AW86" s="679"/>
      <c r="AX86" s="679"/>
      <c r="AY86" s="679"/>
      <c r="AZ86" s="679"/>
      <c r="BA86" s="728"/>
      <c r="BB86" s="727"/>
      <c r="BC86" s="727"/>
    </row>
    <row r="87" customHeight="1" spans="2:55">
      <c r="B87" s="589"/>
      <c r="C87" s="590"/>
      <c r="D87" s="590"/>
      <c r="E87" s="590"/>
      <c r="F87" s="590"/>
      <c r="G87" s="590"/>
      <c r="H87" s="590"/>
      <c r="I87" s="590"/>
      <c r="J87" s="590"/>
      <c r="K87" s="590"/>
      <c r="L87" s="590"/>
      <c r="M87" s="590"/>
      <c r="N87" s="590"/>
      <c r="O87" s="590"/>
      <c r="P87" s="590"/>
      <c r="Q87" s="590"/>
      <c r="R87" s="590"/>
      <c r="S87" s="590"/>
      <c r="T87" s="590"/>
      <c r="U87" s="590"/>
      <c r="V87" s="590"/>
      <c r="W87" s="590"/>
      <c r="X87" s="639"/>
      <c r="Z87" s="654" t="s">
        <v>172</v>
      </c>
      <c r="AA87" s="655"/>
      <c r="AB87" s="655"/>
      <c r="AC87" s="655"/>
      <c r="AD87" s="655"/>
      <c r="AE87" s="655"/>
      <c r="AF87" s="656"/>
      <c r="AG87" s="676"/>
      <c r="AH87" s="676"/>
      <c r="AI87" s="676"/>
      <c r="AJ87" s="676"/>
      <c r="AK87" s="676"/>
      <c r="AL87" s="676"/>
      <c r="AM87" s="676"/>
      <c r="AN87" s="676"/>
      <c r="AO87" s="676"/>
      <c r="AP87" s="676"/>
      <c r="AQ87" s="676"/>
      <c r="AR87" s="676"/>
      <c r="AS87" s="676"/>
      <c r="AT87" s="676"/>
      <c r="AU87" s="676"/>
      <c r="AV87" s="676"/>
      <c r="AW87" s="676"/>
      <c r="AX87" s="676"/>
      <c r="AY87" s="676"/>
      <c r="AZ87" s="676"/>
      <c r="BA87" s="723"/>
      <c r="BB87" s="724"/>
      <c r="BC87" s="724"/>
    </row>
    <row r="88" customHeight="1" spans="2:55">
      <c r="B88" s="591"/>
      <c r="C88" s="592"/>
      <c r="D88" s="592"/>
      <c r="E88" s="592"/>
      <c r="F88" s="592"/>
      <c r="G88" s="592"/>
      <c r="H88" s="592"/>
      <c r="I88" s="592"/>
      <c r="J88" s="592"/>
      <c r="K88" s="592"/>
      <c r="L88" s="592"/>
      <c r="M88" s="592"/>
      <c r="N88" s="592"/>
      <c r="O88" s="592"/>
      <c r="P88" s="592"/>
      <c r="Q88" s="592"/>
      <c r="R88" s="592"/>
      <c r="S88" s="592"/>
      <c r="T88" s="592"/>
      <c r="U88" s="592"/>
      <c r="V88" s="592"/>
      <c r="W88" s="592"/>
      <c r="X88" s="640"/>
      <c r="Z88" s="654"/>
      <c r="AA88" s="655"/>
      <c r="AB88" s="655"/>
      <c r="AC88" s="655"/>
      <c r="AD88" s="655"/>
      <c r="AE88" s="655"/>
      <c r="AF88" s="657"/>
      <c r="AG88" s="677"/>
      <c r="AH88" s="677"/>
      <c r="AI88" s="677"/>
      <c r="AJ88" s="677"/>
      <c r="AK88" s="677"/>
      <c r="AL88" s="677"/>
      <c r="AM88" s="677"/>
      <c r="AN88" s="677"/>
      <c r="AO88" s="677"/>
      <c r="AP88" s="677"/>
      <c r="AQ88" s="677"/>
      <c r="AR88" s="677"/>
      <c r="AS88" s="677"/>
      <c r="AT88" s="677"/>
      <c r="AU88" s="677"/>
      <c r="AV88" s="677"/>
      <c r="AW88" s="677"/>
      <c r="AX88" s="677"/>
      <c r="AY88" s="677"/>
      <c r="AZ88" s="677"/>
      <c r="BA88" s="725"/>
      <c r="BB88" s="724"/>
      <c r="BC88" s="724"/>
    </row>
    <row r="89" customHeight="1" spans="2:55">
      <c r="B89" s="589"/>
      <c r="C89" s="590"/>
      <c r="D89" s="590"/>
      <c r="E89" s="590"/>
      <c r="F89" s="590"/>
      <c r="G89" s="590"/>
      <c r="H89" s="590"/>
      <c r="I89" s="590"/>
      <c r="J89" s="590"/>
      <c r="K89" s="590"/>
      <c r="L89" s="590"/>
      <c r="M89" s="590"/>
      <c r="N89" s="590"/>
      <c r="O89" s="590"/>
      <c r="P89" s="590"/>
      <c r="Q89" s="590"/>
      <c r="R89" s="590"/>
      <c r="S89" s="590"/>
      <c r="T89" s="590"/>
      <c r="U89" s="590"/>
      <c r="V89" s="590"/>
      <c r="W89" s="590"/>
      <c r="X89" s="639"/>
      <c r="Z89" s="658" t="s">
        <v>173</v>
      </c>
      <c r="AA89" s="659"/>
      <c r="AB89" s="659"/>
      <c r="AC89" s="659"/>
      <c r="AD89" s="659"/>
      <c r="AE89" s="659"/>
      <c r="AF89" s="660"/>
      <c r="AG89" s="678"/>
      <c r="AH89" s="678"/>
      <c r="AI89" s="678"/>
      <c r="AJ89" s="678"/>
      <c r="AK89" s="678"/>
      <c r="AL89" s="678"/>
      <c r="AM89" s="678"/>
      <c r="AN89" s="678"/>
      <c r="AO89" s="678"/>
      <c r="AP89" s="678"/>
      <c r="AQ89" s="678"/>
      <c r="AR89" s="678"/>
      <c r="AS89" s="678"/>
      <c r="AT89" s="678"/>
      <c r="AU89" s="678"/>
      <c r="AV89" s="678"/>
      <c r="AW89" s="678"/>
      <c r="AX89" s="678"/>
      <c r="AY89" s="678"/>
      <c r="AZ89" s="678"/>
      <c r="BA89" s="726"/>
      <c r="BB89" s="727"/>
      <c r="BC89" s="727"/>
    </row>
    <row r="90" customHeight="1" spans="2:55">
      <c r="B90" s="591"/>
      <c r="C90" s="592"/>
      <c r="D90" s="592"/>
      <c r="E90" s="592"/>
      <c r="F90" s="592"/>
      <c r="G90" s="592"/>
      <c r="H90" s="592"/>
      <c r="I90" s="592"/>
      <c r="J90" s="592"/>
      <c r="K90" s="592"/>
      <c r="L90" s="592"/>
      <c r="M90" s="592"/>
      <c r="N90" s="592"/>
      <c r="O90" s="592"/>
      <c r="P90" s="592"/>
      <c r="Q90" s="592"/>
      <c r="R90" s="592"/>
      <c r="S90" s="592"/>
      <c r="T90" s="592"/>
      <c r="U90" s="592"/>
      <c r="V90" s="592"/>
      <c r="W90" s="592"/>
      <c r="X90" s="640"/>
      <c r="Z90" s="658"/>
      <c r="AA90" s="659"/>
      <c r="AB90" s="659"/>
      <c r="AC90" s="659"/>
      <c r="AD90" s="659"/>
      <c r="AE90" s="659"/>
      <c r="AF90" s="661"/>
      <c r="AG90" s="679"/>
      <c r="AH90" s="679"/>
      <c r="AI90" s="679"/>
      <c r="AJ90" s="679"/>
      <c r="AK90" s="679"/>
      <c r="AL90" s="679"/>
      <c r="AM90" s="679"/>
      <c r="AN90" s="679"/>
      <c r="AO90" s="679"/>
      <c r="AP90" s="679"/>
      <c r="AQ90" s="679"/>
      <c r="AR90" s="679"/>
      <c r="AS90" s="679"/>
      <c r="AT90" s="679"/>
      <c r="AU90" s="679"/>
      <c r="AV90" s="679"/>
      <c r="AW90" s="679"/>
      <c r="AX90" s="679"/>
      <c r="AY90" s="679"/>
      <c r="AZ90" s="679"/>
      <c r="BA90" s="728"/>
      <c r="BB90" s="727"/>
      <c r="BC90" s="727"/>
    </row>
    <row r="91" customHeight="1" spans="2:55">
      <c r="B91" s="589"/>
      <c r="C91" s="590"/>
      <c r="D91" s="590"/>
      <c r="E91" s="590"/>
      <c r="F91" s="590"/>
      <c r="G91" s="590"/>
      <c r="H91" s="590"/>
      <c r="I91" s="590"/>
      <c r="J91" s="590"/>
      <c r="K91" s="590"/>
      <c r="L91" s="590"/>
      <c r="M91" s="590"/>
      <c r="N91" s="590"/>
      <c r="O91" s="590"/>
      <c r="P91" s="590"/>
      <c r="Q91" s="590"/>
      <c r="R91" s="590"/>
      <c r="S91" s="590"/>
      <c r="T91" s="590"/>
      <c r="U91" s="590"/>
      <c r="V91" s="590"/>
      <c r="W91" s="590"/>
      <c r="X91" s="639"/>
      <c r="Z91" s="654" t="s">
        <v>174</v>
      </c>
      <c r="AA91" s="655"/>
      <c r="AB91" s="655"/>
      <c r="AC91" s="655"/>
      <c r="AD91" s="655"/>
      <c r="AE91" s="655"/>
      <c r="AF91" s="656"/>
      <c r="AG91" s="676"/>
      <c r="AH91" s="676"/>
      <c r="AI91" s="676"/>
      <c r="AJ91" s="676"/>
      <c r="AK91" s="676"/>
      <c r="AL91" s="676"/>
      <c r="AM91" s="676"/>
      <c r="AN91" s="676"/>
      <c r="AO91" s="676"/>
      <c r="AP91" s="676"/>
      <c r="AQ91" s="676"/>
      <c r="AR91" s="676"/>
      <c r="AS91" s="676"/>
      <c r="AT91" s="676"/>
      <c r="AU91" s="676"/>
      <c r="AV91" s="676"/>
      <c r="AW91" s="676"/>
      <c r="AX91" s="676"/>
      <c r="AY91" s="676"/>
      <c r="AZ91" s="676"/>
      <c r="BA91" s="723"/>
      <c r="BB91" s="724"/>
      <c r="BC91" s="724"/>
    </row>
    <row r="92" customHeight="1" spans="2:55">
      <c r="B92" s="591"/>
      <c r="C92" s="592"/>
      <c r="D92" s="592"/>
      <c r="E92" s="592"/>
      <c r="F92" s="592"/>
      <c r="G92" s="592"/>
      <c r="H92" s="592"/>
      <c r="I92" s="592"/>
      <c r="J92" s="592"/>
      <c r="K92" s="592"/>
      <c r="L92" s="592"/>
      <c r="M92" s="592"/>
      <c r="N92" s="592"/>
      <c r="O92" s="592"/>
      <c r="P92" s="592"/>
      <c r="Q92" s="592"/>
      <c r="R92" s="592"/>
      <c r="S92" s="592"/>
      <c r="T92" s="592"/>
      <c r="U92" s="592"/>
      <c r="V92" s="592"/>
      <c r="W92" s="592"/>
      <c r="X92" s="640"/>
      <c r="Z92" s="654"/>
      <c r="AA92" s="655"/>
      <c r="AB92" s="655"/>
      <c r="AC92" s="655"/>
      <c r="AD92" s="655"/>
      <c r="AE92" s="655"/>
      <c r="AF92" s="657"/>
      <c r="AG92" s="677"/>
      <c r="AH92" s="677"/>
      <c r="AI92" s="677"/>
      <c r="AJ92" s="677"/>
      <c r="AK92" s="677"/>
      <c r="AL92" s="677"/>
      <c r="AM92" s="677"/>
      <c r="AN92" s="677"/>
      <c r="AO92" s="677"/>
      <c r="AP92" s="677"/>
      <c r="AQ92" s="677"/>
      <c r="AR92" s="677"/>
      <c r="AS92" s="677"/>
      <c r="AT92" s="677"/>
      <c r="AU92" s="677"/>
      <c r="AV92" s="677"/>
      <c r="AW92" s="677"/>
      <c r="AX92" s="677"/>
      <c r="AY92" s="677"/>
      <c r="AZ92" s="677"/>
      <c r="BA92" s="725"/>
      <c r="BB92" s="724"/>
      <c r="BC92" s="724"/>
    </row>
    <row r="93" customHeight="1" spans="2:55">
      <c r="B93" s="589"/>
      <c r="C93" s="590"/>
      <c r="D93" s="590"/>
      <c r="E93" s="590"/>
      <c r="F93" s="590"/>
      <c r="G93" s="590"/>
      <c r="H93" s="590"/>
      <c r="I93" s="590"/>
      <c r="J93" s="590"/>
      <c r="K93" s="590"/>
      <c r="L93" s="590"/>
      <c r="M93" s="590"/>
      <c r="N93" s="590"/>
      <c r="O93" s="590"/>
      <c r="P93" s="590"/>
      <c r="Q93" s="590"/>
      <c r="R93" s="590"/>
      <c r="S93" s="590"/>
      <c r="T93" s="590"/>
      <c r="U93" s="590"/>
      <c r="V93" s="590"/>
      <c r="W93" s="590"/>
      <c r="X93" s="639"/>
      <c r="Z93" s="658" t="s">
        <v>175</v>
      </c>
      <c r="AA93" s="659"/>
      <c r="AB93" s="659"/>
      <c r="AC93" s="659"/>
      <c r="AD93" s="659"/>
      <c r="AE93" s="659"/>
      <c r="AF93" s="660"/>
      <c r="AG93" s="678"/>
      <c r="AH93" s="678"/>
      <c r="AI93" s="678"/>
      <c r="AJ93" s="678"/>
      <c r="AK93" s="678"/>
      <c r="AL93" s="678"/>
      <c r="AM93" s="678"/>
      <c r="AN93" s="678"/>
      <c r="AO93" s="678"/>
      <c r="AP93" s="678"/>
      <c r="AQ93" s="678"/>
      <c r="AR93" s="678"/>
      <c r="AS93" s="678"/>
      <c r="AT93" s="678"/>
      <c r="AU93" s="678"/>
      <c r="AV93" s="678"/>
      <c r="AW93" s="678"/>
      <c r="AX93" s="678"/>
      <c r="AY93" s="678"/>
      <c r="AZ93" s="678"/>
      <c r="BA93" s="726"/>
      <c r="BB93" s="727"/>
      <c r="BC93" s="727"/>
    </row>
    <row r="94" customHeight="1" spans="2:55">
      <c r="B94" s="591"/>
      <c r="C94" s="592"/>
      <c r="D94" s="592"/>
      <c r="E94" s="592"/>
      <c r="F94" s="592"/>
      <c r="G94" s="592"/>
      <c r="H94" s="592"/>
      <c r="I94" s="592"/>
      <c r="J94" s="592"/>
      <c r="K94" s="592"/>
      <c r="L94" s="592"/>
      <c r="M94" s="592"/>
      <c r="N94" s="592"/>
      <c r="O94" s="592"/>
      <c r="P94" s="592"/>
      <c r="Q94" s="592"/>
      <c r="R94" s="592"/>
      <c r="S94" s="592"/>
      <c r="T94" s="592"/>
      <c r="U94" s="592"/>
      <c r="V94" s="592"/>
      <c r="W94" s="592"/>
      <c r="X94" s="640"/>
      <c r="Z94" s="658"/>
      <c r="AA94" s="659"/>
      <c r="AB94" s="659"/>
      <c r="AC94" s="659"/>
      <c r="AD94" s="659"/>
      <c r="AE94" s="659"/>
      <c r="AF94" s="661"/>
      <c r="AG94" s="679"/>
      <c r="AH94" s="679"/>
      <c r="AI94" s="679"/>
      <c r="AJ94" s="679"/>
      <c r="AK94" s="679"/>
      <c r="AL94" s="679"/>
      <c r="AM94" s="679"/>
      <c r="AN94" s="679"/>
      <c r="AO94" s="679"/>
      <c r="AP94" s="679"/>
      <c r="AQ94" s="679"/>
      <c r="AR94" s="679"/>
      <c r="AS94" s="679"/>
      <c r="AT94" s="679"/>
      <c r="AU94" s="679"/>
      <c r="AV94" s="679"/>
      <c r="AW94" s="679"/>
      <c r="AX94" s="679"/>
      <c r="AY94" s="679"/>
      <c r="AZ94" s="679"/>
      <c r="BA94" s="728"/>
      <c r="BB94" s="727"/>
      <c r="BC94" s="727"/>
    </row>
    <row r="95" customHeight="1" spans="2:55">
      <c r="B95" s="593"/>
      <c r="C95" s="594"/>
      <c r="D95" s="594"/>
      <c r="E95" s="594"/>
      <c r="F95" s="594"/>
      <c r="G95" s="594"/>
      <c r="H95" s="594"/>
      <c r="I95" s="594"/>
      <c r="J95" s="594"/>
      <c r="K95" s="594"/>
      <c r="L95" s="594"/>
      <c r="M95" s="594"/>
      <c r="N95" s="594"/>
      <c r="O95" s="594"/>
      <c r="P95" s="594"/>
      <c r="Q95" s="594"/>
      <c r="R95" s="594"/>
      <c r="S95" s="594"/>
      <c r="T95" s="594"/>
      <c r="U95" s="594"/>
      <c r="V95" s="594"/>
      <c r="W95" s="594"/>
      <c r="X95" s="641"/>
      <c r="Z95" s="662"/>
      <c r="AA95" s="663"/>
      <c r="AB95" s="663"/>
      <c r="AC95" s="663"/>
      <c r="AD95" s="663"/>
      <c r="AE95" s="663"/>
      <c r="AF95" s="663"/>
      <c r="AG95" s="663"/>
      <c r="AH95" s="663"/>
      <c r="AI95" s="663"/>
      <c r="AJ95" s="663"/>
      <c r="AK95" s="663"/>
      <c r="AL95" s="663"/>
      <c r="AM95" s="663"/>
      <c r="AN95" s="663"/>
      <c r="AO95" s="663"/>
      <c r="AP95" s="663"/>
      <c r="AQ95" s="663"/>
      <c r="AR95" s="663"/>
      <c r="AS95" s="663"/>
      <c r="AT95" s="663"/>
      <c r="AU95" s="663"/>
      <c r="AV95" s="663"/>
      <c r="AW95" s="663"/>
      <c r="AX95" s="663"/>
      <c r="AY95" s="663"/>
      <c r="AZ95" s="663"/>
      <c r="BA95" s="729"/>
      <c r="BB95" s="730"/>
      <c r="BC95" s="730"/>
    </row>
    <row r="96" customHeight="1" spans="2:55">
      <c r="B96" s="514"/>
      <c r="C96" s="514"/>
      <c r="D96" s="514"/>
      <c r="E96" s="514"/>
      <c r="F96" s="514"/>
      <c r="G96" s="514"/>
      <c r="H96" s="514"/>
      <c r="I96" s="514"/>
      <c r="J96" s="514"/>
      <c r="K96" s="514"/>
      <c r="L96" s="514"/>
      <c r="M96" s="514"/>
      <c r="N96" s="514"/>
      <c r="O96" s="514"/>
      <c r="P96" s="514"/>
      <c r="Q96" s="514"/>
      <c r="R96" s="514"/>
      <c r="S96" s="514"/>
      <c r="T96" s="514"/>
      <c r="U96" s="514"/>
      <c r="V96" s="514"/>
      <c r="W96" s="514"/>
      <c r="X96" s="514"/>
      <c r="Z96" s="662"/>
      <c r="AA96" s="663"/>
      <c r="AB96" s="663"/>
      <c r="AC96" s="663"/>
      <c r="AD96" s="663"/>
      <c r="AE96" s="663"/>
      <c r="AF96" s="663"/>
      <c r="AG96" s="663"/>
      <c r="AH96" s="663"/>
      <c r="AI96" s="663"/>
      <c r="AJ96" s="663"/>
      <c r="AK96" s="663"/>
      <c r="AL96" s="663"/>
      <c r="AM96" s="663"/>
      <c r="AN96" s="663"/>
      <c r="AO96" s="663"/>
      <c r="AP96" s="663"/>
      <c r="AQ96" s="663"/>
      <c r="AR96" s="663"/>
      <c r="AS96" s="663"/>
      <c r="AT96" s="663"/>
      <c r="AU96" s="663"/>
      <c r="AV96" s="663"/>
      <c r="AW96" s="663"/>
      <c r="AX96" s="663"/>
      <c r="AY96" s="663"/>
      <c r="AZ96" s="663"/>
      <c r="BA96" s="729"/>
      <c r="BB96" s="730"/>
      <c r="BC96" s="730"/>
    </row>
    <row r="97" customHeight="1" spans="2:55">
      <c r="B97" s="269" t="s">
        <v>176</v>
      </c>
      <c r="C97" s="270"/>
      <c r="D97" s="270"/>
      <c r="E97" s="270"/>
      <c r="F97" s="270"/>
      <c r="G97" s="270"/>
      <c r="H97" s="270"/>
      <c r="I97" s="270"/>
      <c r="J97" s="270"/>
      <c r="K97" s="270"/>
      <c r="L97" s="270"/>
      <c r="M97" s="270"/>
      <c r="N97" s="270"/>
      <c r="O97" s="270"/>
      <c r="P97" s="270"/>
      <c r="Q97" s="270"/>
      <c r="R97" s="270"/>
      <c r="S97" s="270"/>
      <c r="T97" s="270"/>
      <c r="U97" s="270"/>
      <c r="V97" s="270"/>
      <c r="W97" s="270"/>
      <c r="X97" s="315"/>
      <c r="Z97" s="662"/>
      <c r="AA97" s="663"/>
      <c r="AB97" s="663"/>
      <c r="AC97" s="663"/>
      <c r="AD97" s="663"/>
      <c r="AE97" s="663"/>
      <c r="AF97" s="663"/>
      <c r="AG97" s="663"/>
      <c r="AH97" s="663"/>
      <c r="AI97" s="663"/>
      <c r="AJ97" s="663"/>
      <c r="AK97" s="663"/>
      <c r="AL97" s="663"/>
      <c r="AM97" s="663"/>
      <c r="AN97" s="663"/>
      <c r="AO97" s="663"/>
      <c r="AP97" s="663"/>
      <c r="AQ97" s="663"/>
      <c r="AR97" s="663"/>
      <c r="AS97" s="663"/>
      <c r="AT97" s="663"/>
      <c r="AU97" s="663"/>
      <c r="AV97" s="663"/>
      <c r="AW97" s="663"/>
      <c r="AX97" s="663"/>
      <c r="AY97" s="663"/>
      <c r="AZ97" s="663"/>
      <c r="BA97" s="729"/>
      <c r="BB97" s="730"/>
      <c r="BC97" s="730"/>
    </row>
    <row r="98" customHeight="1" spans="2:55">
      <c r="B98" s="595"/>
      <c r="C98" s="596"/>
      <c r="D98" s="596"/>
      <c r="E98" s="596"/>
      <c r="F98" s="596"/>
      <c r="G98" s="596"/>
      <c r="H98" s="596"/>
      <c r="I98" s="596"/>
      <c r="J98" s="596"/>
      <c r="K98" s="596"/>
      <c r="L98" s="596"/>
      <c r="M98" s="596"/>
      <c r="N98" s="596"/>
      <c r="O98" s="596"/>
      <c r="P98" s="596"/>
      <c r="Q98" s="596"/>
      <c r="R98" s="596"/>
      <c r="S98" s="596"/>
      <c r="T98" s="596"/>
      <c r="U98" s="596"/>
      <c r="V98" s="596"/>
      <c r="W98" s="596"/>
      <c r="X98" s="642"/>
      <c r="Z98" s="662"/>
      <c r="AA98" s="663"/>
      <c r="AB98" s="663"/>
      <c r="AC98" s="663"/>
      <c r="AD98" s="663"/>
      <c r="AE98" s="663"/>
      <c r="AF98" s="663"/>
      <c r="AG98" s="663"/>
      <c r="AH98" s="663"/>
      <c r="AI98" s="663"/>
      <c r="AJ98" s="663"/>
      <c r="AK98" s="663"/>
      <c r="AL98" s="663"/>
      <c r="AM98" s="663"/>
      <c r="AN98" s="663"/>
      <c r="AO98" s="663"/>
      <c r="AP98" s="663"/>
      <c r="AQ98" s="663"/>
      <c r="AR98" s="663"/>
      <c r="AS98" s="663"/>
      <c r="AT98" s="663"/>
      <c r="AU98" s="663"/>
      <c r="AV98" s="663"/>
      <c r="AW98" s="663"/>
      <c r="AX98" s="663"/>
      <c r="AY98" s="663"/>
      <c r="AZ98" s="663"/>
      <c r="BA98" s="729"/>
      <c r="BB98" s="730"/>
      <c r="BC98" s="730"/>
    </row>
    <row r="99" customHeight="1" spans="2:55">
      <c r="B99" s="595"/>
      <c r="C99" s="596"/>
      <c r="D99" s="596"/>
      <c r="E99" s="596"/>
      <c r="F99" s="596"/>
      <c r="G99" s="596"/>
      <c r="H99" s="596"/>
      <c r="I99" s="596"/>
      <c r="J99" s="596"/>
      <c r="K99" s="596"/>
      <c r="L99" s="596"/>
      <c r="M99" s="596"/>
      <c r="N99" s="596"/>
      <c r="O99" s="596"/>
      <c r="P99" s="596"/>
      <c r="Q99" s="596"/>
      <c r="R99" s="596"/>
      <c r="S99" s="596"/>
      <c r="T99" s="596"/>
      <c r="U99" s="596"/>
      <c r="V99" s="596"/>
      <c r="W99" s="596"/>
      <c r="X99" s="642"/>
      <c r="Z99" s="662"/>
      <c r="AA99" s="663"/>
      <c r="AB99" s="663"/>
      <c r="AC99" s="663"/>
      <c r="AD99" s="663"/>
      <c r="AE99" s="663"/>
      <c r="AF99" s="663"/>
      <c r="AG99" s="663"/>
      <c r="AH99" s="663"/>
      <c r="AI99" s="663"/>
      <c r="AJ99" s="663"/>
      <c r="AK99" s="663"/>
      <c r="AL99" s="663"/>
      <c r="AM99" s="663"/>
      <c r="AN99" s="663"/>
      <c r="AO99" s="663"/>
      <c r="AP99" s="663"/>
      <c r="AQ99" s="663"/>
      <c r="AR99" s="663"/>
      <c r="AS99" s="663"/>
      <c r="AT99" s="663"/>
      <c r="AU99" s="663"/>
      <c r="AV99" s="663"/>
      <c r="AW99" s="663"/>
      <c r="AX99" s="663"/>
      <c r="AY99" s="663"/>
      <c r="AZ99" s="663"/>
      <c r="BA99" s="729"/>
      <c r="BB99" s="730"/>
      <c r="BC99" s="730"/>
    </row>
    <row r="100" customHeight="1" spans="2:55">
      <c r="B100" s="595"/>
      <c r="C100" s="596"/>
      <c r="D100" s="596"/>
      <c r="E100" s="596"/>
      <c r="F100" s="596"/>
      <c r="G100" s="596"/>
      <c r="H100" s="596"/>
      <c r="I100" s="596"/>
      <c r="J100" s="596"/>
      <c r="K100" s="596"/>
      <c r="L100" s="596"/>
      <c r="M100" s="596"/>
      <c r="N100" s="596"/>
      <c r="O100" s="596"/>
      <c r="P100" s="596"/>
      <c r="Q100" s="596"/>
      <c r="R100" s="596"/>
      <c r="S100" s="596"/>
      <c r="T100" s="596"/>
      <c r="U100" s="596"/>
      <c r="V100" s="596"/>
      <c r="W100" s="596"/>
      <c r="X100" s="642"/>
      <c r="Z100" s="662"/>
      <c r="AA100" s="663"/>
      <c r="AB100" s="663"/>
      <c r="AC100" s="663"/>
      <c r="AD100" s="663"/>
      <c r="AE100" s="663"/>
      <c r="AF100" s="663"/>
      <c r="AG100" s="663"/>
      <c r="AH100" s="663"/>
      <c r="AI100" s="663"/>
      <c r="AJ100" s="663"/>
      <c r="AK100" s="663"/>
      <c r="AL100" s="663"/>
      <c r="AM100" s="663"/>
      <c r="AN100" s="663"/>
      <c r="AO100" s="663"/>
      <c r="AP100" s="663"/>
      <c r="AQ100" s="663"/>
      <c r="AR100" s="663"/>
      <c r="AS100" s="663"/>
      <c r="AT100" s="663"/>
      <c r="AU100" s="663"/>
      <c r="AV100" s="663"/>
      <c r="AW100" s="663"/>
      <c r="AX100" s="663"/>
      <c r="AY100" s="663"/>
      <c r="AZ100" s="663"/>
      <c r="BA100" s="729"/>
      <c r="BB100" s="730"/>
      <c r="BC100" s="730"/>
    </row>
    <row r="101" customHeight="1" spans="2:55">
      <c r="B101" s="595"/>
      <c r="C101" s="596"/>
      <c r="D101" s="596"/>
      <c r="E101" s="596"/>
      <c r="F101" s="596"/>
      <c r="G101" s="596"/>
      <c r="H101" s="596"/>
      <c r="I101" s="596"/>
      <c r="J101" s="596"/>
      <c r="K101" s="596"/>
      <c r="L101" s="596"/>
      <c r="M101" s="596"/>
      <c r="N101" s="596"/>
      <c r="O101" s="596"/>
      <c r="P101" s="596"/>
      <c r="Q101" s="596"/>
      <c r="R101" s="596"/>
      <c r="S101" s="596"/>
      <c r="T101" s="596"/>
      <c r="U101" s="596"/>
      <c r="V101" s="596"/>
      <c r="W101" s="596"/>
      <c r="X101" s="642"/>
      <c r="Z101" s="662"/>
      <c r="AA101" s="663"/>
      <c r="AB101" s="663"/>
      <c r="AC101" s="663"/>
      <c r="AD101" s="663"/>
      <c r="AE101" s="663"/>
      <c r="AF101" s="663"/>
      <c r="AG101" s="663"/>
      <c r="AH101" s="663"/>
      <c r="AI101" s="663"/>
      <c r="AJ101" s="663"/>
      <c r="AK101" s="663"/>
      <c r="AL101" s="663"/>
      <c r="AM101" s="663"/>
      <c r="AN101" s="663"/>
      <c r="AO101" s="663"/>
      <c r="AP101" s="663"/>
      <c r="AQ101" s="663"/>
      <c r="AR101" s="663"/>
      <c r="AS101" s="663"/>
      <c r="AT101" s="663"/>
      <c r="AU101" s="663"/>
      <c r="AV101" s="663"/>
      <c r="AW101" s="663"/>
      <c r="AX101" s="663"/>
      <c r="AY101" s="663"/>
      <c r="AZ101" s="663"/>
      <c r="BA101" s="729"/>
      <c r="BB101" s="730"/>
      <c r="BC101" s="730"/>
    </row>
    <row r="102" customHeight="1" spans="2:55">
      <c r="B102" s="595"/>
      <c r="C102" s="596"/>
      <c r="D102" s="596"/>
      <c r="E102" s="596"/>
      <c r="F102" s="596"/>
      <c r="G102" s="596"/>
      <c r="H102" s="596"/>
      <c r="I102" s="596"/>
      <c r="J102" s="596"/>
      <c r="K102" s="596"/>
      <c r="L102" s="596"/>
      <c r="M102" s="596"/>
      <c r="N102" s="596"/>
      <c r="O102" s="596"/>
      <c r="P102" s="596"/>
      <c r="Q102" s="596"/>
      <c r="R102" s="596"/>
      <c r="S102" s="596"/>
      <c r="T102" s="596"/>
      <c r="U102" s="596"/>
      <c r="V102" s="596"/>
      <c r="W102" s="596"/>
      <c r="X102" s="642"/>
      <c r="Z102" s="662"/>
      <c r="AA102" s="663"/>
      <c r="AB102" s="663"/>
      <c r="AC102" s="663"/>
      <c r="AD102" s="663"/>
      <c r="AE102" s="663"/>
      <c r="AF102" s="663"/>
      <c r="AG102" s="663"/>
      <c r="AH102" s="663"/>
      <c r="AI102" s="663"/>
      <c r="AJ102" s="663"/>
      <c r="AK102" s="663"/>
      <c r="AL102" s="663"/>
      <c r="AM102" s="663"/>
      <c r="AN102" s="663"/>
      <c r="AO102" s="663"/>
      <c r="AP102" s="663"/>
      <c r="AQ102" s="663"/>
      <c r="AR102" s="663"/>
      <c r="AS102" s="663"/>
      <c r="AT102" s="663"/>
      <c r="AU102" s="663"/>
      <c r="AV102" s="663"/>
      <c r="AW102" s="663"/>
      <c r="AX102" s="663"/>
      <c r="AY102" s="663"/>
      <c r="AZ102" s="663"/>
      <c r="BA102" s="729"/>
      <c r="BB102" s="730"/>
      <c r="BC102" s="730"/>
    </row>
    <row r="103" customHeight="1" spans="2:55">
      <c r="B103" s="595"/>
      <c r="C103" s="596"/>
      <c r="D103" s="596"/>
      <c r="E103" s="596"/>
      <c r="F103" s="596"/>
      <c r="G103" s="596"/>
      <c r="H103" s="596"/>
      <c r="I103" s="596"/>
      <c r="J103" s="596"/>
      <c r="K103" s="596"/>
      <c r="L103" s="596"/>
      <c r="M103" s="596"/>
      <c r="N103" s="596"/>
      <c r="O103" s="596"/>
      <c r="P103" s="596"/>
      <c r="Q103" s="596"/>
      <c r="R103" s="596"/>
      <c r="S103" s="596"/>
      <c r="T103" s="596"/>
      <c r="U103" s="596"/>
      <c r="V103" s="596"/>
      <c r="W103" s="596"/>
      <c r="X103" s="642"/>
      <c r="Z103" s="662"/>
      <c r="AA103" s="663"/>
      <c r="AB103" s="663"/>
      <c r="AC103" s="663"/>
      <c r="AD103" s="663"/>
      <c r="AE103" s="663"/>
      <c r="AF103" s="663"/>
      <c r="AG103" s="663"/>
      <c r="AH103" s="663"/>
      <c r="AI103" s="663"/>
      <c r="AJ103" s="663"/>
      <c r="AK103" s="663"/>
      <c r="AL103" s="663"/>
      <c r="AM103" s="663"/>
      <c r="AN103" s="663"/>
      <c r="AO103" s="663"/>
      <c r="AP103" s="663"/>
      <c r="AQ103" s="663"/>
      <c r="AR103" s="663"/>
      <c r="AS103" s="663"/>
      <c r="AT103" s="663"/>
      <c r="AU103" s="663"/>
      <c r="AV103" s="663"/>
      <c r="AW103" s="663"/>
      <c r="AX103" s="663"/>
      <c r="AY103" s="663"/>
      <c r="AZ103" s="663"/>
      <c r="BA103" s="729"/>
      <c r="BB103" s="730"/>
      <c r="BC103" s="730"/>
    </row>
    <row r="104" customHeight="1" spans="2:55">
      <c r="B104" s="595"/>
      <c r="C104" s="596"/>
      <c r="D104" s="596"/>
      <c r="E104" s="596"/>
      <c r="F104" s="596"/>
      <c r="G104" s="596"/>
      <c r="H104" s="596"/>
      <c r="I104" s="596"/>
      <c r="J104" s="596"/>
      <c r="K104" s="596"/>
      <c r="L104" s="596"/>
      <c r="M104" s="596"/>
      <c r="N104" s="596"/>
      <c r="O104" s="596"/>
      <c r="P104" s="596"/>
      <c r="Q104" s="596"/>
      <c r="R104" s="596"/>
      <c r="S104" s="596"/>
      <c r="T104" s="596"/>
      <c r="U104" s="596"/>
      <c r="V104" s="596"/>
      <c r="W104" s="596"/>
      <c r="X104" s="642"/>
      <c r="Z104" s="664"/>
      <c r="AA104" s="665"/>
      <c r="AB104" s="665"/>
      <c r="AC104" s="665"/>
      <c r="AD104" s="665"/>
      <c r="AE104" s="665"/>
      <c r="AF104" s="665"/>
      <c r="AG104" s="665"/>
      <c r="AH104" s="665"/>
      <c r="AI104" s="665"/>
      <c r="AJ104" s="665"/>
      <c r="AK104" s="665"/>
      <c r="AL104" s="665"/>
      <c r="AM104" s="665"/>
      <c r="AN104" s="665"/>
      <c r="AO104" s="665"/>
      <c r="AP104" s="665"/>
      <c r="AQ104" s="665"/>
      <c r="AR104" s="665"/>
      <c r="AS104" s="665"/>
      <c r="AT104" s="665"/>
      <c r="AU104" s="665"/>
      <c r="AV104" s="665"/>
      <c r="AW104" s="665"/>
      <c r="AX104" s="665"/>
      <c r="AY104" s="665"/>
      <c r="AZ104" s="665"/>
      <c r="BA104" s="731"/>
      <c r="BB104" s="730"/>
      <c r="BC104" s="730"/>
    </row>
    <row r="105" customHeight="1" spans="2:24">
      <c r="B105" s="595"/>
      <c r="C105" s="596"/>
      <c r="D105" s="596"/>
      <c r="E105" s="596"/>
      <c r="F105" s="596"/>
      <c r="G105" s="596"/>
      <c r="H105" s="596"/>
      <c r="I105" s="596"/>
      <c r="J105" s="596"/>
      <c r="K105" s="596"/>
      <c r="L105" s="596"/>
      <c r="M105" s="596"/>
      <c r="N105" s="596"/>
      <c r="O105" s="596"/>
      <c r="P105" s="596"/>
      <c r="Q105" s="596"/>
      <c r="R105" s="596"/>
      <c r="S105" s="596"/>
      <c r="T105" s="596"/>
      <c r="U105" s="596"/>
      <c r="V105" s="596"/>
      <c r="W105" s="596"/>
      <c r="X105" s="642"/>
    </row>
    <row r="106" customHeight="1" spans="2:55">
      <c r="B106" s="595"/>
      <c r="C106" s="596"/>
      <c r="D106" s="596"/>
      <c r="E106" s="596"/>
      <c r="F106" s="596"/>
      <c r="G106" s="596"/>
      <c r="H106" s="596"/>
      <c r="I106" s="596"/>
      <c r="J106" s="596"/>
      <c r="K106" s="596"/>
      <c r="L106" s="596"/>
      <c r="M106" s="596"/>
      <c r="N106" s="596"/>
      <c r="O106" s="596"/>
      <c r="P106" s="596"/>
      <c r="Q106" s="596"/>
      <c r="R106" s="596"/>
      <c r="S106" s="596"/>
      <c r="T106" s="596"/>
      <c r="U106" s="596"/>
      <c r="V106" s="596"/>
      <c r="W106" s="596"/>
      <c r="X106" s="642"/>
      <c r="Z106" s="599" t="s">
        <v>177</v>
      </c>
      <c r="AA106" s="600"/>
      <c r="AB106" s="600"/>
      <c r="AC106" s="600"/>
      <c r="AD106" s="600"/>
      <c r="AE106" s="600"/>
      <c r="AF106" s="600"/>
      <c r="AG106" s="600"/>
      <c r="AH106" s="600"/>
      <c r="AI106" s="600"/>
      <c r="AJ106" s="600"/>
      <c r="AK106" s="600"/>
      <c r="AL106" s="600"/>
      <c r="AM106" s="644"/>
      <c r="AO106" s="599" t="s">
        <v>178</v>
      </c>
      <c r="AP106" s="600"/>
      <c r="AQ106" s="600"/>
      <c r="AR106" s="600"/>
      <c r="AS106" s="600"/>
      <c r="AT106" s="600"/>
      <c r="AU106" s="600"/>
      <c r="AV106" s="600"/>
      <c r="AW106" s="600"/>
      <c r="AX106" s="600"/>
      <c r="AY106" s="600"/>
      <c r="AZ106" s="600"/>
      <c r="BA106" s="644"/>
      <c r="BB106" s="547"/>
      <c r="BC106" s="547"/>
    </row>
    <row r="107" customHeight="1" spans="2:55">
      <c r="B107" s="595"/>
      <c r="C107" s="596"/>
      <c r="D107" s="596"/>
      <c r="E107" s="596"/>
      <c r="F107" s="596"/>
      <c r="G107" s="596"/>
      <c r="H107" s="596"/>
      <c r="I107" s="596"/>
      <c r="J107" s="596"/>
      <c r="K107" s="596"/>
      <c r="L107" s="596"/>
      <c r="M107" s="596"/>
      <c r="N107" s="596"/>
      <c r="O107" s="596"/>
      <c r="P107" s="596"/>
      <c r="Q107" s="596"/>
      <c r="R107" s="596"/>
      <c r="S107" s="596"/>
      <c r="T107" s="596"/>
      <c r="U107" s="596"/>
      <c r="V107" s="596"/>
      <c r="W107" s="596"/>
      <c r="X107" s="642"/>
      <c r="Z107" s="666"/>
      <c r="AA107" s="667"/>
      <c r="AB107" s="667"/>
      <c r="AC107" s="667"/>
      <c r="AD107" s="667"/>
      <c r="AE107" s="667"/>
      <c r="AF107" s="667"/>
      <c r="AG107" s="667"/>
      <c r="AH107" s="667"/>
      <c r="AI107" s="667"/>
      <c r="AJ107" s="667"/>
      <c r="AK107" s="667"/>
      <c r="AL107" s="667"/>
      <c r="AM107" s="680"/>
      <c r="AO107" s="700" t="s">
        <v>179</v>
      </c>
      <c r="AP107" s="701"/>
      <c r="AQ107" s="701"/>
      <c r="AR107" s="701"/>
      <c r="AS107" s="701"/>
      <c r="AT107" s="701"/>
      <c r="AU107" s="701"/>
      <c r="AV107" s="701"/>
      <c r="AW107" s="701" t="s">
        <v>180</v>
      </c>
      <c r="AX107" s="701"/>
      <c r="AY107" s="701"/>
      <c r="AZ107" s="701"/>
      <c r="BA107" s="732"/>
      <c r="BB107" s="733"/>
      <c r="BC107" s="733"/>
    </row>
    <row r="108" customHeight="1" spans="2:55">
      <c r="B108" s="597"/>
      <c r="C108" s="598"/>
      <c r="D108" s="598"/>
      <c r="E108" s="598"/>
      <c r="F108" s="598"/>
      <c r="G108" s="598"/>
      <c r="H108" s="598"/>
      <c r="I108" s="598"/>
      <c r="J108" s="598"/>
      <c r="K108" s="598"/>
      <c r="L108" s="598"/>
      <c r="M108" s="598"/>
      <c r="N108" s="598"/>
      <c r="O108" s="598"/>
      <c r="P108" s="598"/>
      <c r="Q108" s="598"/>
      <c r="R108" s="598"/>
      <c r="S108" s="598"/>
      <c r="T108" s="598"/>
      <c r="U108" s="598"/>
      <c r="V108" s="598"/>
      <c r="W108" s="598"/>
      <c r="X108" s="643"/>
      <c r="Z108" s="668"/>
      <c r="AA108" s="669"/>
      <c r="AB108" s="669"/>
      <c r="AC108" s="669"/>
      <c r="AD108" s="669"/>
      <c r="AE108" s="669"/>
      <c r="AF108" s="669"/>
      <c r="AG108" s="669"/>
      <c r="AH108" s="669"/>
      <c r="AI108" s="669"/>
      <c r="AJ108" s="669"/>
      <c r="AK108" s="669"/>
      <c r="AL108" s="669"/>
      <c r="AM108" s="681"/>
      <c r="AO108" s="702" t="s">
        <v>181</v>
      </c>
      <c r="AP108" s="703"/>
      <c r="AQ108" s="703"/>
      <c r="AR108" s="703"/>
      <c r="AS108" s="703"/>
      <c r="AT108" s="703"/>
      <c r="AU108" s="703"/>
      <c r="AV108" s="704"/>
      <c r="AW108" s="734">
        <v>0</v>
      </c>
      <c r="AX108" s="703"/>
      <c r="AY108" s="703"/>
      <c r="AZ108" s="703"/>
      <c r="BA108" s="735"/>
      <c r="BB108" s="736"/>
      <c r="BC108" s="736"/>
    </row>
    <row r="109" customHeight="1" spans="26:55">
      <c r="Z109" s="670"/>
      <c r="AA109" s="671"/>
      <c r="AB109" s="671"/>
      <c r="AC109" s="671"/>
      <c r="AD109" s="671"/>
      <c r="AE109" s="671"/>
      <c r="AF109" s="671"/>
      <c r="AG109" s="671"/>
      <c r="AH109" s="671"/>
      <c r="AI109" s="671"/>
      <c r="AJ109" s="671"/>
      <c r="AK109" s="671"/>
      <c r="AL109" s="671"/>
      <c r="AM109" s="682"/>
      <c r="AO109" s="705" t="s">
        <v>182</v>
      </c>
      <c r="AP109" s="706"/>
      <c r="AQ109" s="706"/>
      <c r="AR109" s="706"/>
      <c r="AS109" s="706"/>
      <c r="AT109" s="706"/>
      <c r="AU109" s="706"/>
      <c r="AV109" s="707"/>
      <c r="AW109" s="737">
        <v>0</v>
      </c>
      <c r="AX109" s="706"/>
      <c r="AY109" s="706"/>
      <c r="AZ109" s="706"/>
      <c r="BA109" s="738"/>
      <c r="BB109" s="739"/>
      <c r="BC109" s="739"/>
    </row>
    <row r="110" customHeight="1" spans="2:55">
      <c r="B110" s="599" t="s">
        <v>183</v>
      </c>
      <c r="C110" s="600"/>
      <c r="D110" s="600"/>
      <c r="E110" s="600"/>
      <c r="F110" s="600"/>
      <c r="G110" s="600"/>
      <c r="H110" s="600"/>
      <c r="I110" s="600"/>
      <c r="J110" s="600"/>
      <c r="K110" s="600"/>
      <c r="L110" s="600"/>
      <c r="M110" s="600"/>
      <c r="N110" s="600"/>
      <c r="O110" s="600"/>
      <c r="P110" s="600"/>
      <c r="Q110" s="600"/>
      <c r="R110" s="600"/>
      <c r="S110" s="600"/>
      <c r="T110" s="600"/>
      <c r="U110" s="600"/>
      <c r="V110" s="600"/>
      <c r="W110" s="600"/>
      <c r="X110" s="644"/>
      <c r="Z110" s="672"/>
      <c r="AA110" s="673"/>
      <c r="AB110" s="673"/>
      <c r="AC110" s="673"/>
      <c r="AD110" s="673"/>
      <c r="AE110" s="673"/>
      <c r="AF110" s="673"/>
      <c r="AG110" s="673"/>
      <c r="AH110" s="673"/>
      <c r="AI110" s="673"/>
      <c r="AJ110" s="673"/>
      <c r="AK110" s="673"/>
      <c r="AL110" s="673"/>
      <c r="AM110" s="683"/>
      <c r="AO110" s="702"/>
      <c r="AP110" s="703"/>
      <c r="AQ110" s="703"/>
      <c r="AR110" s="703"/>
      <c r="AS110" s="703"/>
      <c r="AT110" s="703"/>
      <c r="AU110" s="703"/>
      <c r="AV110" s="704"/>
      <c r="AW110" s="740"/>
      <c r="AX110" s="703"/>
      <c r="AY110" s="703"/>
      <c r="AZ110" s="703"/>
      <c r="BA110" s="735"/>
      <c r="BB110" s="736"/>
      <c r="BC110" s="736"/>
    </row>
    <row r="111" customHeight="1" spans="2:55">
      <c r="B111" s="601" t="s">
        <v>184</v>
      </c>
      <c r="C111" s="602"/>
      <c r="D111" s="603"/>
      <c r="E111" s="603"/>
      <c r="F111" s="603"/>
      <c r="G111" s="604" t="s">
        <v>185</v>
      </c>
      <c r="H111" s="604"/>
      <c r="I111" s="604"/>
      <c r="J111" s="604"/>
      <c r="K111" s="604"/>
      <c r="L111" s="604"/>
      <c r="M111" s="604"/>
      <c r="N111" s="604" t="s">
        <v>186</v>
      </c>
      <c r="O111" s="604"/>
      <c r="P111" s="604" t="s">
        <v>187</v>
      </c>
      <c r="Q111" s="604"/>
      <c r="R111" s="604" t="s">
        <v>188</v>
      </c>
      <c r="S111" s="604"/>
      <c r="T111" s="604" t="s">
        <v>189</v>
      </c>
      <c r="U111" s="604"/>
      <c r="V111" s="604"/>
      <c r="W111" s="604" t="s">
        <v>190</v>
      </c>
      <c r="X111" s="645"/>
      <c r="Z111" s="666"/>
      <c r="AA111" s="667"/>
      <c r="AB111" s="667"/>
      <c r="AC111" s="667"/>
      <c r="AD111" s="667"/>
      <c r="AE111" s="667"/>
      <c r="AF111" s="667"/>
      <c r="AG111" s="667"/>
      <c r="AH111" s="667"/>
      <c r="AI111" s="667"/>
      <c r="AJ111" s="667"/>
      <c r="AK111" s="667"/>
      <c r="AL111" s="667"/>
      <c r="AM111" s="680"/>
      <c r="AO111" s="705"/>
      <c r="AP111" s="706"/>
      <c r="AQ111" s="706"/>
      <c r="AR111" s="706"/>
      <c r="AS111" s="706"/>
      <c r="AT111" s="706"/>
      <c r="AU111" s="706"/>
      <c r="AV111" s="707"/>
      <c r="AW111" s="741"/>
      <c r="AX111" s="706"/>
      <c r="AY111" s="706"/>
      <c r="AZ111" s="706"/>
      <c r="BA111" s="738"/>
      <c r="BB111" s="739"/>
      <c r="BC111" s="739"/>
    </row>
    <row r="112" customHeight="1" spans="2:55">
      <c r="B112" s="601"/>
      <c r="C112" s="602"/>
      <c r="D112" s="603"/>
      <c r="E112" s="603"/>
      <c r="F112" s="603"/>
      <c r="G112" s="604" t="s">
        <v>191</v>
      </c>
      <c r="H112" s="604"/>
      <c r="I112" s="604"/>
      <c r="J112" s="604"/>
      <c r="K112" s="604"/>
      <c r="L112" s="604"/>
      <c r="M112" s="604"/>
      <c r="N112" s="604" t="s">
        <v>192</v>
      </c>
      <c r="O112" s="604"/>
      <c r="P112" s="604" t="s">
        <v>193</v>
      </c>
      <c r="Q112" s="604"/>
      <c r="R112" s="604" t="s">
        <v>194</v>
      </c>
      <c r="S112" s="604"/>
      <c r="T112" s="604" t="s">
        <v>195</v>
      </c>
      <c r="U112" s="604"/>
      <c r="V112" s="604"/>
      <c r="W112" s="604">
        <v>1</v>
      </c>
      <c r="X112" s="645"/>
      <c r="Z112" s="668"/>
      <c r="AA112" s="669"/>
      <c r="AB112" s="669"/>
      <c r="AC112" s="669"/>
      <c r="AD112" s="669"/>
      <c r="AE112" s="669"/>
      <c r="AF112" s="669"/>
      <c r="AG112" s="669"/>
      <c r="AH112" s="669"/>
      <c r="AI112" s="669"/>
      <c r="AJ112" s="669"/>
      <c r="AK112" s="669"/>
      <c r="AL112" s="669"/>
      <c r="AM112" s="681"/>
      <c r="AO112" s="702"/>
      <c r="AP112" s="703"/>
      <c r="AQ112" s="703"/>
      <c r="AR112" s="703"/>
      <c r="AS112" s="703"/>
      <c r="AT112" s="703"/>
      <c r="AU112" s="703"/>
      <c r="AV112" s="704"/>
      <c r="AW112" s="740"/>
      <c r="AX112" s="703"/>
      <c r="AY112" s="703"/>
      <c r="AZ112" s="703"/>
      <c r="BA112" s="735"/>
      <c r="BB112" s="736"/>
      <c r="BC112" s="736"/>
    </row>
    <row r="113" customHeight="1" spans="2:55">
      <c r="B113" s="601" t="s">
        <v>196</v>
      </c>
      <c r="C113" s="602"/>
      <c r="D113" s="603"/>
      <c r="E113" s="603"/>
      <c r="F113" s="603"/>
      <c r="G113" s="603"/>
      <c r="H113" s="603"/>
      <c r="I113" s="603"/>
      <c r="J113" s="603"/>
      <c r="K113" s="603"/>
      <c r="L113" s="603"/>
      <c r="M113" s="603"/>
      <c r="N113" s="603"/>
      <c r="O113" s="603"/>
      <c r="P113" s="603"/>
      <c r="Q113" s="603"/>
      <c r="R113" s="603"/>
      <c r="S113" s="603"/>
      <c r="T113" s="603"/>
      <c r="U113" s="603"/>
      <c r="V113" s="603"/>
      <c r="W113" s="603"/>
      <c r="X113" s="646"/>
      <c r="Z113" s="670"/>
      <c r="AA113" s="671"/>
      <c r="AB113" s="671"/>
      <c r="AC113" s="671"/>
      <c r="AD113" s="671"/>
      <c r="AE113" s="671"/>
      <c r="AF113" s="671"/>
      <c r="AG113" s="671"/>
      <c r="AH113" s="671"/>
      <c r="AI113" s="671"/>
      <c r="AJ113" s="671"/>
      <c r="AK113" s="671"/>
      <c r="AL113" s="671"/>
      <c r="AM113" s="682"/>
      <c r="AO113" s="705"/>
      <c r="AP113" s="706"/>
      <c r="AQ113" s="706"/>
      <c r="AR113" s="706"/>
      <c r="AS113" s="706"/>
      <c r="AT113" s="706"/>
      <c r="AU113" s="706"/>
      <c r="AV113" s="707"/>
      <c r="AW113" s="741"/>
      <c r="AX113" s="706"/>
      <c r="AY113" s="706"/>
      <c r="AZ113" s="706"/>
      <c r="BA113" s="738"/>
      <c r="BB113" s="739"/>
      <c r="BC113" s="739"/>
    </row>
    <row r="114" customHeight="1" spans="2:55">
      <c r="B114" s="601"/>
      <c r="C114" s="602"/>
      <c r="D114" s="603"/>
      <c r="E114" s="603"/>
      <c r="F114" s="603"/>
      <c r="G114" s="603"/>
      <c r="H114" s="603"/>
      <c r="I114" s="603"/>
      <c r="J114" s="603"/>
      <c r="K114" s="603"/>
      <c r="L114" s="603"/>
      <c r="M114" s="603"/>
      <c r="N114" s="603"/>
      <c r="O114" s="603"/>
      <c r="P114" s="603"/>
      <c r="Q114" s="603"/>
      <c r="R114" s="603"/>
      <c r="S114" s="603"/>
      <c r="T114" s="603"/>
      <c r="U114" s="603"/>
      <c r="V114" s="603"/>
      <c r="W114" s="603"/>
      <c r="X114" s="646"/>
      <c r="Z114" s="672"/>
      <c r="AA114" s="673"/>
      <c r="AB114" s="673"/>
      <c r="AC114" s="673"/>
      <c r="AD114" s="673"/>
      <c r="AE114" s="673"/>
      <c r="AF114" s="673"/>
      <c r="AG114" s="673"/>
      <c r="AH114" s="673"/>
      <c r="AI114" s="673"/>
      <c r="AJ114" s="673"/>
      <c r="AK114" s="673"/>
      <c r="AL114" s="673"/>
      <c r="AM114" s="683"/>
      <c r="AO114" s="702"/>
      <c r="AP114" s="703"/>
      <c r="AQ114" s="703"/>
      <c r="AR114" s="703"/>
      <c r="AS114" s="703"/>
      <c r="AT114" s="703"/>
      <c r="AU114" s="703"/>
      <c r="AV114" s="704"/>
      <c r="AW114" s="740"/>
      <c r="AX114" s="703"/>
      <c r="AY114" s="703"/>
      <c r="AZ114" s="703"/>
      <c r="BA114" s="735"/>
      <c r="BB114" s="736"/>
      <c r="BC114" s="736"/>
    </row>
    <row r="115" customHeight="1" spans="2:55">
      <c r="B115" s="605" t="s">
        <v>197</v>
      </c>
      <c r="C115" s="606"/>
      <c r="D115" s="604"/>
      <c r="E115" s="604"/>
      <c r="F115" s="604"/>
      <c r="G115" s="604"/>
      <c r="H115" s="604"/>
      <c r="I115" s="604"/>
      <c r="J115" s="604"/>
      <c r="K115" s="604"/>
      <c r="L115" s="604"/>
      <c r="M115" s="604"/>
      <c r="N115" s="604"/>
      <c r="O115" s="604"/>
      <c r="P115" s="604" t="s">
        <v>198</v>
      </c>
      <c r="Q115" s="604"/>
      <c r="R115" s="604"/>
      <c r="S115" s="604"/>
      <c r="T115" s="604"/>
      <c r="U115" s="604"/>
      <c r="V115" s="604"/>
      <c r="W115" s="604"/>
      <c r="X115" s="645"/>
      <c r="Z115" s="666"/>
      <c r="AA115" s="667"/>
      <c r="AB115" s="667"/>
      <c r="AC115" s="667"/>
      <c r="AD115" s="667"/>
      <c r="AE115" s="667"/>
      <c r="AF115" s="667"/>
      <c r="AG115" s="667"/>
      <c r="AH115" s="667"/>
      <c r="AI115" s="667"/>
      <c r="AJ115" s="667"/>
      <c r="AK115" s="667"/>
      <c r="AL115" s="667"/>
      <c r="AM115" s="680"/>
      <c r="AO115" s="705"/>
      <c r="AP115" s="706"/>
      <c r="AQ115" s="706"/>
      <c r="AR115" s="706"/>
      <c r="AS115" s="706"/>
      <c r="AT115" s="706"/>
      <c r="AU115" s="706"/>
      <c r="AV115" s="707"/>
      <c r="AW115" s="741"/>
      <c r="AX115" s="706"/>
      <c r="AY115" s="706"/>
      <c r="AZ115" s="706"/>
      <c r="BA115" s="738"/>
      <c r="BB115" s="739"/>
      <c r="BC115" s="739"/>
    </row>
    <row r="116" customHeight="1" spans="2:55">
      <c r="B116" s="605" t="s">
        <v>199</v>
      </c>
      <c r="C116" s="606"/>
      <c r="D116" s="604"/>
      <c r="E116" s="604"/>
      <c r="F116" s="604" t="s">
        <v>200</v>
      </c>
      <c r="G116" s="604"/>
      <c r="H116" s="604"/>
      <c r="I116" s="604"/>
      <c r="J116" s="604"/>
      <c r="K116" s="604"/>
      <c r="L116" s="604"/>
      <c r="M116" s="604"/>
      <c r="N116" s="604"/>
      <c r="O116" s="604"/>
      <c r="P116" s="604"/>
      <c r="Q116" s="604"/>
      <c r="R116" s="604"/>
      <c r="S116" s="604"/>
      <c r="T116" s="604"/>
      <c r="U116" s="604"/>
      <c r="V116" s="604"/>
      <c r="W116" s="604"/>
      <c r="X116" s="645"/>
      <c r="Z116" s="668"/>
      <c r="AA116" s="669"/>
      <c r="AB116" s="669"/>
      <c r="AC116" s="669"/>
      <c r="AD116" s="669"/>
      <c r="AE116" s="669"/>
      <c r="AF116" s="669"/>
      <c r="AG116" s="669"/>
      <c r="AH116" s="669"/>
      <c r="AI116" s="669"/>
      <c r="AJ116" s="669"/>
      <c r="AK116" s="669"/>
      <c r="AL116" s="669"/>
      <c r="AM116" s="681"/>
      <c r="AO116" s="702"/>
      <c r="AP116" s="703"/>
      <c r="AQ116" s="703"/>
      <c r="AR116" s="703"/>
      <c r="AS116" s="703"/>
      <c r="AT116" s="703"/>
      <c r="AU116" s="703"/>
      <c r="AV116" s="704"/>
      <c r="AW116" s="740"/>
      <c r="AX116" s="703"/>
      <c r="AY116" s="703"/>
      <c r="AZ116" s="703"/>
      <c r="BA116" s="735"/>
      <c r="BB116" s="736"/>
      <c r="BC116" s="736"/>
    </row>
    <row r="117" customHeight="1" spans="2:55">
      <c r="B117" s="605" t="s">
        <v>201</v>
      </c>
      <c r="C117" s="606"/>
      <c r="D117" s="604"/>
      <c r="E117" s="604"/>
      <c r="F117" s="604" t="s">
        <v>202</v>
      </c>
      <c r="G117" s="604"/>
      <c r="H117" s="604"/>
      <c r="I117" s="604"/>
      <c r="J117" s="604"/>
      <c r="K117" s="604"/>
      <c r="L117" s="604"/>
      <c r="M117" s="604"/>
      <c r="N117" s="604"/>
      <c r="O117" s="604"/>
      <c r="P117" s="604"/>
      <c r="Q117" s="604"/>
      <c r="R117" s="604"/>
      <c r="S117" s="604"/>
      <c r="T117" s="604"/>
      <c r="U117" s="604"/>
      <c r="V117" s="604"/>
      <c r="W117" s="604"/>
      <c r="X117" s="645"/>
      <c r="Z117" s="670"/>
      <c r="AA117" s="671"/>
      <c r="AB117" s="671"/>
      <c r="AC117" s="671"/>
      <c r="AD117" s="671"/>
      <c r="AE117" s="671"/>
      <c r="AF117" s="671"/>
      <c r="AG117" s="671"/>
      <c r="AH117" s="671"/>
      <c r="AI117" s="671"/>
      <c r="AJ117" s="671"/>
      <c r="AK117" s="671"/>
      <c r="AL117" s="671"/>
      <c r="AM117" s="682"/>
      <c r="AO117" s="705"/>
      <c r="AP117" s="706"/>
      <c r="AQ117" s="706"/>
      <c r="AR117" s="706"/>
      <c r="AS117" s="706"/>
      <c r="AT117" s="706"/>
      <c r="AU117" s="706"/>
      <c r="AV117" s="707"/>
      <c r="AW117" s="741"/>
      <c r="AX117" s="706"/>
      <c r="AY117" s="706"/>
      <c r="AZ117" s="706"/>
      <c r="BA117" s="738"/>
      <c r="BB117" s="739"/>
      <c r="BC117" s="739"/>
    </row>
    <row r="118" customHeight="1" spans="2:55">
      <c r="B118" s="605" t="s">
        <v>203</v>
      </c>
      <c r="C118" s="606"/>
      <c r="D118" s="604"/>
      <c r="E118" s="604"/>
      <c r="F118" s="603" t="s">
        <v>204</v>
      </c>
      <c r="G118" s="603"/>
      <c r="H118" s="603"/>
      <c r="I118" s="603"/>
      <c r="J118" s="603"/>
      <c r="K118" s="603"/>
      <c r="L118" s="603"/>
      <c r="M118" s="603"/>
      <c r="N118" s="603"/>
      <c r="O118" s="603"/>
      <c r="P118" s="603"/>
      <c r="Q118" s="603"/>
      <c r="R118" s="603"/>
      <c r="S118" s="603"/>
      <c r="T118" s="603"/>
      <c r="U118" s="603"/>
      <c r="V118" s="603"/>
      <c r="W118" s="603"/>
      <c r="X118" s="646"/>
      <c r="Z118" s="672"/>
      <c r="AA118" s="673"/>
      <c r="AB118" s="673"/>
      <c r="AC118" s="673"/>
      <c r="AD118" s="673"/>
      <c r="AE118" s="673"/>
      <c r="AF118" s="673"/>
      <c r="AG118" s="673"/>
      <c r="AH118" s="673"/>
      <c r="AI118" s="673"/>
      <c r="AJ118" s="673"/>
      <c r="AK118" s="673"/>
      <c r="AL118" s="673"/>
      <c r="AM118" s="683"/>
      <c r="AO118" s="702"/>
      <c r="AP118" s="703"/>
      <c r="AQ118" s="703"/>
      <c r="AR118" s="703"/>
      <c r="AS118" s="703"/>
      <c r="AT118" s="703"/>
      <c r="AU118" s="703"/>
      <c r="AV118" s="704"/>
      <c r="AW118" s="740"/>
      <c r="AX118" s="703"/>
      <c r="AY118" s="703"/>
      <c r="AZ118" s="703"/>
      <c r="BA118" s="735"/>
      <c r="BB118" s="736"/>
      <c r="BC118" s="736"/>
    </row>
    <row r="119" customHeight="1" spans="2:55">
      <c r="B119" s="605"/>
      <c r="C119" s="606"/>
      <c r="D119" s="604"/>
      <c r="E119" s="604"/>
      <c r="F119" s="603"/>
      <c r="G119" s="603"/>
      <c r="H119" s="603"/>
      <c r="I119" s="603"/>
      <c r="J119" s="603"/>
      <c r="K119" s="603"/>
      <c r="L119" s="603"/>
      <c r="M119" s="603"/>
      <c r="N119" s="603"/>
      <c r="O119" s="603"/>
      <c r="P119" s="603"/>
      <c r="Q119" s="603"/>
      <c r="R119" s="603"/>
      <c r="S119" s="603"/>
      <c r="T119" s="603"/>
      <c r="U119" s="603"/>
      <c r="V119" s="603"/>
      <c r="W119" s="603"/>
      <c r="X119" s="646"/>
      <c r="Z119" s="666"/>
      <c r="AA119" s="667"/>
      <c r="AB119" s="667"/>
      <c r="AC119" s="667"/>
      <c r="AD119" s="667"/>
      <c r="AE119" s="667"/>
      <c r="AF119" s="667"/>
      <c r="AG119" s="667"/>
      <c r="AH119" s="667"/>
      <c r="AI119" s="667"/>
      <c r="AJ119" s="667"/>
      <c r="AK119" s="667"/>
      <c r="AL119" s="667"/>
      <c r="AM119" s="680"/>
      <c r="AO119" s="708"/>
      <c r="AP119" s="709"/>
      <c r="AQ119" s="709"/>
      <c r="AR119" s="709"/>
      <c r="AS119" s="709"/>
      <c r="AT119" s="709"/>
      <c r="AU119" s="709"/>
      <c r="AV119" s="709"/>
      <c r="AW119" s="709"/>
      <c r="AX119" s="709"/>
      <c r="AY119" s="709"/>
      <c r="AZ119" s="709"/>
      <c r="BA119" s="742"/>
      <c r="BB119" s="739"/>
      <c r="BC119" s="739"/>
    </row>
    <row r="120" customHeight="1" spans="2:55">
      <c r="B120" s="607" t="s">
        <v>205</v>
      </c>
      <c r="C120" s="608"/>
      <c r="D120" s="609"/>
      <c r="E120" s="609"/>
      <c r="F120" s="609"/>
      <c r="G120" s="609"/>
      <c r="H120" s="609"/>
      <c r="I120" s="609"/>
      <c r="J120" s="609"/>
      <c r="K120" s="609"/>
      <c r="L120" s="609"/>
      <c r="M120" s="609"/>
      <c r="N120" s="609"/>
      <c r="O120" s="609"/>
      <c r="P120" s="609" t="s">
        <v>206</v>
      </c>
      <c r="Q120" s="609"/>
      <c r="R120" s="609"/>
      <c r="S120" s="609"/>
      <c r="T120" s="609"/>
      <c r="U120" s="609"/>
      <c r="V120" s="609"/>
      <c r="W120" s="609"/>
      <c r="X120" s="647"/>
      <c r="Z120" s="597"/>
      <c r="AA120" s="598"/>
      <c r="AB120" s="598"/>
      <c r="AC120" s="598"/>
      <c r="AD120" s="598"/>
      <c r="AE120" s="598"/>
      <c r="AF120" s="598"/>
      <c r="AG120" s="598"/>
      <c r="AH120" s="598"/>
      <c r="AI120" s="598"/>
      <c r="AJ120" s="598"/>
      <c r="AK120" s="598"/>
      <c r="AL120" s="598"/>
      <c r="AM120" s="643"/>
      <c r="AO120" s="710"/>
      <c r="AP120" s="711"/>
      <c r="AQ120" s="711"/>
      <c r="AR120" s="711"/>
      <c r="AS120" s="711"/>
      <c r="AT120" s="711"/>
      <c r="AU120" s="711"/>
      <c r="AV120" s="711"/>
      <c r="AW120" s="711"/>
      <c r="AX120" s="711"/>
      <c r="AY120" s="711"/>
      <c r="AZ120" s="711"/>
      <c r="BA120" s="743"/>
      <c r="BB120" s="736"/>
      <c r="BC120" s="736"/>
    </row>
    <row r="121" customHeight="1" spans="2:7">
      <c r="B121" s="610"/>
      <c r="C121" s="610"/>
      <c r="D121" s="610"/>
      <c r="E121" s="610"/>
      <c r="F121" s="610"/>
      <c r="G121" s="610"/>
    </row>
    <row r="122" customHeight="1" spans="2:55">
      <c r="B122" s="611" t="s">
        <v>207</v>
      </c>
      <c r="C122" s="612"/>
      <c r="D122" s="612"/>
      <c r="E122" s="612"/>
      <c r="F122" s="612"/>
      <c r="G122" s="612"/>
      <c r="H122" s="612"/>
      <c r="I122" s="612"/>
      <c r="J122" s="612"/>
      <c r="K122" s="612"/>
      <c r="L122" s="612"/>
      <c r="M122" s="612"/>
      <c r="N122" s="612"/>
      <c r="O122" s="612"/>
      <c r="P122" s="612"/>
      <c r="Q122" s="612"/>
      <c r="R122" s="612"/>
      <c r="S122" s="612"/>
      <c r="T122" s="612"/>
      <c r="U122" s="612"/>
      <c r="V122" s="612"/>
      <c r="W122" s="612"/>
      <c r="X122" s="612"/>
      <c r="Y122" s="612"/>
      <c r="Z122" s="612"/>
      <c r="AA122" s="612"/>
      <c r="AB122" s="612"/>
      <c r="AC122" s="612"/>
      <c r="AD122" s="612"/>
      <c r="AE122" s="612"/>
      <c r="AF122" s="612"/>
      <c r="AG122" s="612"/>
      <c r="AH122" s="612"/>
      <c r="AI122" s="612"/>
      <c r="AJ122" s="612"/>
      <c r="AK122" s="612"/>
      <c r="AL122" s="612"/>
      <c r="AM122" s="612"/>
      <c r="AN122" s="612"/>
      <c r="AO122" s="612"/>
      <c r="AP122" s="612"/>
      <c r="AQ122" s="612"/>
      <c r="AR122" s="612"/>
      <c r="AS122" s="612"/>
      <c r="AT122" s="612"/>
      <c r="AU122" s="612"/>
      <c r="AV122" s="612"/>
      <c r="AW122" s="612"/>
      <c r="AX122" s="612"/>
      <c r="AY122" s="612"/>
      <c r="AZ122" s="612"/>
      <c r="BA122" s="744"/>
      <c r="BB122" s="745"/>
      <c r="BC122" s="745"/>
    </row>
    <row r="123" customFormat="1" customHeight="1" spans="2:55">
      <c r="B123" s="613" t="s">
        <v>208</v>
      </c>
      <c r="C123" s="614"/>
      <c r="D123" s="614"/>
      <c r="E123" s="614"/>
      <c r="F123" s="614"/>
      <c r="G123" s="614"/>
      <c r="H123" s="614"/>
      <c r="I123" s="614"/>
      <c r="J123" s="614"/>
      <c r="K123" s="614"/>
      <c r="L123" s="614"/>
      <c r="M123" s="614"/>
      <c r="N123" s="614"/>
      <c r="O123" s="614"/>
      <c r="P123" s="614"/>
      <c r="Q123" s="614"/>
      <c r="R123" s="614"/>
      <c r="S123" s="614"/>
      <c r="T123" s="614"/>
      <c r="U123" s="614"/>
      <c r="V123" s="614"/>
      <c r="W123" s="614"/>
      <c r="X123" s="614"/>
      <c r="Y123" s="614"/>
      <c r="Z123" s="614"/>
      <c r="AA123" s="614"/>
      <c r="AB123" s="614"/>
      <c r="AC123" s="614"/>
      <c r="AD123" s="614"/>
      <c r="AE123" s="614"/>
      <c r="AF123" s="614"/>
      <c r="AG123" s="614"/>
      <c r="AH123" s="614"/>
      <c r="AI123" s="614"/>
      <c r="AJ123" s="614"/>
      <c r="AK123" s="614"/>
      <c r="AL123" s="614"/>
      <c r="AM123" s="614"/>
      <c r="AN123" s="614"/>
      <c r="AO123" s="614"/>
      <c r="AP123" s="614"/>
      <c r="AQ123" s="614"/>
      <c r="AR123" s="614"/>
      <c r="AS123" s="614"/>
      <c r="AT123" s="614"/>
      <c r="AU123" s="614"/>
      <c r="AV123" s="614"/>
      <c r="AW123" s="614"/>
      <c r="AX123" s="614"/>
      <c r="AY123" s="614"/>
      <c r="AZ123" s="614"/>
      <c r="BA123" s="746"/>
      <c r="BB123" s="614"/>
      <c r="BC123" s="614"/>
    </row>
    <row r="124" s="331" customFormat="1" ht="100" customHeight="1" spans="2:55">
      <c r="B124" s="615" t="str">
        <f>B125</f>
        <v>.st -力量0STR0体质0CON0体型0SIZ0灵性0SPI0敏捷0DEX0外貌0APP0智力0INT0意志0POW0教育0EDU0移动力8MOV8体力0HP0理智
Sanity0SAN0幸运0Luck0魔法0MP0会计5人类学1估价5考古学1技艺:5技艺:5技艺:5魅惑15攀爬20乔装5马车驾驶10电气维修10话术5格斗:25格斗:20格斗:5射击:20射击:25射击:15急救30历史5恐吓15跳跃20法律5图书馆使用20聆听20锁匠1机械维修10医学1博物学10领航10操作重型机械1说服10驾驶:1精神分析1心理学10骑术1科学:1科学:1科学:1妙手10侦察25潜行20生存:10游泳20投掷20追踪10罕见:1冥想10占卜10环境利用15</v>
      </c>
      <c r="C124" s="616"/>
      <c r="D124" s="616"/>
      <c r="E124" s="616"/>
      <c r="F124" s="616"/>
      <c r="G124" s="616"/>
      <c r="H124" s="616"/>
      <c r="I124" s="616"/>
      <c r="J124" s="616"/>
      <c r="K124" s="616"/>
      <c r="L124" s="616"/>
      <c r="M124" s="616"/>
      <c r="N124" s="616"/>
      <c r="O124" s="616"/>
      <c r="P124" s="616"/>
      <c r="Q124" s="616"/>
      <c r="R124" s="616"/>
      <c r="S124" s="616"/>
      <c r="T124" s="616"/>
      <c r="U124" s="616"/>
      <c r="V124" s="616"/>
      <c r="W124" s="616"/>
      <c r="X124" s="616"/>
      <c r="Y124" s="616"/>
      <c r="Z124" s="616"/>
      <c r="AA124" s="616"/>
      <c r="AB124" s="616"/>
      <c r="AC124" s="616"/>
      <c r="AD124" s="616"/>
      <c r="AE124" s="616"/>
      <c r="AF124" s="616"/>
      <c r="AG124" s="616"/>
      <c r="AH124" s="616"/>
      <c r="AI124" s="616"/>
      <c r="AJ124" s="616"/>
      <c r="AK124" s="616"/>
      <c r="AL124" s="616"/>
      <c r="AM124" s="616"/>
      <c r="AN124" s="616"/>
      <c r="AO124" s="616"/>
      <c r="AP124" s="616"/>
      <c r="AQ124" s="616"/>
      <c r="AR124" s="616"/>
      <c r="AS124" s="616"/>
      <c r="AT124" s="616"/>
      <c r="AU124" s="616"/>
      <c r="AV124" s="616"/>
      <c r="AW124" s="616"/>
      <c r="AX124" s="616"/>
      <c r="AY124" s="616"/>
      <c r="AZ124" s="616"/>
      <c r="BA124" s="747"/>
      <c r="BB124" s="748"/>
      <c r="BC124" s="748"/>
    </row>
    <row r="125" hidden="1" customHeight="1" spans="1:55">
      <c r="A125" s="332" t="s">
        <v>209</v>
      </c>
      <c r="B125" s="617" t="str">
        <f>A125&amp;F3&amp;A126&amp;U13&amp;W13&amp;U14&amp;W13&amp;U15&amp;W15&amp;U16&amp;W15&amp;U17&amp;W17&amp;U18&amp;W17&amp;U19&amp;W19&amp;U20&amp;W19&amp;AC13&amp;AE13&amp;AC14&amp;AE13&amp;AC15&amp;AE15&amp;AC16&amp;AE15&amp;AC17&amp;AE17&amp;AC18&amp;AE17&amp;AK13&amp;AM13&amp;AK14&amp;AM13&amp;AK15&amp;AM15&amp;AK16&amp;AM15&amp;AK17&amp;AM17&amp;AK18&amp;AM17&amp;B22&amp;F22&amp;B23&amp;F22&amp;J22&amp;N22&amp;J23&amp;N22&amp;R22&amp;V22&amp;R23&amp;V22&amp;Z22&amp;AD22&amp;Z23&amp;AD22&amp;BB27&amp;BB28&amp;BB29&amp;BB30&amp;BB31&amp;BB32&amp;BB33&amp;BB34&amp;BB35&amp;BB36&amp;BB37&amp;BB38&amp;BB39&amp;BB40&amp;BB41&amp;BB42&amp;BB43&amp;BB44&amp;BB45&amp;BB46&amp;BB47&amp;BB48&amp;BB49&amp;BB50&amp;BB51&amp;BB52&amp;BB53&amp;BB54&amp;BB55&amp;BB56&amp;BB57&amp;BB58&amp;BB59&amp;BB60&amp;BB61&amp;BB62&amp;BB63&amp;BB64&amp;BB65&amp;BB66&amp;BB67&amp;BC27&amp;BC28&amp;BC29&amp;BC30&amp;BC31&amp;BC32&amp;BC33&amp;BC34&amp;BC35&amp;BC36&amp;BC37&amp;BC38&amp;BC39&amp;BC40&amp;BC41&amp;BC42&amp;BC43&amp;BC44&amp;BC45&amp;BC46&amp;BC47&amp;BC48&amp;BC49&amp;BC50&amp;BC51&amp;BC52&amp;BC53&amp;BC54&amp;BC55&amp;BC56&amp;BC57&amp;BC58&amp;BC59&amp;BC60&amp;BC61&amp;BC62&amp;BC63&amp;BC64&amp;BC65&amp;BC66&amp;BC67</f>
        <v>.st -力量0STR0体质0CON0体型0SIZ0灵性0SPI0敏捷0DEX0外貌0APP0智力0INT0意志0POW0教育0EDU0移动力8MOV8体力0HP0理智
Sanity0SAN0幸运0Luck0魔法0MP0会计5人类学1估价5考古学1技艺:5技艺:5技艺:5魅惑15攀爬20乔装5马车驾驶10电气维修10话术5格斗:25格斗:20格斗:5射击:20射击:25射击:15急救30历史5恐吓15跳跃20法律5图书馆使用20聆听20锁匠1机械维修10医学1博物学10领航10操作重型机械1说服10驾驶:1精神分析1心理学10骑术1科学:1科学:1科学:1妙手10侦察25潜行20生存:10游泳20投掷20追踪10罕见:1冥想10占卜10环境利用15</v>
      </c>
      <c r="C125" s="617"/>
      <c r="D125" s="617"/>
      <c r="E125" s="617"/>
      <c r="F125" s="617"/>
      <c r="G125" s="617"/>
      <c r="H125" s="617"/>
      <c r="I125" s="617"/>
      <c r="J125" s="617"/>
      <c r="K125" s="617"/>
      <c r="L125" s="617"/>
      <c r="M125" s="617"/>
      <c r="N125" s="617"/>
      <c r="O125" s="617"/>
      <c r="P125" s="617"/>
      <c r="Q125" s="617"/>
      <c r="R125" s="617"/>
      <c r="S125" s="617"/>
      <c r="T125" s="617"/>
      <c r="U125" s="617"/>
      <c r="V125" s="617"/>
      <c r="W125" s="617"/>
      <c r="X125" s="617"/>
      <c r="Y125" s="617"/>
      <c r="Z125" s="617"/>
      <c r="AA125" s="617"/>
      <c r="AB125" s="617"/>
      <c r="AC125" s="617"/>
      <c r="AD125" s="617"/>
      <c r="AE125" s="617"/>
      <c r="AF125" s="617"/>
      <c r="AG125" s="617"/>
      <c r="AH125" s="617"/>
      <c r="AI125" s="617"/>
      <c r="AJ125" s="617"/>
      <c r="AK125" s="617"/>
      <c r="AL125" s="617"/>
      <c r="AM125" s="617"/>
      <c r="AN125" s="617"/>
      <c r="AO125" s="617"/>
      <c r="AP125" s="617"/>
      <c r="AQ125" s="617"/>
      <c r="AR125" s="617"/>
      <c r="AS125" s="617"/>
      <c r="AT125" s="617"/>
      <c r="AU125" s="617"/>
      <c r="AV125" s="617"/>
      <c r="AW125" s="617"/>
      <c r="AX125" s="617"/>
      <c r="AY125" s="617"/>
      <c r="AZ125" s="617"/>
      <c r="BA125" s="617"/>
      <c r="BB125" s="617"/>
      <c r="BC125" s="617"/>
    </row>
    <row r="126" customHeight="1" spans="1:1">
      <c r="A126" s="332" t="s">
        <v>158</v>
      </c>
    </row>
    <row r="127" customHeight="1" spans="2:7">
      <c r="B127" s="618" t="s">
        <v>210</v>
      </c>
      <c r="C127" s="618"/>
      <c r="D127" s="618"/>
      <c r="E127" s="618"/>
      <c r="F127" s="618"/>
      <c r="G127" s="618"/>
    </row>
    <row r="128" customHeight="1" spans="2:7">
      <c r="B128" s="514" t="s">
        <v>211</v>
      </c>
      <c r="C128" s="514"/>
      <c r="D128" s="514"/>
      <c r="E128" s="514"/>
      <c r="F128" s="514"/>
      <c r="G128" s="514"/>
    </row>
  </sheetData>
  <sheetProtection sheet="1" selectLockedCells="1" objects="1"/>
  <protectedRanges>
    <protectedRange sqref="S4 S6 AI2 M22 E42:G47 E31:G33 AE32:AG34 AE38 AE42 AE28 B72:F75 D80 S80 B81 B87:W95 AF79:AZ94 Y95 B98 Y109:AL120 AN108:AZ120 C13:D20 O13:P18 AZ20 K27:R29 Q30:R30 K30:P30 K31:R31 Q32:R32 K32:P32 K33:R33 Q34:R34 K34:P34 K35:R35 K37:R37 Q38:R38 K38:P38 K39:R39 Q40:R40 K40:P40 Q41:R41 Q43:R43 Q45:R45 Q47:R47 Q49:R49 Q51:R51 Q53:R53 Q55:R55 K36 L36:M36 K42 P42:R42 L42:M42 K44 P44:R44 L44:M44 K46 P46:R46 L46:M46 K48 P48:R48 L48:M48 K50 P50:R50 L50:M50 K52 P52:R52 L52:M52 K54 P54:R54 L54:M54 L56:M56 K41 P41 K43 P43 K45 P45 K47 P47 K49 P49 K51 P51 K53 P53 L41:M41 L43:M43 L45:M45 L47:M47 L49:M49 L51:M51 L53:M53 K55 P55 L55:M55 P36:Q36 R36 E52:G52 E54:G55 E53:G53 K57 L57:M57 L58:M58 AK27:AS42 W13:W20 V13:V20 J13:J18 I13:I20 AE13:AE18 AD13:AD20 AM13:AM18 AL13:AL18" name="区域1"/>
    <protectedRange sqref="AC57:AQ66 AC67:AS67 AC48:AI50 AC51:AQ51 AL43:AS50 AK52:AQ56 AR51:AS66" name="区域1_1"/>
  </protectedRanges>
  <mergeCells count="1269">
    <mergeCell ref="B2:X2"/>
    <mergeCell ref="B3:E3"/>
    <mergeCell ref="F3:X3"/>
    <mergeCell ref="B4:E4"/>
    <mergeCell ref="F4:O4"/>
    <mergeCell ref="P4:S4"/>
    <mergeCell ref="T4:X4"/>
    <mergeCell ref="B5:E5"/>
    <mergeCell ref="F5:O5"/>
    <mergeCell ref="P5:S5"/>
    <mergeCell ref="T5:X5"/>
    <mergeCell ref="AD5:AE5"/>
    <mergeCell ref="AF5:AG5"/>
    <mergeCell ref="AH5:AI5"/>
    <mergeCell ref="AJ5:AK5"/>
    <mergeCell ref="AL5:AM5"/>
    <mergeCell ref="AN5:AO5"/>
    <mergeCell ref="AP5:AQ5"/>
    <mergeCell ref="AR5:AS5"/>
    <mergeCell ref="AT5:AU5"/>
    <mergeCell ref="AV5:AW5"/>
    <mergeCell ref="B6:E6"/>
    <mergeCell ref="F6:O6"/>
    <mergeCell ref="P6:S6"/>
    <mergeCell ref="T6:X6"/>
    <mergeCell ref="AD6:AE6"/>
    <mergeCell ref="AF6:AG6"/>
    <mergeCell ref="AH6:AI6"/>
    <mergeCell ref="AJ6:AK6"/>
    <mergeCell ref="AL6:AM6"/>
    <mergeCell ref="AN6:AO6"/>
    <mergeCell ref="AP6:AQ6"/>
    <mergeCell ref="AR6:AS6"/>
    <mergeCell ref="AT6:AU6"/>
    <mergeCell ref="AV6:AW6"/>
    <mergeCell ref="B7:E7"/>
    <mergeCell ref="F7:X7"/>
    <mergeCell ref="B8:E8"/>
    <mergeCell ref="F8:X8"/>
    <mergeCell ref="AD8:AE8"/>
    <mergeCell ref="AF8:AG8"/>
    <mergeCell ref="AH8:AI8"/>
    <mergeCell ref="AJ8:AK8"/>
    <mergeCell ref="AL8:AM8"/>
    <mergeCell ref="AN8:AO8"/>
    <mergeCell ref="AP8:AQ8"/>
    <mergeCell ref="AR8:AS8"/>
    <mergeCell ref="AT8:AU8"/>
    <mergeCell ref="AV8:AW8"/>
    <mergeCell ref="B9:E9"/>
    <mergeCell ref="F9:H9"/>
    <mergeCell ref="I9:L9"/>
    <mergeCell ref="M9:O9"/>
    <mergeCell ref="P9:S9"/>
    <mergeCell ref="T9:X9"/>
    <mergeCell ref="AD9:AE9"/>
    <mergeCell ref="AF9:AG9"/>
    <mergeCell ref="AH9:AI9"/>
    <mergeCell ref="AJ9:AK9"/>
    <mergeCell ref="AL9:AM9"/>
    <mergeCell ref="AN9:AO9"/>
    <mergeCell ref="AP9:AQ9"/>
    <mergeCell ref="AR9:AS9"/>
    <mergeCell ref="AT9:AU9"/>
    <mergeCell ref="AV9:AW9"/>
    <mergeCell ref="B12:S12"/>
    <mergeCell ref="U12:AR12"/>
    <mergeCell ref="B13:C13"/>
    <mergeCell ref="F13:G13"/>
    <mergeCell ref="H13:I13"/>
    <mergeCell ref="L13:M13"/>
    <mergeCell ref="N13:O13"/>
    <mergeCell ref="R13:S13"/>
    <mergeCell ref="U13:V13"/>
    <mergeCell ref="Y13:Z13"/>
    <mergeCell ref="AA13:AB13"/>
    <mergeCell ref="AC13:AD13"/>
    <mergeCell ref="AG13:AH13"/>
    <mergeCell ref="AI13:AJ13"/>
    <mergeCell ref="AK13:AL13"/>
    <mergeCell ref="AO13:AP13"/>
    <mergeCell ref="AQ13:AR13"/>
    <mergeCell ref="B14:C14"/>
    <mergeCell ref="F14:G14"/>
    <mergeCell ref="H14:I14"/>
    <mergeCell ref="L14:M14"/>
    <mergeCell ref="N14:O14"/>
    <mergeCell ref="R14:S14"/>
    <mergeCell ref="U14:V14"/>
    <mergeCell ref="Y14:Z14"/>
    <mergeCell ref="AA14:AB14"/>
    <mergeCell ref="AC14:AD14"/>
    <mergeCell ref="AG14:AH14"/>
    <mergeCell ref="AI14:AJ14"/>
    <mergeCell ref="AK14:AL14"/>
    <mergeCell ref="AO14:AP14"/>
    <mergeCell ref="AQ14:AR14"/>
    <mergeCell ref="B15:C15"/>
    <mergeCell ref="F15:G15"/>
    <mergeCell ref="H15:I15"/>
    <mergeCell ref="L15:M15"/>
    <mergeCell ref="N15:O15"/>
    <mergeCell ref="R15:S15"/>
    <mergeCell ref="U15:V15"/>
    <mergeCell ref="Y15:Z15"/>
    <mergeCell ref="AA15:AB15"/>
    <mergeCell ref="AC15:AD15"/>
    <mergeCell ref="AG15:AH15"/>
    <mergeCell ref="AI15:AJ15"/>
    <mergeCell ref="AK15:AL15"/>
    <mergeCell ref="AO15:AP15"/>
    <mergeCell ref="AQ15:AR15"/>
    <mergeCell ref="B16:C16"/>
    <mergeCell ref="F16:G16"/>
    <mergeCell ref="H16:I16"/>
    <mergeCell ref="L16:M16"/>
    <mergeCell ref="N16:O16"/>
    <mergeCell ref="R16:S16"/>
    <mergeCell ref="U16:V16"/>
    <mergeCell ref="Y16:Z16"/>
    <mergeCell ref="AA16:AB16"/>
    <mergeCell ref="AC16:AD16"/>
    <mergeCell ref="AG16:AH16"/>
    <mergeCell ref="AI16:AJ16"/>
    <mergeCell ref="AK16:AL16"/>
    <mergeCell ref="AO16:AP16"/>
    <mergeCell ref="AQ16:AR16"/>
    <mergeCell ref="B17:C17"/>
    <mergeCell ref="F17:G17"/>
    <mergeCell ref="H17:I17"/>
    <mergeCell ref="L17:M17"/>
    <mergeCell ref="N17:O17"/>
    <mergeCell ref="R17:S17"/>
    <mergeCell ref="U17:V17"/>
    <mergeCell ref="Y17:Z17"/>
    <mergeCell ref="AA17:AB17"/>
    <mergeCell ref="AC17:AD17"/>
    <mergeCell ref="AG17:AH17"/>
    <mergeCell ref="AI17:AJ17"/>
    <mergeCell ref="AK17:AL17"/>
    <mergeCell ref="AP17:AR17"/>
    <mergeCell ref="B18:C18"/>
    <mergeCell ref="F18:G18"/>
    <mergeCell ref="H18:I18"/>
    <mergeCell ref="L18:M18"/>
    <mergeCell ref="N18:O18"/>
    <mergeCell ref="R18:S18"/>
    <mergeCell ref="U18:V18"/>
    <mergeCell ref="Y18:Z18"/>
    <mergeCell ref="AA18:AB18"/>
    <mergeCell ref="AC18:AD18"/>
    <mergeCell ref="AG18:AH18"/>
    <mergeCell ref="AI18:AJ18"/>
    <mergeCell ref="AK18:AL18"/>
    <mergeCell ref="AP18:AR18"/>
    <mergeCell ref="B19:C19"/>
    <mergeCell ref="F19:G19"/>
    <mergeCell ref="L19:N19"/>
    <mergeCell ref="O19:P19"/>
    <mergeCell ref="Q19:S19"/>
    <mergeCell ref="U19:V19"/>
    <mergeCell ref="Y19:Z19"/>
    <mergeCell ref="AA19:AB19"/>
    <mergeCell ref="AG19:AJ19"/>
    <mergeCell ref="AK19:AM19"/>
    <mergeCell ref="AN19:AR19"/>
    <mergeCell ref="B20:C20"/>
    <mergeCell ref="F20:G20"/>
    <mergeCell ref="L20:N20"/>
    <mergeCell ref="O20:S20"/>
    <mergeCell ref="U20:V20"/>
    <mergeCell ref="Y20:Z20"/>
    <mergeCell ref="AA20:AB20"/>
    <mergeCell ref="AG20:AJ20"/>
    <mergeCell ref="AK20:AR20"/>
    <mergeCell ref="B22:E22"/>
    <mergeCell ref="J22:M22"/>
    <mergeCell ref="R22:U22"/>
    <mergeCell ref="Z22:AC22"/>
    <mergeCell ref="AH22:AL22"/>
    <mergeCell ref="AM22:AR22"/>
    <mergeCell ref="B23:E23"/>
    <mergeCell ref="J23:M23"/>
    <mergeCell ref="R23:U23"/>
    <mergeCell ref="Z23:AC23"/>
    <mergeCell ref="AH23:AL23"/>
    <mergeCell ref="AM23:AR23"/>
    <mergeCell ref="B24:BA24"/>
    <mergeCell ref="B25:BA25"/>
    <mergeCell ref="C26:I26"/>
    <mergeCell ref="J26:K26"/>
    <mergeCell ref="L26:M26"/>
    <mergeCell ref="N26:O26"/>
    <mergeCell ref="P26:Q26"/>
    <mergeCell ref="R26:S26"/>
    <mergeCell ref="T26:Y26"/>
    <mergeCell ref="Z26:AA26"/>
    <mergeCell ref="AC26:AI26"/>
    <mergeCell ref="AJ26:AK26"/>
    <mergeCell ref="AL26:AM26"/>
    <mergeCell ref="AN26:AO26"/>
    <mergeCell ref="AP26:AQ26"/>
    <mergeCell ref="AR26:AS26"/>
    <mergeCell ref="AT26:AY26"/>
    <mergeCell ref="AZ26:BA26"/>
    <mergeCell ref="C27:I27"/>
    <mergeCell ref="J27:K27"/>
    <mergeCell ref="L27:M27"/>
    <mergeCell ref="N27:O27"/>
    <mergeCell ref="P27:Q27"/>
    <mergeCell ref="R27:S27"/>
    <mergeCell ref="T27:U27"/>
    <mergeCell ref="V27:W27"/>
    <mergeCell ref="X27:Y27"/>
    <mergeCell ref="Z27:AA27"/>
    <mergeCell ref="AC27:AI27"/>
    <mergeCell ref="AJ27:AK27"/>
    <mergeCell ref="AL27:AM27"/>
    <mergeCell ref="AN27:AO27"/>
    <mergeCell ref="AP27:AQ27"/>
    <mergeCell ref="AR27:AS27"/>
    <mergeCell ref="AT27:AU27"/>
    <mergeCell ref="AV27:AW27"/>
    <mergeCell ref="AX27:AY27"/>
    <mergeCell ref="AZ27:BA27"/>
    <mergeCell ref="C28:I28"/>
    <mergeCell ref="J28:K28"/>
    <mergeCell ref="L28:M28"/>
    <mergeCell ref="N28:O28"/>
    <mergeCell ref="P28:Q28"/>
    <mergeCell ref="R28:S28"/>
    <mergeCell ref="T28:U28"/>
    <mergeCell ref="V28:W28"/>
    <mergeCell ref="X28:Y28"/>
    <mergeCell ref="Z28:AA28"/>
    <mergeCell ref="AC28:AE28"/>
    <mergeCell ref="AF28:AI28"/>
    <mergeCell ref="AJ28:AK28"/>
    <mergeCell ref="AL28:AM28"/>
    <mergeCell ref="AN28:AO28"/>
    <mergeCell ref="AP28:AQ28"/>
    <mergeCell ref="AR28:AS28"/>
    <mergeCell ref="AT28:AU28"/>
    <mergeCell ref="AV28:AW28"/>
    <mergeCell ref="AX28:AY28"/>
    <mergeCell ref="AZ28:BA28"/>
    <mergeCell ref="C29:I29"/>
    <mergeCell ref="J29:K29"/>
    <mergeCell ref="L29:M29"/>
    <mergeCell ref="N29:O29"/>
    <mergeCell ref="P29:Q29"/>
    <mergeCell ref="R29:S29"/>
    <mergeCell ref="T29:U29"/>
    <mergeCell ref="V29:W29"/>
    <mergeCell ref="X29:Y29"/>
    <mergeCell ref="Z29:AA29"/>
    <mergeCell ref="AC29:AI29"/>
    <mergeCell ref="AJ29:AK29"/>
    <mergeCell ref="AL29:AM29"/>
    <mergeCell ref="AN29:AO29"/>
    <mergeCell ref="AP29:AQ29"/>
    <mergeCell ref="AR29:AS29"/>
    <mergeCell ref="AT29:AU29"/>
    <mergeCell ref="AV29:AW29"/>
    <mergeCell ref="AX29:AY29"/>
    <mergeCell ref="AZ29:BA29"/>
    <mergeCell ref="C30:I30"/>
    <mergeCell ref="J30:K30"/>
    <mergeCell ref="L30:M30"/>
    <mergeCell ref="N30:O30"/>
    <mergeCell ref="P30:Q30"/>
    <mergeCell ref="R30:S30"/>
    <mergeCell ref="T30:U30"/>
    <mergeCell ref="V30:W30"/>
    <mergeCell ref="X30:Y30"/>
    <mergeCell ref="Z30:AA30"/>
    <mergeCell ref="AC30:AI30"/>
    <mergeCell ref="AJ30:AK30"/>
    <mergeCell ref="AL30:AM30"/>
    <mergeCell ref="AN30:AO30"/>
    <mergeCell ref="AP30:AQ30"/>
    <mergeCell ref="AR30:AS30"/>
    <mergeCell ref="AT30:AU30"/>
    <mergeCell ref="AV30:AW30"/>
    <mergeCell ref="AX30:AY30"/>
    <mergeCell ref="AZ30:BA30"/>
    <mergeCell ref="C31:E31"/>
    <mergeCell ref="F31:I31"/>
    <mergeCell ref="J31:K31"/>
    <mergeCell ref="L31:M31"/>
    <mergeCell ref="N31:O31"/>
    <mergeCell ref="P31:Q31"/>
    <mergeCell ref="R31:S31"/>
    <mergeCell ref="T31:U31"/>
    <mergeCell ref="V31:W31"/>
    <mergeCell ref="X31:Y31"/>
    <mergeCell ref="Z31:AA31"/>
    <mergeCell ref="AC31:AI31"/>
    <mergeCell ref="AJ31:AK31"/>
    <mergeCell ref="AL31:AM31"/>
    <mergeCell ref="AN31:AO31"/>
    <mergeCell ref="AP31:AQ31"/>
    <mergeCell ref="AR31:AS31"/>
    <mergeCell ref="AT31:AU31"/>
    <mergeCell ref="AV31:AW31"/>
    <mergeCell ref="AX31:AY31"/>
    <mergeCell ref="AZ31:BA31"/>
    <mergeCell ref="C32:E32"/>
    <mergeCell ref="F32:I32"/>
    <mergeCell ref="J32:K32"/>
    <mergeCell ref="L32:M32"/>
    <mergeCell ref="N32:O32"/>
    <mergeCell ref="P32:Q32"/>
    <mergeCell ref="R32:S32"/>
    <mergeCell ref="T32:U32"/>
    <mergeCell ref="V32:W32"/>
    <mergeCell ref="X32:Y32"/>
    <mergeCell ref="Z32:AA32"/>
    <mergeCell ref="AC32:AE32"/>
    <mergeCell ref="AF32:AI32"/>
    <mergeCell ref="AJ32:AK32"/>
    <mergeCell ref="AL32:AM32"/>
    <mergeCell ref="AN32:AO32"/>
    <mergeCell ref="AP32:AQ32"/>
    <mergeCell ref="AR32:AS32"/>
    <mergeCell ref="AT32:AU32"/>
    <mergeCell ref="AV32:AW32"/>
    <mergeCell ref="AX32:AY32"/>
    <mergeCell ref="AZ32:BA32"/>
    <mergeCell ref="C33:E33"/>
    <mergeCell ref="F33:I33"/>
    <mergeCell ref="J33:K33"/>
    <mergeCell ref="L33:M33"/>
    <mergeCell ref="N33:O33"/>
    <mergeCell ref="P33:Q33"/>
    <mergeCell ref="R33:S33"/>
    <mergeCell ref="T33:U33"/>
    <mergeCell ref="V33:W33"/>
    <mergeCell ref="X33:Y33"/>
    <mergeCell ref="Z33:AA33"/>
    <mergeCell ref="AC33:AE33"/>
    <mergeCell ref="AF33:AI33"/>
    <mergeCell ref="AJ33:AK33"/>
    <mergeCell ref="AL33:AM33"/>
    <mergeCell ref="AN33:AO33"/>
    <mergeCell ref="AP33:AQ33"/>
    <mergeCell ref="AR33:AS33"/>
    <mergeCell ref="AT33:AU33"/>
    <mergeCell ref="AV33:AW33"/>
    <mergeCell ref="AX33:AY33"/>
    <mergeCell ref="AZ33:BA33"/>
    <mergeCell ref="C34:I34"/>
    <mergeCell ref="J34:K34"/>
    <mergeCell ref="L34:M34"/>
    <mergeCell ref="N34:O34"/>
    <mergeCell ref="P34:Q34"/>
    <mergeCell ref="R34:S34"/>
    <mergeCell ref="T34:U34"/>
    <mergeCell ref="V34:W34"/>
    <mergeCell ref="X34:Y34"/>
    <mergeCell ref="Z34:AA34"/>
    <mergeCell ref="AC34:AE34"/>
    <mergeCell ref="AF34:AI34"/>
    <mergeCell ref="AJ34:AK34"/>
    <mergeCell ref="AL34:AM34"/>
    <mergeCell ref="AN34:AO34"/>
    <mergeCell ref="AP34:AQ34"/>
    <mergeCell ref="AR34:AS34"/>
    <mergeCell ref="AT34:AU34"/>
    <mergeCell ref="AV34:AW34"/>
    <mergeCell ref="AX34:AY34"/>
    <mergeCell ref="AZ34:BA34"/>
    <mergeCell ref="C35:I35"/>
    <mergeCell ref="J35:K35"/>
    <mergeCell ref="L35:M35"/>
    <mergeCell ref="N35:O35"/>
    <mergeCell ref="P35:Q35"/>
    <mergeCell ref="R35:S35"/>
    <mergeCell ref="T35:U35"/>
    <mergeCell ref="V35:W35"/>
    <mergeCell ref="X35:Y35"/>
    <mergeCell ref="Z35:AA35"/>
    <mergeCell ref="AC35:AI35"/>
    <mergeCell ref="AJ35:AK35"/>
    <mergeCell ref="AL35:AM35"/>
    <mergeCell ref="AN35:AO35"/>
    <mergeCell ref="AP35:AQ35"/>
    <mergeCell ref="AR35:AS35"/>
    <mergeCell ref="AT35:AU35"/>
    <mergeCell ref="AV35:AW35"/>
    <mergeCell ref="AX35:AY35"/>
    <mergeCell ref="AZ35:BA35"/>
    <mergeCell ref="C36:I36"/>
    <mergeCell ref="J36:K36"/>
    <mergeCell ref="L36:M36"/>
    <mergeCell ref="N36:O36"/>
    <mergeCell ref="P36:Q36"/>
    <mergeCell ref="R36:S36"/>
    <mergeCell ref="T36:U36"/>
    <mergeCell ref="V36:W36"/>
    <mergeCell ref="X36:Y36"/>
    <mergeCell ref="Z36:AA36"/>
    <mergeCell ref="AC36:AI36"/>
    <mergeCell ref="AJ36:AK36"/>
    <mergeCell ref="AL36:AM36"/>
    <mergeCell ref="AN36:AO36"/>
    <mergeCell ref="AP36:AQ36"/>
    <mergeCell ref="AR36:AS36"/>
    <mergeCell ref="AT36:AU36"/>
    <mergeCell ref="AV36:AW36"/>
    <mergeCell ref="AX36:AY36"/>
    <mergeCell ref="AZ36:BA36"/>
    <mergeCell ref="C37:I37"/>
    <mergeCell ref="J37:K37"/>
    <mergeCell ref="L37:M37"/>
    <mergeCell ref="N37:O37"/>
    <mergeCell ref="P37:Q37"/>
    <mergeCell ref="R37:S37"/>
    <mergeCell ref="T37:U37"/>
    <mergeCell ref="V37:W37"/>
    <mergeCell ref="X37:Y37"/>
    <mergeCell ref="Z37:AA37"/>
    <mergeCell ref="AC37:AI37"/>
    <mergeCell ref="AJ37:AK37"/>
    <mergeCell ref="AL37:AM37"/>
    <mergeCell ref="AN37:AO37"/>
    <mergeCell ref="AP37:AQ37"/>
    <mergeCell ref="AR37:AS37"/>
    <mergeCell ref="AT37:AU37"/>
    <mergeCell ref="AV37:AW37"/>
    <mergeCell ref="AX37:AY37"/>
    <mergeCell ref="AZ37:BA37"/>
    <mergeCell ref="C38:I38"/>
    <mergeCell ref="J38:K38"/>
    <mergeCell ref="L38:M38"/>
    <mergeCell ref="N38:O38"/>
    <mergeCell ref="P38:Q38"/>
    <mergeCell ref="R38:S38"/>
    <mergeCell ref="T38:U38"/>
    <mergeCell ref="V38:W38"/>
    <mergeCell ref="X38:Y38"/>
    <mergeCell ref="Z38:AA38"/>
    <mergeCell ref="AC38:AE38"/>
    <mergeCell ref="AF38:AI38"/>
    <mergeCell ref="AJ38:AK38"/>
    <mergeCell ref="AL38:AM38"/>
    <mergeCell ref="AN38:AO38"/>
    <mergeCell ref="AP38:AQ38"/>
    <mergeCell ref="AR38:AS38"/>
    <mergeCell ref="AT38:AU38"/>
    <mergeCell ref="AV38:AW38"/>
    <mergeCell ref="AX38:AY38"/>
    <mergeCell ref="AZ38:BA38"/>
    <mergeCell ref="C39:I39"/>
    <mergeCell ref="J39:K39"/>
    <mergeCell ref="L39:M39"/>
    <mergeCell ref="N39:O39"/>
    <mergeCell ref="P39:Q39"/>
    <mergeCell ref="R39:S39"/>
    <mergeCell ref="T39:U39"/>
    <mergeCell ref="V39:W39"/>
    <mergeCell ref="X39:Y39"/>
    <mergeCell ref="Z39:AA39"/>
    <mergeCell ref="AC39:AI39"/>
    <mergeCell ref="AJ39:AK39"/>
    <mergeCell ref="AL39:AM39"/>
    <mergeCell ref="AN39:AO39"/>
    <mergeCell ref="AP39:AQ39"/>
    <mergeCell ref="AR39:AS39"/>
    <mergeCell ref="AT39:AU39"/>
    <mergeCell ref="AV39:AW39"/>
    <mergeCell ref="AX39:AY39"/>
    <mergeCell ref="AZ39:BA39"/>
    <mergeCell ref="C40:I40"/>
    <mergeCell ref="J40:K40"/>
    <mergeCell ref="L40:M40"/>
    <mergeCell ref="N40:O40"/>
    <mergeCell ref="P40:Q40"/>
    <mergeCell ref="R40:S40"/>
    <mergeCell ref="T40:U40"/>
    <mergeCell ref="V40:W40"/>
    <mergeCell ref="X40:Y40"/>
    <mergeCell ref="Z40:AA40"/>
    <mergeCell ref="AC40:AI40"/>
    <mergeCell ref="AJ40:AK40"/>
    <mergeCell ref="AL40:AM40"/>
    <mergeCell ref="AN40:AO40"/>
    <mergeCell ref="AP40:AQ40"/>
    <mergeCell ref="AR40:AS40"/>
    <mergeCell ref="AT40:AU40"/>
    <mergeCell ref="AV40:AW40"/>
    <mergeCell ref="AX40:AY40"/>
    <mergeCell ref="AZ40:BA40"/>
    <mergeCell ref="C41:I41"/>
    <mergeCell ref="J41:K41"/>
    <mergeCell ref="L41:M41"/>
    <mergeCell ref="N41:O41"/>
    <mergeCell ref="P41:Q41"/>
    <mergeCell ref="R41:S41"/>
    <mergeCell ref="T41:U41"/>
    <mergeCell ref="V41:W41"/>
    <mergeCell ref="X41:Y41"/>
    <mergeCell ref="Z41:AA41"/>
    <mergeCell ref="AC41:AI41"/>
    <mergeCell ref="AJ41:AK41"/>
    <mergeCell ref="AL41:AM41"/>
    <mergeCell ref="AN41:AO41"/>
    <mergeCell ref="AP41:AQ41"/>
    <mergeCell ref="AR41:AS41"/>
    <mergeCell ref="AT41:AU41"/>
    <mergeCell ref="AV41:AW41"/>
    <mergeCell ref="AX41:AY41"/>
    <mergeCell ref="AZ41:BA41"/>
    <mergeCell ref="C42:E42"/>
    <mergeCell ref="F42:I42"/>
    <mergeCell ref="J42:K42"/>
    <mergeCell ref="L42:M42"/>
    <mergeCell ref="N42:O42"/>
    <mergeCell ref="P42:Q42"/>
    <mergeCell ref="R42:S42"/>
    <mergeCell ref="T42:U42"/>
    <mergeCell ref="V42:W42"/>
    <mergeCell ref="X42:Y42"/>
    <mergeCell ref="Z42:AA42"/>
    <mergeCell ref="AC42:AE42"/>
    <mergeCell ref="AF42:AI42"/>
    <mergeCell ref="AJ42:AK42"/>
    <mergeCell ref="AL42:AM42"/>
    <mergeCell ref="AN42:AO42"/>
    <mergeCell ref="AP42:AQ42"/>
    <mergeCell ref="AR42:AS42"/>
    <mergeCell ref="AT42:AU42"/>
    <mergeCell ref="AV42:AW42"/>
    <mergeCell ref="AX42:AY42"/>
    <mergeCell ref="AZ42:BA42"/>
    <mergeCell ref="C43:E43"/>
    <mergeCell ref="F43:I43"/>
    <mergeCell ref="J43:K43"/>
    <mergeCell ref="L43:M43"/>
    <mergeCell ref="N43:O43"/>
    <mergeCell ref="P43:Q43"/>
    <mergeCell ref="R43:S43"/>
    <mergeCell ref="T43:U43"/>
    <mergeCell ref="V43:W43"/>
    <mergeCell ref="X43:Y43"/>
    <mergeCell ref="Z43:AA43"/>
    <mergeCell ref="AC43:AI43"/>
    <mergeCell ref="AJ43:AK43"/>
    <mergeCell ref="AL43:AM43"/>
    <mergeCell ref="AN43:AO43"/>
    <mergeCell ref="AP43:AQ43"/>
    <mergeCell ref="AR43:AS43"/>
    <mergeCell ref="AT43:AU43"/>
    <mergeCell ref="AV43:AW43"/>
    <mergeCell ref="AX43:AY43"/>
    <mergeCell ref="AZ43:BA43"/>
    <mergeCell ref="C44:E44"/>
    <mergeCell ref="F44:I44"/>
    <mergeCell ref="J44:K44"/>
    <mergeCell ref="L44:M44"/>
    <mergeCell ref="N44:O44"/>
    <mergeCell ref="P44:Q44"/>
    <mergeCell ref="R44:S44"/>
    <mergeCell ref="T44:U44"/>
    <mergeCell ref="V44:W44"/>
    <mergeCell ref="X44:Y44"/>
    <mergeCell ref="Z44:AA44"/>
    <mergeCell ref="AC44:AI44"/>
    <mergeCell ref="AJ44:AK44"/>
    <mergeCell ref="AL44:AM44"/>
    <mergeCell ref="AN44:AO44"/>
    <mergeCell ref="AP44:AQ44"/>
    <mergeCell ref="AR44:AS44"/>
    <mergeCell ref="AT44:AU44"/>
    <mergeCell ref="AV44:AW44"/>
    <mergeCell ref="AX44:AY44"/>
    <mergeCell ref="AZ44:BA44"/>
    <mergeCell ref="C45:E45"/>
    <mergeCell ref="F45:I45"/>
    <mergeCell ref="J45:K45"/>
    <mergeCell ref="L45:M45"/>
    <mergeCell ref="N45:O45"/>
    <mergeCell ref="P45:Q45"/>
    <mergeCell ref="R45:S45"/>
    <mergeCell ref="T45:U45"/>
    <mergeCell ref="V45:W45"/>
    <mergeCell ref="X45:Y45"/>
    <mergeCell ref="Z45:AA45"/>
    <mergeCell ref="AC45:AI45"/>
    <mergeCell ref="AJ45:AK45"/>
    <mergeCell ref="AL45:AM45"/>
    <mergeCell ref="AN45:AO45"/>
    <mergeCell ref="AP45:AQ45"/>
    <mergeCell ref="AR45:AS45"/>
    <mergeCell ref="AT45:AU45"/>
    <mergeCell ref="AV45:AW45"/>
    <mergeCell ref="AX45:AY45"/>
    <mergeCell ref="AZ45:BA45"/>
    <mergeCell ref="C46:E46"/>
    <mergeCell ref="F46:I46"/>
    <mergeCell ref="J46:K46"/>
    <mergeCell ref="L46:M46"/>
    <mergeCell ref="N46:O46"/>
    <mergeCell ref="P46:Q46"/>
    <mergeCell ref="R46:S46"/>
    <mergeCell ref="T46:U46"/>
    <mergeCell ref="V46:W46"/>
    <mergeCell ref="X46:Y46"/>
    <mergeCell ref="Z46:AA46"/>
    <mergeCell ref="AC46:AI46"/>
    <mergeCell ref="AJ46:AK46"/>
    <mergeCell ref="AL46:AM46"/>
    <mergeCell ref="AN46:AO46"/>
    <mergeCell ref="AP46:AQ46"/>
    <mergeCell ref="AR46:AS46"/>
    <mergeCell ref="AT46:AU46"/>
    <mergeCell ref="AV46:AW46"/>
    <mergeCell ref="AX46:AY46"/>
    <mergeCell ref="AZ46:BA46"/>
    <mergeCell ref="C47:E47"/>
    <mergeCell ref="F47:I47"/>
    <mergeCell ref="J47:K47"/>
    <mergeCell ref="L47:M47"/>
    <mergeCell ref="N47:O47"/>
    <mergeCell ref="P47:Q47"/>
    <mergeCell ref="R47:S47"/>
    <mergeCell ref="T47:U47"/>
    <mergeCell ref="V47:W47"/>
    <mergeCell ref="X47:Y47"/>
    <mergeCell ref="Z47:AA47"/>
    <mergeCell ref="AC47:AI47"/>
    <mergeCell ref="AJ47:AK47"/>
    <mergeCell ref="AL47:AM47"/>
    <mergeCell ref="AN47:AO47"/>
    <mergeCell ref="AP47:AQ47"/>
    <mergeCell ref="AR47:AS47"/>
    <mergeCell ref="AT47:AU47"/>
    <mergeCell ref="AV47:AW47"/>
    <mergeCell ref="AX47:AY47"/>
    <mergeCell ref="AZ47:BA47"/>
    <mergeCell ref="C48:I48"/>
    <mergeCell ref="J48:K48"/>
    <mergeCell ref="L48:M48"/>
    <mergeCell ref="N48:O48"/>
    <mergeCell ref="P48:Q48"/>
    <mergeCell ref="R48:S48"/>
    <mergeCell ref="T48:U48"/>
    <mergeCell ref="V48:W48"/>
    <mergeCell ref="X48:Y48"/>
    <mergeCell ref="Z48:AA48"/>
    <mergeCell ref="AC48:AI48"/>
    <mergeCell ref="AJ48:AK48"/>
    <mergeCell ref="AL48:AM48"/>
    <mergeCell ref="AN48:AO48"/>
    <mergeCell ref="AP48:AQ48"/>
    <mergeCell ref="AR48:AS48"/>
    <mergeCell ref="AT48:AU48"/>
    <mergeCell ref="AV48:AW48"/>
    <mergeCell ref="AX48:AY48"/>
    <mergeCell ref="AZ48:BA48"/>
    <mergeCell ref="C49:I49"/>
    <mergeCell ref="J49:K49"/>
    <mergeCell ref="L49:M49"/>
    <mergeCell ref="N49:O49"/>
    <mergeCell ref="P49:Q49"/>
    <mergeCell ref="R49:S49"/>
    <mergeCell ref="T49:U49"/>
    <mergeCell ref="V49:W49"/>
    <mergeCell ref="X49:Y49"/>
    <mergeCell ref="Z49:AA49"/>
    <mergeCell ref="AC49:AI49"/>
    <mergeCell ref="AJ49:AK49"/>
    <mergeCell ref="AL49:AM49"/>
    <mergeCell ref="AN49:AO49"/>
    <mergeCell ref="AP49:AQ49"/>
    <mergeCell ref="AR49:AS49"/>
    <mergeCell ref="AT49:AU49"/>
    <mergeCell ref="AV49:AW49"/>
    <mergeCell ref="AX49:AY49"/>
    <mergeCell ref="AZ49:BA49"/>
    <mergeCell ref="C50:I50"/>
    <mergeCell ref="J50:K50"/>
    <mergeCell ref="L50:M50"/>
    <mergeCell ref="N50:O50"/>
    <mergeCell ref="P50:Q50"/>
    <mergeCell ref="R50:S50"/>
    <mergeCell ref="T50:U50"/>
    <mergeCell ref="V50:W50"/>
    <mergeCell ref="X50:Y50"/>
    <mergeCell ref="Z50:AA50"/>
    <mergeCell ref="AC50:AI50"/>
    <mergeCell ref="AJ50:AK50"/>
    <mergeCell ref="AL50:AM50"/>
    <mergeCell ref="AN50:AO50"/>
    <mergeCell ref="AP50:AQ50"/>
    <mergeCell ref="AR50:AS50"/>
    <mergeCell ref="AT50:AU50"/>
    <mergeCell ref="AV50:AW50"/>
    <mergeCell ref="AX50:AY50"/>
    <mergeCell ref="AZ50:BA50"/>
    <mergeCell ref="C51:I51"/>
    <mergeCell ref="J51:K51"/>
    <mergeCell ref="L51:M51"/>
    <mergeCell ref="N51:O51"/>
    <mergeCell ref="P51:Q51"/>
    <mergeCell ref="R51:S51"/>
    <mergeCell ref="T51:U51"/>
    <mergeCell ref="V51:W51"/>
    <mergeCell ref="X51:Y51"/>
    <mergeCell ref="Z51:AA51"/>
    <mergeCell ref="AC51:AI51"/>
    <mergeCell ref="AJ51:AK51"/>
    <mergeCell ref="AL51:AM51"/>
    <mergeCell ref="AN51:AO51"/>
    <mergeCell ref="AP51:AQ51"/>
    <mergeCell ref="AR51:AS51"/>
    <mergeCell ref="AT51:AU51"/>
    <mergeCell ref="AV51:AW51"/>
    <mergeCell ref="AX51:AY51"/>
    <mergeCell ref="AZ51:BA51"/>
    <mergeCell ref="C52:E52"/>
    <mergeCell ref="F52:I52"/>
    <mergeCell ref="J52:K52"/>
    <mergeCell ref="L52:M52"/>
    <mergeCell ref="N52:O52"/>
    <mergeCell ref="P52:Q52"/>
    <mergeCell ref="R52:S52"/>
    <mergeCell ref="T52:U52"/>
    <mergeCell ref="V52:W52"/>
    <mergeCell ref="X52:Y52"/>
    <mergeCell ref="Z52:AA52"/>
    <mergeCell ref="AC52:AI52"/>
    <mergeCell ref="AJ52:AK52"/>
    <mergeCell ref="AL52:AM52"/>
    <mergeCell ref="AN52:AO52"/>
    <mergeCell ref="AP52:AQ52"/>
    <mergeCell ref="AR52:AS52"/>
    <mergeCell ref="AT52:AU52"/>
    <mergeCell ref="AV52:AW52"/>
    <mergeCell ref="AX52:AY52"/>
    <mergeCell ref="AZ52:BA52"/>
    <mergeCell ref="C53:E53"/>
    <mergeCell ref="F53:I53"/>
    <mergeCell ref="J53:K53"/>
    <mergeCell ref="L53:M53"/>
    <mergeCell ref="N53:O53"/>
    <mergeCell ref="P53:Q53"/>
    <mergeCell ref="R53:S53"/>
    <mergeCell ref="T53:U53"/>
    <mergeCell ref="V53:W53"/>
    <mergeCell ref="X53:Y53"/>
    <mergeCell ref="Z53:AA53"/>
    <mergeCell ref="AC53:AI53"/>
    <mergeCell ref="AJ53:AK53"/>
    <mergeCell ref="AL53:AM53"/>
    <mergeCell ref="AN53:AO53"/>
    <mergeCell ref="AP53:AQ53"/>
    <mergeCell ref="AR53:AS53"/>
    <mergeCell ref="AT53:AU53"/>
    <mergeCell ref="AV53:AW53"/>
    <mergeCell ref="AX53:AY53"/>
    <mergeCell ref="AZ53:BA53"/>
    <mergeCell ref="C54:E54"/>
    <mergeCell ref="F54:I54"/>
    <mergeCell ref="J54:K54"/>
    <mergeCell ref="L54:M54"/>
    <mergeCell ref="N54:O54"/>
    <mergeCell ref="P54:Q54"/>
    <mergeCell ref="R54:S54"/>
    <mergeCell ref="T54:U54"/>
    <mergeCell ref="V54:W54"/>
    <mergeCell ref="X54:Y54"/>
    <mergeCell ref="Z54:AA54"/>
    <mergeCell ref="AC54:AI54"/>
    <mergeCell ref="AJ54:AK54"/>
    <mergeCell ref="AL54:AM54"/>
    <mergeCell ref="AN54:AO54"/>
    <mergeCell ref="AP54:AQ54"/>
    <mergeCell ref="AR54:AS54"/>
    <mergeCell ref="AT54:AU54"/>
    <mergeCell ref="AV54:AW54"/>
    <mergeCell ref="AX54:AY54"/>
    <mergeCell ref="AZ54:BA54"/>
    <mergeCell ref="C55:E55"/>
    <mergeCell ref="F55:I55"/>
    <mergeCell ref="J55:K55"/>
    <mergeCell ref="L55:M55"/>
    <mergeCell ref="N55:O55"/>
    <mergeCell ref="P55:Q55"/>
    <mergeCell ref="R55:S55"/>
    <mergeCell ref="T55:U55"/>
    <mergeCell ref="V55:W55"/>
    <mergeCell ref="X55:Y55"/>
    <mergeCell ref="Z55:AA55"/>
    <mergeCell ref="AC55:AI55"/>
    <mergeCell ref="AJ55:AK55"/>
    <mergeCell ref="AL55:AM55"/>
    <mergeCell ref="AN55:AO55"/>
    <mergeCell ref="AP55:AQ55"/>
    <mergeCell ref="AR55:AS55"/>
    <mergeCell ref="AT55:AU55"/>
    <mergeCell ref="AV55:AW55"/>
    <mergeCell ref="AX55:AY55"/>
    <mergeCell ref="AZ55:BA55"/>
    <mergeCell ref="C56:E56"/>
    <mergeCell ref="F56:I56"/>
    <mergeCell ref="J56:K56"/>
    <mergeCell ref="L56:M56"/>
    <mergeCell ref="N56:O56"/>
    <mergeCell ref="P56:Q56"/>
    <mergeCell ref="R56:S56"/>
    <mergeCell ref="T56:U56"/>
    <mergeCell ref="V56:W56"/>
    <mergeCell ref="X56:Y56"/>
    <mergeCell ref="Z56:AA56"/>
    <mergeCell ref="AC56:AI56"/>
    <mergeCell ref="AJ56:AK56"/>
    <mergeCell ref="AL56:AM56"/>
    <mergeCell ref="AN56:AO56"/>
    <mergeCell ref="AP56:AQ56"/>
    <mergeCell ref="AR56:AS56"/>
    <mergeCell ref="AT56:AU56"/>
    <mergeCell ref="AV56:AW56"/>
    <mergeCell ref="AX56:AY56"/>
    <mergeCell ref="AZ56:BA56"/>
    <mergeCell ref="C57:E57"/>
    <mergeCell ref="F57:I57"/>
    <mergeCell ref="J57:K57"/>
    <mergeCell ref="L57:M57"/>
    <mergeCell ref="N57:O57"/>
    <mergeCell ref="P57:Q57"/>
    <mergeCell ref="R57:S57"/>
    <mergeCell ref="T57:U57"/>
    <mergeCell ref="V57:W57"/>
    <mergeCell ref="X57:Y57"/>
    <mergeCell ref="Z57:AA57"/>
    <mergeCell ref="AC57:AI57"/>
    <mergeCell ref="AJ57:AK57"/>
    <mergeCell ref="AL57:AM57"/>
    <mergeCell ref="AN57:AO57"/>
    <mergeCell ref="AP57:AQ57"/>
    <mergeCell ref="AR57:AS57"/>
    <mergeCell ref="AT57:AU57"/>
    <mergeCell ref="AV57:AW57"/>
    <mergeCell ref="AX57:AY57"/>
    <mergeCell ref="AZ57:BA57"/>
    <mergeCell ref="C58:E58"/>
    <mergeCell ref="F58:I58"/>
    <mergeCell ref="J58:K58"/>
    <mergeCell ref="L58:M58"/>
    <mergeCell ref="N58:O58"/>
    <mergeCell ref="P58:Q58"/>
    <mergeCell ref="R58:S58"/>
    <mergeCell ref="T58:U58"/>
    <mergeCell ref="V58:W58"/>
    <mergeCell ref="X58:Y58"/>
    <mergeCell ref="Z58:AA58"/>
    <mergeCell ref="AC58:AI58"/>
    <mergeCell ref="AJ58:AK58"/>
    <mergeCell ref="AL58:AM58"/>
    <mergeCell ref="AN58:AO58"/>
    <mergeCell ref="AP58:AQ58"/>
    <mergeCell ref="AR58:AS58"/>
    <mergeCell ref="AT58:AU58"/>
    <mergeCell ref="AV58:AW58"/>
    <mergeCell ref="AX58:AY58"/>
    <mergeCell ref="AZ58:BA58"/>
    <mergeCell ref="C59:I59"/>
    <mergeCell ref="J59:K59"/>
    <mergeCell ref="L59:M59"/>
    <mergeCell ref="N59:O59"/>
    <mergeCell ref="P59:Q59"/>
    <mergeCell ref="R59:S59"/>
    <mergeCell ref="T59:U59"/>
    <mergeCell ref="V59:W59"/>
    <mergeCell ref="X59:Y59"/>
    <mergeCell ref="Z59:AA59"/>
    <mergeCell ref="AC59:AI59"/>
    <mergeCell ref="AJ59:AK59"/>
    <mergeCell ref="AL59:AM59"/>
    <mergeCell ref="AN59:AO59"/>
    <mergeCell ref="AP59:AQ59"/>
    <mergeCell ref="AR59:AS59"/>
    <mergeCell ref="AT59:AU59"/>
    <mergeCell ref="AV59:AW59"/>
    <mergeCell ref="AX59:AY59"/>
    <mergeCell ref="AZ59:BA59"/>
    <mergeCell ref="C60:I60"/>
    <mergeCell ref="J60:K60"/>
    <mergeCell ref="L60:M60"/>
    <mergeCell ref="N60:O60"/>
    <mergeCell ref="P60:Q60"/>
    <mergeCell ref="R60:S60"/>
    <mergeCell ref="T60:U60"/>
    <mergeCell ref="V60:W60"/>
    <mergeCell ref="X60:Y60"/>
    <mergeCell ref="Z60:AA60"/>
    <mergeCell ref="AC60:AI60"/>
    <mergeCell ref="AJ60:AK60"/>
    <mergeCell ref="AL60:AM60"/>
    <mergeCell ref="AN60:AO60"/>
    <mergeCell ref="AP60:AQ60"/>
    <mergeCell ref="AR60:AS60"/>
    <mergeCell ref="AT60:AU60"/>
    <mergeCell ref="AV60:AW60"/>
    <mergeCell ref="AX60:AY60"/>
    <mergeCell ref="AZ60:BA60"/>
    <mergeCell ref="C61:I61"/>
    <mergeCell ref="J61:K61"/>
    <mergeCell ref="L61:M61"/>
    <mergeCell ref="N61:O61"/>
    <mergeCell ref="P61:Q61"/>
    <mergeCell ref="R61:S61"/>
    <mergeCell ref="T61:U61"/>
    <mergeCell ref="V61:W61"/>
    <mergeCell ref="X61:Y61"/>
    <mergeCell ref="Z61:AA61"/>
    <mergeCell ref="AC61:AI61"/>
    <mergeCell ref="AJ61:AK61"/>
    <mergeCell ref="AL61:AM61"/>
    <mergeCell ref="AN61:AO61"/>
    <mergeCell ref="AP61:AQ61"/>
    <mergeCell ref="AR61:AS61"/>
    <mergeCell ref="AT61:AU61"/>
    <mergeCell ref="AV61:AW61"/>
    <mergeCell ref="AX61:AY61"/>
    <mergeCell ref="AZ61:BA61"/>
    <mergeCell ref="C62:I62"/>
    <mergeCell ref="J62:K62"/>
    <mergeCell ref="L62:M62"/>
    <mergeCell ref="N62:O62"/>
    <mergeCell ref="P62:Q62"/>
    <mergeCell ref="R62:S62"/>
    <mergeCell ref="T62:U62"/>
    <mergeCell ref="V62:W62"/>
    <mergeCell ref="X62:Y62"/>
    <mergeCell ref="Z62:AA62"/>
    <mergeCell ref="AC62:AI62"/>
    <mergeCell ref="AJ62:AK62"/>
    <mergeCell ref="AL62:AM62"/>
    <mergeCell ref="AN62:AO62"/>
    <mergeCell ref="AP62:AQ62"/>
    <mergeCell ref="AR62:AS62"/>
    <mergeCell ref="AT62:AU62"/>
    <mergeCell ref="AV62:AW62"/>
    <mergeCell ref="AX62:AY62"/>
    <mergeCell ref="AZ62:BA62"/>
    <mergeCell ref="C63:I63"/>
    <mergeCell ref="J63:K63"/>
    <mergeCell ref="L63:M63"/>
    <mergeCell ref="N63:O63"/>
    <mergeCell ref="P63:Q63"/>
    <mergeCell ref="R63:S63"/>
    <mergeCell ref="T63:U63"/>
    <mergeCell ref="V63:W63"/>
    <mergeCell ref="X63:Y63"/>
    <mergeCell ref="Z63:AA63"/>
    <mergeCell ref="AC63:AI63"/>
    <mergeCell ref="AJ63:AK63"/>
    <mergeCell ref="AL63:AM63"/>
    <mergeCell ref="AN63:AO63"/>
    <mergeCell ref="AP63:AQ63"/>
    <mergeCell ref="AR63:AS63"/>
    <mergeCell ref="AT63:AU63"/>
    <mergeCell ref="AV63:AW63"/>
    <mergeCell ref="AX63:AY63"/>
    <mergeCell ref="AZ63:BA63"/>
    <mergeCell ref="C64:I64"/>
    <mergeCell ref="J64:K64"/>
    <mergeCell ref="L64:M64"/>
    <mergeCell ref="N64:O64"/>
    <mergeCell ref="P64:Q64"/>
    <mergeCell ref="R64:S64"/>
    <mergeCell ref="T64:U64"/>
    <mergeCell ref="V64:W64"/>
    <mergeCell ref="X64:Y64"/>
    <mergeCell ref="Z64:AA64"/>
    <mergeCell ref="AC64:AI64"/>
    <mergeCell ref="AJ64:AK64"/>
    <mergeCell ref="AL64:AM64"/>
    <mergeCell ref="AN64:AO64"/>
    <mergeCell ref="AP64:AQ64"/>
    <mergeCell ref="AR64:AS64"/>
    <mergeCell ref="AT64:AU64"/>
    <mergeCell ref="AV64:AW64"/>
    <mergeCell ref="AX64:AY64"/>
    <mergeCell ref="AZ64:BA64"/>
    <mergeCell ref="C65:I65"/>
    <mergeCell ref="J65:K65"/>
    <mergeCell ref="L65:M65"/>
    <mergeCell ref="N65:O65"/>
    <mergeCell ref="P65:Q65"/>
    <mergeCell ref="R65:S65"/>
    <mergeCell ref="T65:U65"/>
    <mergeCell ref="V65:W65"/>
    <mergeCell ref="X65:Y65"/>
    <mergeCell ref="Z65:AA65"/>
    <mergeCell ref="AC65:AI65"/>
    <mergeCell ref="AJ65:AK65"/>
    <mergeCell ref="AL65:AM65"/>
    <mergeCell ref="AN65:AO65"/>
    <mergeCell ref="AP65:AQ65"/>
    <mergeCell ref="AR65:AS65"/>
    <mergeCell ref="AT65:AU65"/>
    <mergeCell ref="AV65:AW65"/>
    <mergeCell ref="AX65:AY65"/>
    <mergeCell ref="AZ65:BA65"/>
    <mergeCell ref="C66:I66"/>
    <mergeCell ref="J66:K66"/>
    <mergeCell ref="L66:M66"/>
    <mergeCell ref="N66:O66"/>
    <mergeCell ref="P66:Q66"/>
    <mergeCell ref="R66:S66"/>
    <mergeCell ref="T66:U66"/>
    <mergeCell ref="V66:W66"/>
    <mergeCell ref="X66:Y66"/>
    <mergeCell ref="Z66:AA66"/>
    <mergeCell ref="AC66:AI66"/>
    <mergeCell ref="AJ66:AK66"/>
    <mergeCell ref="AL66:AM66"/>
    <mergeCell ref="AN66:AO66"/>
    <mergeCell ref="AP66:AQ66"/>
    <mergeCell ref="AR66:AS66"/>
    <mergeCell ref="AT66:AU66"/>
    <mergeCell ref="AV66:AW66"/>
    <mergeCell ref="AX66:AY66"/>
    <mergeCell ref="AZ66:BA66"/>
    <mergeCell ref="C67:I67"/>
    <mergeCell ref="J67:K67"/>
    <mergeCell ref="L67:M67"/>
    <mergeCell ref="N67:O67"/>
    <mergeCell ref="P67:Q67"/>
    <mergeCell ref="R67:S67"/>
    <mergeCell ref="T67:U67"/>
    <mergeCell ref="V67:W67"/>
    <mergeCell ref="X67:Y67"/>
    <mergeCell ref="Z67:AA67"/>
    <mergeCell ref="AC67:AI67"/>
    <mergeCell ref="AJ67:AK67"/>
    <mergeCell ref="AL67:AM67"/>
    <mergeCell ref="AN67:AO67"/>
    <mergeCell ref="AP67:AQ67"/>
    <mergeCell ref="AR67:AS67"/>
    <mergeCell ref="AT67:AU67"/>
    <mergeCell ref="AV67:AW67"/>
    <mergeCell ref="AX67:AY67"/>
    <mergeCell ref="AZ67:BA67"/>
    <mergeCell ref="B68:O68"/>
    <mergeCell ref="P68:AA68"/>
    <mergeCell ref="AB68:AI68"/>
    <mergeCell ref="AJ68:BA68"/>
    <mergeCell ref="B69:AO69"/>
    <mergeCell ref="AR69:BA69"/>
    <mergeCell ref="B70:G70"/>
    <mergeCell ref="H70:L70"/>
    <mergeCell ref="M70:R70"/>
    <mergeCell ref="S70:X70"/>
    <mergeCell ref="Y70:AA70"/>
    <mergeCell ref="AB70:AE70"/>
    <mergeCell ref="AF70:AH70"/>
    <mergeCell ref="AI70:AL70"/>
    <mergeCell ref="AM70:AO70"/>
    <mergeCell ref="B71:G71"/>
    <mergeCell ref="H71:L71"/>
    <mergeCell ref="M71:N71"/>
    <mergeCell ref="O71:P71"/>
    <mergeCell ref="Q71:R71"/>
    <mergeCell ref="S71:X71"/>
    <mergeCell ref="Y71:AA71"/>
    <mergeCell ref="AB71:AE71"/>
    <mergeCell ref="AF71:AH71"/>
    <mergeCell ref="AI71:AL71"/>
    <mergeCell ref="AM71:AO71"/>
    <mergeCell ref="B72:G72"/>
    <mergeCell ref="H72:L72"/>
    <mergeCell ref="M72:N72"/>
    <mergeCell ref="O72:P72"/>
    <mergeCell ref="Q72:R72"/>
    <mergeCell ref="S72:X72"/>
    <mergeCell ref="Y72:AA72"/>
    <mergeCell ref="AB72:AE72"/>
    <mergeCell ref="AF72:AH72"/>
    <mergeCell ref="AI72:AL72"/>
    <mergeCell ref="AM72:AO72"/>
    <mergeCell ref="B73:G73"/>
    <mergeCell ref="H73:L73"/>
    <mergeCell ref="M73:N73"/>
    <mergeCell ref="O73:P73"/>
    <mergeCell ref="Q73:R73"/>
    <mergeCell ref="S73:X73"/>
    <mergeCell ref="Y73:AA73"/>
    <mergeCell ref="AB73:AE73"/>
    <mergeCell ref="AF73:AH73"/>
    <mergeCell ref="AI73:AL73"/>
    <mergeCell ref="AM73:AO73"/>
    <mergeCell ref="B74:G74"/>
    <mergeCell ref="H74:L74"/>
    <mergeCell ref="M74:N74"/>
    <mergeCell ref="O74:P74"/>
    <mergeCell ref="Q74:R74"/>
    <mergeCell ref="S74:X74"/>
    <mergeCell ref="Y74:AA74"/>
    <mergeCell ref="AB74:AE74"/>
    <mergeCell ref="AF74:AH74"/>
    <mergeCell ref="AI74:AL74"/>
    <mergeCell ref="AM74:AO74"/>
    <mergeCell ref="AX74:BA74"/>
    <mergeCell ref="B75:G75"/>
    <mergeCell ref="H75:L75"/>
    <mergeCell ref="M75:N75"/>
    <mergeCell ref="O75:P75"/>
    <mergeCell ref="Q75:R75"/>
    <mergeCell ref="S75:X75"/>
    <mergeCell ref="Y75:AA75"/>
    <mergeCell ref="AB75:AE75"/>
    <mergeCell ref="AF75:AH75"/>
    <mergeCell ref="AI75:AL75"/>
    <mergeCell ref="AM75:AO75"/>
    <mergeCell ref="AX75:BA75"/>
    <mergeCell ref="B76:BA76"/>
    <mergeCell ref="B78:X78"/>
    <mergeCell ref="Z78:BA78"/>
    <mergeCell ref="B79:O79"/>
    <mergeCell ref="P79:X79"/>
    <mergeCell ref="B80:D80"/>
    <mergeCell ref="E80:M80"/>
    <mergeCell ref="N80:P80"/>
    <mergeCell ref="Q80:X80"/>
    <mergeCell ref="B86:X86"/>
    <mergeCell ref="B87:X87"/>
    <mergeCell ref="B88:X88"/>
    <mergeCell ref="B89:X89"/>
    <mergeCell ref="B90:X90"/>
    <mergeCell ref="B91:X91"/>
    <mergeCell ref="B92:X92"/>
    <mergeCell ref="B93:X93"/>
    <mergeCell ref="B94:X94"/>
    <mergeCell ref="B95:X95"/>
    <mergeCell ref="B97:X97"/>
    <mergeCell ref="Z106:AM106"/>
    <mergeCell ref="AO106:BA106"/>
    <mergeCell ref="AO107:AV107"/>
    <mergeCell ref="AW107:BA107"/>
    <mergeCell ref="AO108:AV108"/>
    <mergeCell ref="AW108:BA108"/>
    <mergeCell ref="AO109:AV109"/>
    <mergeCell ref="AW109:BA109"/>
    <mergeCell ref="B110:X110"/>
    <mergeCell ref="AO110:AV110"/>
    <mergeCell ref="AW110:BA110"/>
    <mergeCell ref="G111:M111"/>
    <mergeCell ref="N111:O111"/>
    <mergeCell ref="P111:Q111"/>
    <mergeCell ref="R111:S111"/>
    <mergeCell ref="T111:U111"/>
    <mergeCell ref="W111:X111"/>
    <mergeCell ref="AO111:AV111"/>
    <mergeCell ref="AW111:BA111"/>
    <mergeCell ref="G112:M112"/>
    <mergeCell ref="N112:O112"/>
    <mergeCell ref="P112:Q112"/>
    <mergeCell ref="R112:S112"/>
    <mergeCell ref="T112:U112"/>
    <mergeCell ref="W112:X112"/>
    <mergeCell ref="AO112:AV112"/>
    <mergeCell ref="AW112:BA112"/>
    <mergeCell ref="AO113:AV113"/>
    <mergeCell ref="AW113:BA113"/>
    <mergeCell ref="AO114:AV114"/>
    <mergeCell ref="AW114:BA114"/>
    <mergeCell ref="B115:O115"/>
    <mergeCell ref="P115:X115"/>
    <mergeCell ref="AO115:AV115"/>
    <mergeCell ref="AW115:BA115"/>
    <mergeCell ref="B116:E116"/>
    <mergeCell ref="F116:X116"/>
    <mergeCell ref="AO116:AV116"/>
    <mergeCell ref="AW116:BA116"/>
    <mergeCell ref="B117:E117"/>
    <mergeCell ref="F117:X117"/>
    <mergeCell ref="AO117:AV117"/>
    <mergeCell ref="AW117:BA117"/>
    <mergeCell ref="AO118:AV118"/>
    <mergeCell ref="AW118:BA118"/>
    <mergeCell ref="AO119:AV119"/>
    <mergeCell ref="AW119:BA119"/>
    <mergeCell ref="B120:O120"/>
    <mergeCell ref="P120:X120"/>
    <mergeCell ref="AO120:AV120"/>
    <mergeCell ref="AW120:BA120"/>
    <mergeCell ref="B122:BA122"/>
    <mergeCell ref="B123:BA123"/>
    <mergeCell ref="B124:BA124"/>
    <mergeCell ref="B125:BA125"/>
    <mergeCell ref="AX8:AY9"/>
    <mergeCell ref="AA8:AC9"/>
    <mergeCell ref="AA5:AC6"/>
    <mergeCell ref="AX5:AY6"/>
    <mergeCell ref="AV70:BA71"/>
    <mergeCell ref="AV74:AW75"/>
    <mergeCell ref="AV72:BA73"/>
    <mergeCell ref="AR72:AU73"/>
    <mergeCell ref="AR70:AU71"/>
    <mergeCell ref="D15:E16"/>
    <mergeCell ref="J15:K16"/>
    <mergeCell ref="P15:Q16"/>
    <mergeCell ref="F22:G23"/>
    <mergeCell ref="H22:I23"/>
    <mergeCell ref="N22:O23"/>
    <mergeCell ref="P22:Q23"/>
    <mergeCell ref="V22:W23"/>
    <mergeCell ref="X22:Y23"/>
    <mergeCell ref="AD22:AE23"/>
    <mergeCell ref="AF22:AG23"/>
    <mergeCell ref="W13:X14"/>
    <mergeCell ref="AE13:AF14"/>
    <mergeCell ref="AM13:AN14"/>
    <mergeCell ref="W19:X20"/>
    <mergeCell ref="AC19:AD20"/>
    <mergeCell ref="AE19:AF20"/>
    <mergeCell ref="D13:E14"/>
    <mergeCell ref="J13:K14"/>
    <mergeCell ref="P13:Q14"/>
    <mergeCell ref="D19:E20"/>
    <mergeCell ref="H19:I20"/>
    <mergeCell ref="J19:K20"/>
    <mergeCell ref="W15:X16"/>
    <mergeCell ref="AE15:AF16"/>
    <mergeCell ref="AM15:AN16"/>
    <mergeCell ref="W17:X18"/>
    <mergeCell ref="AE17:AF18"/>
    <mergeCell ref="D17:E18"/>
    <mergeCell ref="J17:K18"/>
    <mergeCell ref="P17:Q18"/>
    <mergeCell ref="AM17:AO18"/>
    <mergeCell ref="AT12:BA20"/>
    <mergeCell ref="AW22:BA23"/>
    <mergeCell ref="AS22:AV23"/>
    <mergeCell ref="Z85:AE86"/>
    <mergeCell ref="AF79:BA80"/>
    <mergeCell ref="Z83:AE84"/>
    <mergeCell ref="AF83:BA84"/>
    <mergeCell ref="AF87:BA88"/>
    <mergeCell ref="AF85:BA86"/>
    <mergeCell ref="AF89:BA90"/>
    <mergeCell ref="AF81:BA82"/>
    <mergeCell ref="Z87:AE88"/>
    <mergeCell ref="Z79:AE80"/>
    <mergeCell ref="Z81:AE82"/>
    <mergeCell ref="AR74:AU75"/>
    <mergeCell ref="B81:X84"/>
    <mergeCell ref="AF93:BA94"/>
    <mergeCell ref="Z93:AE94"/>
    <mergeCell ref="Z89:AE90"/>
    <mergeCell ref="Z91:AE92"/>
    <mergeCell ref="AF91:BA92"/>
    <mergeCell ref="Z95:BA104"/>
    <mergeCell ref="B98:X108"/>
    <mergeCell ref="Z107:AM108"/>
    <mergeCell ref="Z115:AM116"/>
    <mergeCell ref="Z109:AM110"/>
    <mergeCell ref="Z119:AM120"/>
    <mergeCell ref="Z113:AM114"/>
    <mergeCell ref="B118:E119"/>
    <mergeCell ref="Z117:AM118"/>
    <mergeCell ref="B111:F112"/>
    <mergeCell ref="F118:X119"/>
    <mergeCell ref="Z111:AM112"/>
    <mergeCell ref="B113:X114"/>
  </mergeCells>
  <conditionalFormatting sqref="P68">
    <cfRule type="cellIs" dxfId="0" priority="8" operator="equal">
      <formula>"剩余职业点=0   剩余兴趣点=0"</formula>
    </cfRule>
  </conditionalFormatting>
  <dataValidations count="72">
    <dataValidation allowBlank="1" showInputMessage="1" showErrorMessage="1" promptTitle="Firearms (不定) [无法孤注一骰]" prompt="包括了各种形式的火器，也包括了弓箭和弩。" sqref="C45 C46 C47 E45:E47"/>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C66 E66:H66 I66"/>
    <dataValidation allowBlank="1" showErrorMessage="1" promptTitle="生命加值" prompt="序列3的生命加值将由3D6+2决定，请手动填写。" sqref="AR9:AS9"/>
    <dataValidation type="list" allowBlank="1" showInputMessage="1" showErrorMessage="1" sqref="T9:X9">
      <formula1>"0,1,2,3,4,5,6,7,8,9,10,11,12,13,14,15,16,17,18,19,20,21,22"</formula1>
    </dataValidation>
    <dataValidation type="list" allowBlank="1" showInputMessage="1" showErrorMessage="1" sqref="X4">
      <formula1>"1920s,1980s,现代,其他"</formula1>
    </dataValidation>
    <dataValidation type="list" allowBlank="1" showInputMessage="1" showErrorMessage="1" sqref="F43:F44">
      <formula1>分支技能!$H$4:$H$11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AC28 AE28"/>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28 E28:G28 H28:I28"/>
    <dataValidation type="list" allowBlank="1" showInputMessage="1" showErrorMessage="1" promptTitle="请查阅[职业列表]表格" prompt="选择0会清除职业提示与下面的技能点数计算器。&#10;同时，技能点数计算器会在分配掉所有技能点后自动隐藏。" sqref="T5 X5">
      <formula1>职业列表!$A$2:$A$116</formula1>
    </dataValidation>
    <dataValidation allowBlank="1" showErrorMessage="1" promptTitle="生命加值" prompt="序列0的生命加值将由3D6+2决定，请手动填写。" sqref="AV9:AW9"/>
    <dataValidation type="list" allowBlank="1" showInputMessage="1" showErrorMessage="1" sqref="M9">
      <formula1>"9,8,7,6,5,4,3,2,1,0"</formula1>
    </dataValidation>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AC40 AE40:AH40 AI40"/>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E6" errorStyle="information"/>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C62 E62:H62 I62"/>
    <dataValidation allowBlank="1" showErrorMessage="1" promptTitle="生命加值" sqref="AN9:AO9"/>
    <dataValidation allowBlank="1" showInputMessage="1" showErrorMessage="1" promptTitle="生命加值" prompt="序列7的生命加值请参照规则书roll点后手动填写。" sqref="AH9:AI9"/>
    <dataValidation type="list" allowBlank="1" showInputMessage="1" showErrorMessage="1" sqref="B72:B75 C72:C75">
      <formula1>武器列表!$A$2:$A$55</formula1>
    </dataValidation>
    <dataValidation type="list" allowBlank="1" sqref="AM22:AO22 AP22 AQ22 AR22">
      <formula1>"健康,昏迷,重伤,濒死"</formula1>
    </dataValidation>
    <dataValidation type="whole" operator="lessThanOrEqual" allowBlank="1" showInputMessage="1" showErrorMessage="1" errorTitle="人体极限" error="这些属性的极限值为99。&#10;除非你的守秘人同意，否则调查员属性不能突破这个上限。" sqref="D17:E18" errorStyle="information">
      <formula1>99</formula1>
    </dataValidation>
    <dataValidation allowBlank="1" showErrorMessage="1" sqref="R17 AP17 AQ17 AC42"/>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AM23:AO23 AP23 AQ23 AR23">
      <formula1>"神志清醒,临时疯狂,不定式疯狂,失控前兆,失控"</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27 E27:G27 H27:I27"/>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AC27 AE27:AH27 AI27"/>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35 E35:G35 H35:I35"/>
    <dataValidation allowBlank="1" showInputMessage="1" showErrorMessage="1" promptTitle="Appraise (05%)" prompt="用来估计某种物品的价值，包括质量，使用的材料以及工艺。相关的，调查员可以准确地辨认出物品的年龄，评估它的历史关联性以及发现赝品。" sqref="C29 E29:G29 H29:I29"/>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C29 AE29:AH29 AI29"/>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C65 E65:H65 I65"/>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30 E30:G30 H30:I3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39 E39:G39 H39:I39"/>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AC30 AE30:AH30 AI30"/>
    <dataValidation allowBlank="1" showInputMessage="1" showErrorMessage="1" promptTitle="Art and Craft (05%)" prompt="该技能可能能使你制作/修理一样东西，或者制造一个复制品/赝品。&#10;对一个物品进行一次成功的鉴定可能可以提供关于该物品的相关信息" sqref="C31 C32 C33 E31:E33"/>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41 E41:G41 H41:I41"/>
    <dataValidation type="list" allowBlank="1" showInputMessage="1" showErrorMessage="1" sqref="G31 H31:I31 G33 H33:I33 F31:F33">
      <formula1>分支技能!$B$4:$B$11</formula1>
    </dataValidation>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AC31 AE31:AH31 AI31"/>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C38 E38:G38 H38:I38"/>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AC32 AC33 AC34 AE32:AE34"/>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C34 E34:G34 H34:I34"/>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AC35 AE35:AH35 AI35"/>
    <dataValidation type="list" allowBlank="1" showInputMessage="1" showErrorMessage="1" sqref="B36 B57 B58 B59 B60 B61 B62 B63 B64 B65 B66 B67 B27:B35 B37:B40 B41:B56 AB27:AB34 AB35:AB42">
      <formula1>"☐,√"</formula1>
    </dataValidation>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AC39 AE39:AH39 AI39"/>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C36 E36:G36 H36:I36"/>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C63 E63:H63 I63"/>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AC36 AE36:AH36 AI36"/>
    <dataValidation allowBlank="1" showInputMessage="1" showErrorMessage="1" promptTitle="Electrical Repair (10%)" prompt="使调查员能够修理或者改装电气设备。为了维修电气设备，可能需要特殊的部件或者工具。" sqref="C40:G40 H40:I40"/>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37 E37:G37 H37:I37"/>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AC37 AE37:AH37 AI37"/>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AC38 AE38"/>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C60 E60:H60 I6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AC41 AE41:AH41 AI41"/>
    <dataValidation type="list" allowBlank="1" showInputMessage="1" showErrorMessage="1" sqref="G46 H46:I46 F45:F47">
      <formula1>分支技能!$K$4:$K$10</formula1>
    </dataValidation>
    <dataValidation allowBlank="1" showInputMessage="1" showErrorMessage="1" promptTitle="Fighting (不定) [无法孤注一骰]" prompt="格斗技能指的是一名角色在近距离战斗上的技能。你可以花费一定的点数来获得任何的专业化技能。" sqref="C42 C43 C44 E42:E44"/>
    <dataValidation type="list" allowBlank="1" showInputMessage="1" showErrorMessage="1" promptTitle="tips" prompt="记得手动填写【战斗】中【空手战斗】的成功率，它等于【斗殴】的成功率，基础值为25。" sqref="F42">
      <formula1>分支技能!$H$4:$H$11</formula1>
    </dataValidation>
    <dataValidation type="list" allowBlank="1" showInputMessage="1" showErrorMessage="1" promptTitle="Tips" prompt="此处是特殊技能下拉选单。&#10;传说集合没有在此列出&#10;请在【分支技能】中查看罕见技能的技能解释" sqref="AF42">
      <formula1>分支技能!$N$4:$N$9</formula1>
    </dataValidation>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48 E48:G48 H48:I48"/>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9 E49:G49 H49:I49"/>
    <dataValidation allowBlank="1" showInputMessage="1" showErrorMessage="1" prompt="这是你立即可以取用、支配的现金。&#10;包括带在身上的和存在银行的。" sqref="B80 C8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50 E50:G50 H50:I50"/>
    <dataValidation allowBlank="1" showInputMessage="1" showErrorMessage="1" promptTitle="Operate Heavy Machinery (01%)" prompt="当驾驶以及操纵一辆坦克，挖土机或者其他巨型建造机械时需要这个技能。对于种类非常不同的机械，KP可以决定难度等级。" sqref="C67 E67:H67 I67"/>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51 E51:G51 H51:I51"/>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52 E52 C53 E53 C54 E54 C55 E55 C56 E56 C57 E57"/>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 sqref="F55:G55 H55:I55 F56:G56 H56:I56 F57:G57 H57:I57"/>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F52:G52 H52:I52 F53:G53 H53:I53 F54:G54 H54:I54"/>
    <dataValidation allowBlank="1" showInputMessage="1" showErrorMessage="1" promptTitle="Language (Own) (EDU)" prompt="当选择这项技能时，必须明确一门具体的语言并且写在技能的后面。在婴儿期或者童年早期，大多数人使用单一一门语言。" sqref="C58 E58"/>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C59 E59:H59 I59"/>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C61 E61:H61 I61"/>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C64 E64:H64 I64"/>
    <dataValidation type="list" allowBlank="1" showInputMessage="1" showErrorMessage="1" sqref="AF32:AF34">
      <formula1>分支技能!$E$4:$E$16</formula1>
    </dataValidation>
    <dataValidation allowBlank="1" showInputMessage="1" sqref="D13:E14 J13:K14 P13:Q14 D15:E16 J15:K16 P15:Q16 J17:K18 D19:E20 W13:X14 AE13:AF14 AM13:AN14 W15:X16 AE15:AF16 AM15:AN16 W17:X18 AE17:AF18" errorStyle="information"/>
    <dataValidation type="whole" operator="lessThanOrEqual" allowBlank="1" showInputMessage="1" showErrorMessage="1" errorTitle="人体极限" error="这些属性的极限值为99。&#10;除非你的守秘人同意，否则调查员属性不能突破这个上限。" sqref="P17:Q18 AM17:AN18" errorStyle="information">
      <formula1>150</formula1>
    </dataValidation>
    <dataValidation type="whole" operator="lessThanOrEqual" allowBlank="1" showInputMessage="1" sqref="J19:K20 W19:X20" errorStyle="information">
      <formula1>99</formula1>
    </dataValidation>
    <dataValidation type="whole" operator="between" allowBlank="1" showInputMessage="1" showErrorMessage="1" errorTitle="消化进程" error="消化度取值为0~100的整数，不得超过。" promptTitle="消化度" prompt="消化度输入时请忽略百分号，解锁灵性上限计算时已代入百分号计算，故请输入0至100之间的整数。" sqref="AE19:AF20" errorStyle="information">
      <formula1>0</formula1>
      <formula2>100</formula2>
    </dataValidation>
    <dataValidation allowBlank="1" showInputMessage="1" showErrorMessage="1" promptTitle="Tips" prompt="掷3D6 × 5&#10;如果调查员年龄在15-19之间，掷两次，取较大值。&#10;幸运点数的上限为99。" sqref="X22:Y23"/>
  </dataValidations>
  <pageMargins left="0.699305555555556" right="0.699305555555556" top="0.75" bottom="0.75" header="0.3" footer="0.3"/>
  <headerFooter/>
  <ignoredErrors>
    <ignoredError sqref="J47" formulaRange="1"/>
    <ignoredError sqref="J19" listDataValidation="1"/>
    <ignoredError sqref="F14:F19 L14:L17 R14:R15 Y14:Y17 AG14:AG17 AO14:AO15 Y18:Y19" formula="1"/>
  </ignoredError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workbookViewId="0">
      <selection activeCell="H23" sqref="H23"/>
    </sheetView>
  </sheetViews>
  <sheetFormatPr defaultColWidth="9" defaultRowHeight="14.25"/>
  <cols>
    <col min="1" max="1" width="9.44166666666667" style="111" customWidth="1"/>
    <col min="2" max="2" width="8" style="112" customWidth="1"/>
    <col min="3" max="3" width="6.21666666666667" style="112" customWidth="1"/>
    <col min="4" max="4" width="9.88333333333333" style="111" customWidth="1"/>
    <col min="5" max="5" width="11.2166666666667" style="111" customWidth="1"/>
    <col min="6" max="6" width="10.3333333333333" style="111" customWidth="1"/>
    <col min="7" max="16384" width="9.88333333333333" style="111" customWidth="1"/>
  </cols>
  <sheetData>
    <row r="1" spans="1:10">
      <c r="A1" s="113" t="s">
        <v>1088</v>
      </c>
      <c r="B1" s="113" t="s">
        <v>1089</v>
      </c>
      <c r="C1" s="113" t="s">
        <v>1090</v>
      </c>
      <c r="E1" s="113" t="s">
        <v>17</v>
      </c>
      <c r="F1" s="113" t="s">
        <v>1091</v>
      </c>
      <c r="J1" s="119"/>
    </row>
    <row r="2" spans="1:6">
      <c r="A2" s="114">
        <v>0</v>
      </c>
      <c r="B2" s="115" t="s">
        <v>742</v>
      </c>
      <c r="C2" s="114" t="s">
        <v>742</v>
      </c>
      <c r="E2" s="115">
        <v>0</v>
      </c>
      <c r="F2" s="114">
        <v>0</v>
      </c>
    </row>
    <row r="3" spans="1:6">
      <c r="A3" s="116">
        <v>2</v>
      </c>
      <c r="B3" s="116">
        <v>-2</v>
      </c>
      <c r="C3" s="116">
        <v>-2</v>
      </c>
      <c r="E3" s="116">
        <v>40</v>
      </c>
      <c r="F3" s="116">
        <v>1</v>
      </c>
    </row>
    <row r="4" spans="1:6">
      <c r="A4" s="114">
        <v>65</v>
      </c>
      <c r="B4" s="115">
        <v>-1</v>
      </c>
      <c r="C4" s="114">
        <v>-1</v>
      </c>
      <c r="E4" s="115">
        <v>50</v>
      </c>
      <c r="F4" s="114">
        <v>2</v>
      </c>
    </row>
    <row r="5" spans="1:6">
      <c r="A5" s="116">
        <v>85</v>
      </c>
      <c r="B5" s="116">
        <v>0</v>
      </c>
      <c r="C5" s="116">
        <v>0</v>
      </c>
      <c r="E5" s="116">
        <v>60</v>
      </c>
      <c r="F5" s="116">
        <v>3</v>
      </c>
    </row>
    <row r="6" spans="1:6">
      <c r="A6" s="114">
        <v>125</v>
      </c>
      <c r="B6" s="115" t="s">
        <v>1092</v>
      </c>
      <c r="C6" s="114">
        <v>1</v>
      </c>
      <c r="E6" s="115">
        <v>70</v>
      </c>
      <c r="F6" s="114">
        <v>4</v>
      </c>
    </row>
    <row r="7" spans="1:6">
      <c r="A7" s="116">
        <v>165</v>
      </c>
      <c r="B7" s="116" t="s">
        <v>1093</v>
      </c>
      <c r="C7" s="116">
        <v>2</v>
      </c>
      <c r="E7" s="116">
        <v>80</v>
      </c>
      <c r="F7" s="116">
        <v>5</v>
      </c>
    </row>
    <row r="8" spans="1:3">
      <c r="A8" s="114">
        <v>205</v>
      </c>
      <c r="B8" s="115" t="s">
        <v>1094</v>
      </c>
      <c r="C8" s="114">
        <v>3</v>
      </c>
    </row>
    <row r="9" spans="1:8">
      <c r="A9" s="116">
        <v>285</v>
      </c>
      <c r="B9" s="116" t="s">
        <v>1095</v>
      </c>
      <c r="C9" s="116">
        <v>4</v>
      </c>
      <c r="E9" s="117" t="s">
        <v>1096</v>
      </c>
      <c r="F9" s="118"/>
      <c r="G9" s="117" t="s">
        <v>1097</v>
      </c>
      <c r="H9" s="118"/>
    </row>
    <row r="10" spans="1:8">
      <c r="A10" s="114">
        <v>365</v>
      </c>
      <c r="B10" s="115" t="s">
        <v>1098</v>
      </c>
      <c r="C10" s="114">
        <v>5</v>
      </c>
      <c r="E10" s="115" t="s">
        <v>32</v>
      </c>
      <c r="F10" s="114">
        <f>人物卡!W13</f>
        <v>0</v>
      </c>
      <c r="G10" s="115" t="s">
        <v>32</v>
      </c>
      <c r="H10" s="114">
        <f>人物卡!D13</f>
        <v>0</v>
      </c>
    </row>
    <row r="11" spans="1:8">
      <c r="A11" s="116">
        <v>445</v>
      </c>
      <c r="B11" s="116" t="s">
        <v>1099</v>
      </c>
      <c r="C11" s="116">
        <v>6</v>
      </c>
      <c r="E11" s="116" t="s">
        <v>33</v>
      </c>
      <c r="F11" s="116">
        <f>人物卡!AE13</f>
        <v>0</v>
      </c>
      <c r="G11" s="116" t="s">
        <v>33</v>
      </c>
      <c r="H11" s="116">
        <f>人物卡!J13</f>
        <v>0</v>
      </c>
    </row>
    <row r="12" spans="1:8">
      <c r="A12" s="114">
        <v>525</v>
      </c>
      <c r="B12" s="115" t="s">
        <v>1100</v>
      </c>
      <c r="C12" s="114">
        <v>7</v>
      </c>
      <c r="E12" s="115" t="s">
        <v>45</v>
      </c>
      <c r="F12" s="114">
        <f>人物卡!W17</f>
        <v>0</v>
      </c>
      <c r="G12" s="115" t="s">
        <v>45</v>
      </c>
      <c r="H12" s="114">
        <f>人物卡!D17</f>
        <v>0</v>
      </c>
    </row>
    <row r="13" spans="1:8">
      <c r="A13" s="116">
        <v>605</v>
      </c>
      <c r="B13" s="116" t="s">
        <v>1101</v>
      </c>
      <c r="C13" s="116">
        <v>8</v>
      </c>
      <c r="E13" s="116" t="s">
        <v>1102</v>
      </c>
      <c r="F13" s="116" t="b">
        <f>IF(F10&gt;F12,TRUE())</f>
        <v>0</v>
      </c>
      <c r="G13" s="116" t="s">
        <v>1102</v>
      </c>
      <c r="H13" s="116" t="b">
        <f>IF(H10&gt;H12,TRUE())</f>
        <v>0</v>
      </c>
    </row>
    <row r="14" spans="1:8">
      <c r="A14" s="114">
        <v>685</v>
      </c>
      <c r="B14" s="115" t="s">
        <v>1103</v>
      </c>
      <c r="C14" s="114">
        <v>9</v>
      </c>
      <c r="E14" s="115" t="s">
        <v>1104</v>
      </c>
      <c r="F14" s="114" t="b">
        <f>IF(F11&gt;F12,TRUE())</f>
        <v>0</v>
      </c>
      <c r="G14" s="115" t="s">
        <v>1104</v>
      </c>
      <c r="H14" s="114" t="b">
        <f>IF(H11&gt;H12,TRUE())</f>
        <v>0</v>
      </c>
    </row>
    <row r="15" spans="1:8">
      <c r="A15" s="116">
        <v>765</v>
      </c>
      <c r="B15" s="116" t="s">
        <v>1105</v>
      </c>
      <c r="C15" s="116">
        <v>10</v>
      </c>
      <c r="E15" s="116" t="s">
        <v>1106</v>
      </c>
      <c r="F15" s="116" t="b">
        <f>IF(F10=F12,TRUE())</f>
        <v>1</v>
      </c>
      <c r="G15" s="116" t="s">
        <v>1106</v>
      </c>
      <c r="H15" s="116" t="b">
        <f>IF(H10=H12,TRUE())</f>
        <v>1</v>
      </c>
    </row>
    <row r="16" spans="1:8">
      <c r="A16" s="114">
        <v>845</v>
      </c>
      <c r="B16" s="115" t="s">
        <v>1107</v>
      </c>
      <c r="C16" s="114">
        <v>11</v>
      </c>
      <c r="E16" s="115" t="s">
        <v>1108</v>
      </c>
      <c r="F16" s="114" t="b">
        <f>IF(F11=F12,TRUE())</f>
        <v>1</v>
      </c>
      <c r="G16" s="115" t="s">
        <v>1108</v>
      </c>
      <c r="H16" s="114" t="b">
        <f>IF(H11=H12,TRUE())</f>
        <v>1</v>
      </c>
    </row>
    <row r="17" spans="1:8">
      <c r="A17" s="116">
        <v>925</v>
      </c>
      <c r="B17" s="116" t="s">
        <v>1109</v>
      </c>
      <c r="C17" s="116">
        <v>12</v>
      </c>
      <c r="E17" s="116" t="s">
        <v>1110</v>
      </c>
      <c r="F17" s="116" t="b">
        <f>IF(F10&lt;F12,TRUE())</f>
        <v>0</v>
      </c>
      <c r="G17" s="116" t="s">
        <v>1110</v>
      </c>
      <c r="H17" s="116" t="b">
        <f>IF(H10&lt;H12,TRUE())</f>
        <v>0</v>
      </c>
    </row>
    <row r="18" spans="1:8">
      <c r="A18" s="114">
        <v>1005</v>
      </c>
      <c r="B18" s="115" t="s">
        <v>1111</v>
      </c>
      <c r="C18" s="114">
        <v>13</v>
      </c>
      <c r="E18" s="115" t="s">
        <v>1112</v>
      </c>
      <c r="F18" s="114" t="b">
        <f>IF(F11&lt;F12,TRUE())</f>
        <v>0</v>
      </c>
      <c r="G18" s="115" t="s">
        <v>1112</v>
      </c>
      <c r="H18" s="114" t="b">
        <f>IF(H11&lt;H12,TRUE())</f>
        <v>0</v>
      </c>
    </row>
    <row r="19" spans="1:8">
      <c r="A19" s="116">
        <v>1085</v>
      </c>
      <c r="B19" s="116" t="s">
        <v>1113</v>
      </c>
      <c r="C19" s="116">
        <v>14</v>
      </c>
      <c r="E19" s="116" t="s">
        <v>1114</v>
      </c>
      <c r="F19" s="116" t="b">
        <f>AND(F17:F18)</f>
        <v>0</v>
      </c>
      <c r="G19" s="116" t="s">
        <v>1114</v>
      </c>
      <c r="H19" s="116" t="b">
        <f>AND(H17:H18)</f>
        <v>0</v>
      </c>
    </row>
    <row r="20" spans="1:8">
      <c r="A20" s="114">
        <v>1165</v>
      </c>
      <c r="B20" s="115" t="s">
        <v>1115</v>
      </c>
      <c r="C20" s="114">
        <v>15</v>
      </c>
      <c r="E20" s="115" t="s">
        <v>1116</v>
      </c>
      <c r="F20" s="114" t="b">
        <f>AND(F13:F14)</f>
        <v>0</v>
      </c>
      <c r="G20" s="115" t="s">
        <v>1116</v>
      </c>
      <c r="H20" s="114" t="b">
        <f>AND(H13:H14)</f>
        <v>0</v>
      </c>
    </row>
    <row r="21" spans="1:8">
      <c r="A21" s="116">
        <v>1245</v>
      </c>
      <c r="B21" s="116" t="s">
        <v>1117</v>
      </c>
      <c r="C21" s="116">
        <v>16</v>
      </c>
      <c r="E21" s="116" t="s">
        <v>1118</v>
      </c>
      <c r="F21" s="116" t="b">
        <f>AND(F15:F16)</f>
        <v>1</v>
      </c>
      <c r="G21" s="116" t="s">
        <v>1118</v>
      </c>
      <c r="H21" s="116" t="b">
        <f>AND(H15:H16)</f>
        <v>1</v>
      </c>
    </row>
    <row r="22" spans="1:8">
      <c r="A22" s="114">
        <v>1325</v>
      </c>
      <c r="B22" s="115" t="s">
        <v>1119</v>
      </c>
      <c r="C22" s="114">
        <v>17</v>
      </c>
      <c r="E22" s="115" t="s">
        <v>1120</v>
      </c>
      <c r="F22" s="114" t="b">
        <f>OR(F13:F14)</f>
        <v>0</v>
      </c>
      <c r="G22" s="115" t="s">
        <v>1120</v>
      </c>
      <c r="H22" s="114" t="b">
        <f>OR(H13:H14)</f>
        <v>0</v>
      </c>
    </row>
    <row r="23" spans="1:8">
      <c r="A23" s="116">
        <v>1405</v>
      </c>
      <c r="B23" s="116" t="s">
        <v>1121</v>
      </c>
      <c r="C23" s="116">
        <v>18</v>
      </c>
      <c r="E23" s="116" t="s">
        <v>1122</v>
      </c>
      <c r="F23" s="116">
        <f>IF(OR(F15:F16),7,0)</f>
        <v>7</v>
      </c>
      <c r="G23" s="116" t="s">
        <v>1122</v>
      </c>
      <c r="H23" s="116">
        <f>IF(OR(H15:H16),7,0)</f>
        <v>7</v>
      </c>
    </row>
    <row r="24" spans="1:8">
      <c r="A24" s="114">
        <v>1485</v>
      </c>
      <c r="B24" s="115" t="s">
        <v>1123</v>
      </c>
      <c r="C24" s="114">
        <v>19</v>
      </c>
      <c r="E24" s="115" t="s">
        <v>1122</v>
      </c>
      <c r="F24" s="114">
        <f>IF(F19,7,0)</f>
        <v>0</v>
      </c>
      <c r="G24" s="115" t="s">
        <v>1122</v>
      </c>
      <c r="H24" s="114">
        <f>IF(H19,7,0)</f>
        <v>0</v>
      </c>
    </row>
    <row r="25" spans="1:8">
      <c r="A25" s="116">
        <v>1565</v>
      </c>
      <c r="B25" s="116" t="s">
        <v>1124</v>
      </c>
      <c r="C25" s="116">
        <v>20</v>
      </c>
      <c r="E25" s="116" t="s">
        <v>1125</v>
      </c>
      <c r="F25" s="116">
        <f>IF(F20,9,0)</f>
        <v>0</v>
      </c>
      <c r="G25" s="116" t="s">
        <v>1125</v>
      </c>
      <c r="H25" s="116">
        <f>IF(H20,9,0)</f>
        <v>0</v>
      </c>
    </row>
    <row r="26" spans="1:8">
      <c r="A26" s="114">
        <v>1645</v>
      </c>
      <c r="B26" s="115" t="s">
        <v>1126</v>
      </c>
      <c r="C26" s="114">
        <v>21</v>
      </c>
      <c r="E26" s="115" t="s">
        <v>1127</v>
      </c>
      <c r="F26" s="114">
        <f>IF(OR(F21:F22),8,0)</f>
        <v>8</v>
      </c>
      <c r="G26" s="115" t="s">
        <v>1127</v>
      </c>
      <c r="H26" s="114">
        <f>IF(OR(H21:H22),8,0)</f>
        <v>8</v>
      </c>
    </row>
    <row r="27" spans="1:8">
      <c r="A27" s="116">
        <v>1725</v>
      </c>
      <c r="B27" s="116" t="s">
        <v>1128</v>
      </c>
      <c r="C27" s="116">
        <v>22</v>
      </c>
      <c r="E27" s="116" t="s">
        <v>1129</v>
      </c>
      <c r="F27" s="116">
        <f>MAX(F23:F26)</f>
        <v>8</v>
      </c>
      <c r="G27" s="116" t="s">
        <v>1129</v>
      </c>
      <c r="H27" s="116">
        <f>MAX(H23:H26)</f>
        <v>8</v>
      </c>
    </row>
    <row r="28" spans="1:3">
      <c r="A28" s="114">
        <v>1805</v>
      </c>
      <c r="B28" s="115" t="s">
        <v>1130</v>
      </c>
      <c r="C28" s="114">
        <v>23</v>
      </c>
    </row>
    <row r="29" spans="1:3">
      <c r="A29" s="116">
        <v>1885</v>
      </c>
      <c r="B29" s="116" t="s">
        <v>1131</v>
      </c>
      <c r="C29" s="116">
        <v>24</v>
      </c>
    </row>
    <row r="30" spans="1:3">
      <c r="A30" s="114">
        <v>1965</v>
      </c>
      <c r="B30" s="115" t="s">
        <v>1132</v>
      </c>
      <c r="C30" s="114">
        <v>25</v>
      </c>
    </row>
    <row r="31" spans="1:3">
      <c r="A31" s="116">
        <v>2045</v>
      </c>
      <c r="B31" s="116" t="s">
        <v>1133</v>
      </c>
      <c r="C31" s="116">
        <v>26</v>
      </c>
    </row>
    <row r="32" spans="1:3">
      <c r="A32" s="114">
        <v>2125</v>
      </c>
      <c r="B32" s="115" t="s">
        <v>1134</v>
      </c>
      <c r="C32" s="114">
        <v>27</v>
      </c>
    </row>
  </sheetData>
  <sheetProtection sheet="1" selectLockedCells="1" objects="1"/>
  <mergeCells count="2">
    <mergeCell ref="E9:F9"/>
    <mergeCell ref="G9:H9"/>
  </mergeCell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workbookViewId="0">
      <selection activeCell="I11" sqref="I11"/>
    </sheetView>
  </sheetViews>
  <sheetFormatPr defaultColWidth="9" defaultRowHeight="13.5"/>
  <cols>
    <col min="1" max="16384" width="9" style="92" customWidth="1"/>
  </cols>
  <sheetData>
    <row r="1" ht="17.25" spans="1:11">
      <c r="A1" s="93"/>
      <c r="B1" s="94" t="s">
        <v>32</v>
      </c>
      <c r="C1" s="95" t="s">
        <v>33</v>
      </c>
      <c r="D1" s="95" t="s">
        <v>34</v>
      </c>
      <c r="E1" s="95" t="s">
        <v>38</v>
      </c>
      <c r="F1" s="95" t="s">
        <v>39</v>
      </c>
      <c r="G1" s="95" t="s">
        <v>40</v>
      </c>
      <c r="H1" s="95" t="s">
        <v>45</v>
      </c>
      <c r="I1" s="95" t="s">
        <v>46</v>
      </c>
      <c r="J1" s="106" t="s">
        <v>52</v>
      </c>
      <c r="K1" s="107"/>
    </row>
    <row r="2" ht="16.5" spans="1:11">
      <c r="A2" s="96">
        <v>0</v>
      </c>
      <c r="B2" s="97">
        <f>各序列技能计算!V32</f>
        <v>0</v>
      </c>
      <c r="C2" s="98">
        <f>各序列技能计算!AB32</f>
        <v>0</v>
      </c>
      <c r="D2" s="98">
        <f>各序列技能计算!AH32</f>
        <v>0</v>
      </c>
      <c r="E2" s="98">
        <f>各序列技能计算!V34</f>
        <v>0</v>
      </c>
      <c r="F2" s="98">
        <f>各序列技能计算!AB34</f>
        <v>0</v>
      </c>
      <c r="G2" s="98">
        <f>各序列技能计算!AH34</f>
        <v>0</v>
      </c>
      <c r="H2" s="98">
        <f>各序列技能计算!V36</f>
        <v>0</v>
      </c>
      <c r="I2" s="98">
        <f>各序列技能计算!AB36</f>
        <v>0</v>
      </c>
      <c r="J2" s="108">
        <f>各序列技能计算!V38</f>
        <v>0</v>
      </c>
      <c r="K2" s="107"/>
    </row>
    <row r="3" ht="16.5" spans="1:11">
      <c r="A3" s="99">
        <v>1</v>
      </c>
      <c r="B3" s="100">
        <f>各序列技能计算!C32</f>
        <v>0</v>
      </c>
      <c r="C3" s="101">
        <f>各序列技能计算!I32</f>
        <v>0</v>
      </c>
      <c r="D3" s="101">
        <f>各序列技能计算!O32</f>
        <v>0</v>
      </c>
      <c r="E3" s="101">
        <f>各序列技能计算!C34</f>
        <v>0</v>
      </c>
      <c r="F3" s="101">
        <f>各序列技能计算!I34</f>
        <v>0</v>
      </c>
      <c r="G3" s="101">
        <f>各序列技能计算!O34</f>
        <v>0</v>
      </c>
      <c r="H3" s="101">
        <f>各序列技能计算!C36</f>
        <v>0</v>
      </c>
      <c r="I3" s="101">
        <f>各序列技能计算!I36</f>
        <v>0</v>
      </c>
      <c r="J3" s="109">
        <f>各序列技能计算!C38</f>
        <v>0</v>
      </c>
      <c r="K3" s="107"/>
    </row>
    <row r="4" ht="16.5" spans="1:11">
      <c r="A4" s="99">
        <v>2</v>
      </c>
      <c r="B4" s="100">
        <f>各序列技能计算!AO22</f>
        <v>0</v>
      </c>
      <c r="C4" s="101">
        <f>各序列技能计算!AU22</f>
        <v>0</v>
      </c>
      <c r="D4" s="101">
        <f>各序列技能计算!BA22</f>
        <v>0</v>
      </c>
      <c r="E4" s="101">
        <f>各序列技能计算!AO24</f>
        <v>0</v>
      </c>
      <c r="F4" s="101">
        <f>各序列技能计算!AU24</f>
        <v>0</v>
      </c>
      <c r="G4" s="101">
        <f>各序列技能计算!BA24</f>
        <v>0</v>
      </c>
      <c r="H4" s="101">
        <f>各序列技能计算!AO26</f>
        <v>0</v>
      </c>
      <c r="I4" s="101">
        <f>各序列技能计算!AU26</f>
        <v>0</v>
      </c>
      <c r="J4" s="109">
        <f>各序列技能计算!AO28</f>
        <v>0</v>
      </c>
      <c r="K4" s="107"/>
    </row>
    <row r="5" ht="16.5" spans="1:11">
      <c r="A5" s="99">
        <v>3</v>
      </c>
      <c r="B5" s="100">
        <f>各序列技能计算!V22</f>
        <v>0</v>
      </c>
      <c r="C5" s="101">
        <f>各序列技能计算!AB22</f>
        <v>0</v>
      </c>
      <c r="D5" s="101">
        <f>各序列技能计算!AH22</f>
        <v>0</v>
      </c>
      <c r="E5" s="101">
        <f>各序列技能计算!V24</f>
        <v>0</v>
      </c>
      <c r="F5" s="101">
        <f>各序列技能计算!AB24</f>
        <v>0</v>
      </c>
      <c r="G5" s="101">
        <f>各序列技能计算!AH24</f>
        <v>0</v>
      </c>
      <c r="H5" s="101">
        <f>各序列技能计算!V26</f>
        <v>0</v>
      </c>
      <c r="I5" s="101">
        <f>各序列技能计算!AB26</f>
        <v>0</v>
      </c>
      <c r="J5" s="109">
        <f>各序列技能计算!V28</f>
        <v>0</v>
      </c>
      <c r="K5" s="107"/>
    </row>
    <row r="6" ht="16.5" spans="1:11">
      <c r="A6" s="99">
        <v>4</v>
      </c>
      <c r="B6" s="100">
        <f>各序列技能计算!C22</f>
        <v>0</v>
      </c>
      <c r="C6" s="101">
        <f>各序列技能计算!I22</f>
        <v>0</v>
      </c>
      <c r="D6" s="101">
        <f>各序列技能计算!O22</f>
        <v>0</v>
      </c>
      <c r="E6" s="101">
        <f>各序列技能计算!C24</f>
        <v>0</v>
      </c>
      <c r="F6" s="101">
        <f>各序列技能计算!I24</f>
        <v>0</v>
      </c>
      <c r="G6" s="101">
        <f>各序列技能计算!O24</f>
        <v>0</v>
      </c>
      <c r="H6" s="101">
        <f>各序列技能计算!C26</f>
        <v>0</v>
      </c>
      <c r="I6" s="101">
        <f>各序列技能计算!I26</f>
        <v>0</v>
      </c>
      <c r="J6" s="109">
        <f>各序列技能计算!C28</f>
        <v>0</v>
      </c>
      <c r="K6" s="107"/>
    </row>
    <row r="7" ht="16.5" spans="1:11">
      <c r="A7" s="99">
        <v>5</v>
      </c>
      <c r="B7" s="100">
        <f>各序列技能计算!AO12</f>
        <v>0</v>
      </c>
      <c r="C7" s="101">
        <f>各序列技能计算!AU12</f>
        <v>0</v>
      </c>
      <c r="D7" s="101">
        <f>各序列技能计算!BA12</f>
        <v>0</v>
      </c>
      <c r="E7" s="101">
        <f>各序列技能计算!AO14</f>
        <v>0</v>
      </c>
      <c r="F7" s="101">
        <f>各序列技能计算!AU14</f>
        <v>0</v>
      </c>
      <c r="G7" s="101">
        <f>各序列技能计算!BA14</f>
        <v>0</v>
      </c>
      <c r="H7" s="101">
        <f>各序列技能计算!AO16</f>
        <v>0</v>
      </c>
      <c r="I7" s="101">
        <f>各序列技能计算!AU16</f>
        <v>0</v>
      </c>
      <c r="J7" s="109">
        <f>各序列技能计算!AO18</f>
        <v>0</v>
      </c>
      <c r="K7" s="107"/>
    </row>
    <row r="8" ht="16.5" spans="1:11">
      <c r="A8" s="99">
        <v>6</v>
      </c>
      <c r="B8" s="100">
        <f>各序列技能计算!V12</f>
        <v>0</v>
      </c>
      <c r="C8" s="101">
        <f>各序列技能计算!AB12</f>
        <v>0</v>
      </c>
      <c r="D8" s="101">
        <f>各序列技能计算!AH12</f>
        <v>0</v>
      </c>
      <c r="E8" s="101">
        <f>各序列技能计算!V14</f>
        <v>0</v>
      </c>
      <c r="F8" s="101">
        <f>各序列技能计算!AB14</f>
        <v>0</v>
      </c>
      <c r="G8" s="101">
        <f>各序列技能计算!AH14</f>
        <v>0</v>
      </c>
      <c r="H8" s="101">
        <f>各序列技能计算!V16</f>
        <v>0</v>
      </c>
      <c r="I8" s="101">
        <f>各序列技能计算!AB16</f>
        <v>0</v>
      </c>
      <c r="J8" s="109">
        <f>各序列技能计算!V18</f>
        <v>0</v>
      </c>
      <c r="K8" s="107"/>
    </row>
    <row r="9" ht="16.5" spans="1:11">
      <c r="A9" s="99">
        <v>7</v>
      </c>
      <c r="B9" s="100">
        <f>各序列技能计算!C12</f>
        <v>0</v>
      </c>
      <c r="C9" s="101">
        <f>各序列技能计算!I12</f>
        <v>0</v>
      </c>
      <c r="D9" s="101">
        <f>各序列技能计算!O12</f>
        <v>0</v>
      </c>
      <c r="E9" s="101">
        <f>各序列技能计算!C14</f>
        <v>0</v>
      </c>
      <c r="F9" s="101">
        <f>各序列技能计算!I14</f>
        <v>0</v>
      </c>
      <c r="G9" s="101">
        <f>各序列技能计算!O14</f>
        <v>0</v>
      </c>
      <c r="H9" s="101">
        <f>各序列技能计算!C16</f>
        <v>0</v>
      </c>
      <c r="I9" s="101">
        <f>各序列技能计算!I16</f>
        <v>0</v>
      </c>
      <c r="J9" s="109">
        <f>各序列技能计算!C18</f>
        <v>0</v>
      </c>
      <c r="K9" s="107"/>
    </row>
    <row r="10" ht="16.5" spans="1:11">
      <c r="A10" s="99">
        <v>8</v>
      </c>
      <c r="B10" s="100">
        <f>各序列技能计算!AO2</f>
        <v>0</v>
      </c>
      <c r="C10" s="101">
        <f>各序列技能计算!AU2</f>
        <v>0</v>
      </c>
      <c r="D10" s="101">
        <f>各序列技能计算!BA2</f>
        <v>0</v>
      </c>
      <c r="E10" s="101">
        <f>各序列技能计算!AO4</f>
        <v>0</v>
      </c>
      <c r="F10" s="101">
        <f>各序列技能计算!AU4</f>
        <v>0</v>
      </c>
      <c r="G10" s="101">
        <f>各序列技能计算!BA4</f>
        <v>0</v>
      </c>
      <c r="H10" s="101">
        <f>各序列技能计算!AO6</f>
        <v>0</v>
      </c>
      <c r="I10" s="101">
        <f>各序列技能计算!AU6</f>
        <v>0</v>
      </c>
      <c r="J10" s="109">
        <f>各序列技能计算!AO8</f>
        <v>0</v>
      </c>
      <c r="K10" s="107"/>
    </row>
    <row r="11" ht="17.25" spans="1:11">
      <c r="A11" s="102">
        <v>9</v>
      </c>
      <c r="B11" s="103">
        <f>各序列技能计算!V2</f>
        <v>0</v>
      </c>
      <c r="C11" s="104">
        <f>各序列技能计算!AB2</f>
        <v>0</v>
      </c>
      <c r="D11" s="104">
        <f>各序列技能计算!AH2</f>
        <v>0</v>
      </c>
      <c r="E11" s="104">
        <f>各序列技能计算!V4</f>
        <v>0</v>
      </c>
      <c r="F11" s="104">
        <f>各序列技能计算!AB4</f>
        <v>0</v>
      </c>
      <c r="G11" s="104">
        <f>各序列技能计算!AH4</f>
        <v>0</v>
      </c>
      <c r="H11" s="104">
        <f>各序列技能计算!V6</f>
        <v>0</v>
      </c>
      <c r="I11" s="104">
        <f>各序列技能计算!AB6</f>
        <v>0</v>
      </c>
      <c r="J11" s="110">
        <f>各序列技能计算!V8</f>
        <v>0</v>
      </c>
      <c r="K11" s="107"/>
    </row>
    <row r="12" spans="1:10">
      <c r="A12" s="105"/>
      <c r="B12" s="105"/>
      <c r="C12" s="105"/>
      <c r="D12" s="105"/>
      <c r="E12" s="105"/>
      <c r="F12" s="105"/>
      <c r="G12" s="105"/>
      <c r="H12" s="105"/>
      <c r="I12" s="105"/>
      <c r="J12" s="105"/>
    </row>
  </sheetData>
  <sheetProtection sheet="1" selectLockedCells="1" objects="1"/>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78"/>
  <sheetViews>
    <sheetView zoomScale="70" zoomScaleNormal="70" workbookViewId="0">
      <selection activeCell="D77" sqref="D77"/>
    </sheetView>
  </sheetViews>
  <sheetFormatPr defaultColWidth="9" defaultRowHeight="13.5"/>
  <cols>
    <col min="1" max="1" width="9" style="26" customWidth="1"/>
    <col min="2" max="2" width="12.6333333333333" style="27" customWidth="1"/>
    <col min="3" max="3" width="21.25" style="27" customWidth="1"/>
    <col min="4" max="4" width="14.4416666666667" style="27" customWidth="1"/>
    <col min="5" max="5" width="9" style="27" customWidth="1"/>
    <col min="6" max="6" width="10.35" style="27" customWidth="1"/>
    <col min="7" max="7" width="9" style="28" customWidth="1"/>
    <col min="8" max="8" width="9" style="27" customWidth="1"/>
    <col min="9" max="9" width="10.8916666666667" style="27" customWidth="1"/>
    <col min="10" max="10" width="9.13333333333333" style="28" customWidth="1"/>
    <col min="11" max="11" width="9" style="27" customWidth="1"/>
    <col min="12" max="12" width="9.81666666666667" style="27" customWidth="1"/>
    <col min="13" max="13" width="9" style="28" customWidth="1"/>
    <col min="14" max="14" width="9" style="27" customWidth="1"/>
    <col min="15" max="15" width="9.99166666666667" style="27" customWidth="1"/>
    <col min="16" max="16" width="9" style="28" customWidth="1"/>
    <col min="17" max="17" width="9" style="27" customWidth="1"/>
    <col min="18" max="18" width="10.5333333333333" style="27" customWidth="1"/>
    <col min="19" max="19" width="9" style="28" customWidth="1"/>
    <col min="20" max="20" width="9" style="27" customWidth="1"/>
    <col min="21" max="21" width="10.8916666666667" style="27" customWidth="1"/>
    <col min="22" max="22" width="9" style="28" customWidth="1"/>
    <col min="23" max="23" width="9" style="27" customWidth="1"/>
    <col min="24" max="24" width="9.45" style="27" customWidth="1"/>
    <col min="25" max="25" width="9" style="28" customWidth="1"/>
    <col min="26" max="26" width="9" style="27" customWidth="1"/>
    <col min="27" max="27" width="9.45" style="27" customWidth="1"/>
    <col min="28" max="28" width="9" style="28" customWidth="1"/>
    <col min="29" max="29" width="9" style="27" customWidth="1"/>
    <col min="30" max="30" width="12.25" style="27" customWidth="1"/>
    <col min="31" max="31" width="10.8833333333333" style="28" customWidth="1"/>
    <col min="32" max="33" width="9" style="27" customWidth="1"/>
    <col min="34" max="34" width="9" style="28" customWidth="1"/>
    <col min="35" max="16384" width="9" style="27" customWidth="1"/>
  </cols>
  <sheetData>
    <row r="1" ht="21.75" spans="1:34">
      <c r="A1" s="29" t="s">
        <v>7</v>
      </c>
      <c r="B1" s="30"/>
      <c r="C1" s="30"/>
      <c r="D1" s="31"/>
      <c r="E1" s="32" t="s">
        <v>28</v>
      </c>
      <c r="F1" s="33"/>
      <c r="G1" s="34"/>
      <c r="H1" s="33" t="s">
        <v>29</v>
      </c>
      <c r="I1" s="33"/>
      <c r="J1" s="34"/>
      <c r="K1" s="82" t="s">
        <v>35</v>
      </c>
      <c r="L1" s="83"/>
      <c r="M1" s="84"/>
      <c r="N1" s="36" t="s">
        <v>41</v>
      </c>
      <c r="O1" s="83"/>
      <c r="P1" s="84"/>
      <c r="Q1" s="36" t="s">
        <v>36</v>
      </c>
      <c r="R1" s="83"/>
      <c r="S1" s="84"/>
      <c r="T1" s="36" t="s">
        <v>1135</v>
      </c>
      <c r="U1" s="83"/>
      <c r="V1" s="84"/>
      <c r="W1" s="36" t="s">
        <v>30</v>
      </c>
      <c r="X1" s="83"/>
      <c r="Y1" s="84"/>
      <c r="Z1" s="36" t="s">
        <v>37</v>
      </c>
      <c r="AA1" s="83"/>
      <c r="AB1" s="84"/>
      <c r="AC1" s="36" t="s">
        <v>48</v>
      </c>
      <c r="AD1" s="83"/>
      <c r="AE1" s="84"/>
      <c r="AF1" s="36" t="s">
        <v>56</v>
      </c>
      <c r="AG1" s="83"/>
      <c r="AH1" s="86"/>
    </row>
    <row r="2" ht="20.25" spans="1:34">
      <c r="A2" s="35" t="s">
        <v>234</v>
      </c>
      <c r="B2" s="36" t="s">
        <v>1136</v>
      </c>
      <c r="C2" s="37" t="s">
        <v>1137</v>
      </c>
      <c r="D2" s="38" t="s">
        <v>1138</v>
      </c>
      <c r="E2" s="39" t="s">
        <v>1139</v>
      </c>
      <c r="F2" s="40" t="s">
        <v>1140</v>
      </c>
      <c r="G2" s="41"/>
      <c r="H2" s="42" t="s">
        <v>1139</v>
      </c>
      <c r="I2" s="40" t="s">
        <v>1140</v>
      </c>
      <c r="J2" s="41"/>
      <c r="K2" s="39" t="s">
        <v>1139</v>
      </c>
      <c r="L2" s="40" t="s">
        <v>1140</v>
      </c>
      <c r="M2" s="41"/>
      <c r="N2" s="42" t="s">
        <v>1139</v>
      </c>
      <c r="O2" s="40" t="s">
        <v>1140</v>
      </c>
      <c r="P2" s="41"/>
      <c r="Q2" s="42" t="s">
        <v>1139</v>
      </c>
      <c r="R2" s="40" t="s">
        <v>1140</v>
      </c>
      <c r="S2" s="41"/>
      <c r="T2" s="42" t="s">
        <v>1139</v>
      </c>
      <c r="U2" s="40" t="s">
        <v>1140</v>
      </c>
      <c r="V2" s="41"/>
      <c r="W2" s="42" t="s">
        <v>1139</v>
      </c>
      <c r="X2" s="40" t="s">
        <v>1140</v>
      </c>
      <c r="Y2" s="41"/>
      <c r="Z2" s="42" t="s">
        <v>1139</v>
      </c>
      <c r="AA2" s="40" t="s">
        <v>1140</v>
      </c>
      <c r="AB2" s="41"/>
      <c r="AC2" s="42" t="s">
        <v>1139</v>
      </c>
      <c r="AD2" s="40" t="s">
        <v>1140</v>
      </c>
      <c r="AE2" s="41"/>
      <c r="AF2" s="42" t="s">
        <v>1139</v>
      </c>
      <c r="AG2" s="40" t="s">
        <v>1140</v>
      </c>
      <c r="AH2" s="87"/>
    </row>
    <row r="3" s="25" customFormat="1" ht="20.25" spans="1:34">
      <c r="A3" s="43"/>
      <c r="B3" s="44"/>
      <c r="C3" s="45"/>
      <c r="D3" s="46"/>
      <c r="E3" s="47"/>
      <c r="F3" s="48"/>
      <c r="G3" s="49"/>
      <c r="H3" s="44"/>
      <c r="I3" s="48"/>
      <c r="J3" s="49"/>
      <c r="K3" s="47"/>
      <c r="L3" s="48"/>
      <c r="M3" s="49"/>
      <c r="N3" s="44"/>
      <c r="O3" s="48"/>
      <c r="P3" s="49"/>
      <c r="Q3" s="44"/>
      <c r="R3" s="48"/>
      <c r="S3" s="49"/>
      <c r="T3" s="44"/>
      <c r="U3" s="48"/>
      <c r="V3" s="49"/>
      <c r="W3" s="44"/>
      <c r="X3" s="48"/>
      <c r="Y3" s="49"/>
      <c r="Z3" s="44"/>
      <c r="AA3" s="48"/>
      <c r="AB3" s="49"/>
      <c r="AC3" s="44"/>
      <c r="AD3" s="48"/>
      <c r="AE3" s="49"/>
      <c r="AF3" s="44"/>
      <c r="AG3" s="48"/>
      <c r="AH3" s="88"/>
    </row>
    <row r="4" ht="20.25" spans="1:34">
      <c r="A4" s="50">
        <v>1</v>
      </c>
      <c r="B4" s="51" t="s">
        <v>539</v>
      </c>
      <c r="C4" s="52" t="s">
        <v>1141</v>
      </c>
      <c r="D4" s="53">
        <f>各序列技能计算!AB6*6</f>
        <v>0</v>
      </c>
      <c r="E4" s="54"/>
      <c r="F4" s="55"/>
      <c r="G4" s="56">
        <f>各序列技能计算!C2</f>
        <v>0</v>
      </c>
      <c r="H4" s="57"/>
      <c r="I4" s="55"/>
      <c r="J4" s="56">
        <f>各序列技能计算!I2</f>
        <v>0</v>
      </c>
      <c r="K4" s="54"/>
      <c r="M4" s="85">
        <f>IF(各序列技能计算!C4&lt;55,各序列技能计算!C4+5,各序列技能计算!C4)</f>
        <v>5</v>
      </c>
      <c r="N4" s="57"/>
      <c r="O4" s="55"/>
      <c r="P4" s="56">
        <f>各序列技能计算!C6</f>
        <v>0</v>
      </c>
      <c r="Q4" s="57"/>
      <c r="R4" s="55"/>
      <c r="S4" s="56">
        <f>各序列技能计算!I4</f>
        <v>0</v>
      </c>
      <c r="T4" s="57">
        <v>1.2</v>
      </c>
      <c r="U4" s="55" t="s">
        <v>1142</v>
      </c>
      <c r="V4" s="56">
        <f>IF(各序列技能计算!I6&gt;=65,各序列技能计算!I6,IF(各序列技能计算!I6*1.2&gt;=55,IF(各序列技能计算!I6*1.2&gt;=65,65,各序列技能计算!I6*1.2),55))</f>
        <v>55</v>
      </c>
      <c r="W4" s="57"/>
      <c r="X4" s="55"/>
      <c r="Y4" s="56">
        <f>各序列技能计算!O2</f>
        <v>0</v>
      </c>
      <c r="Z4" s="57"/>
      <c r="AA4" s="55"/>
      <c r="AB4" s="56">
        <f>各序列技能计算!O4</f>
        <v>0</v>
      </c>
      <c r="AC4" s="57"/>
      <c r="AD4" s="55"/>
      <c r="AE4" s="56">
        <f>各序列技能计算!C8</f>
        <v>0</v>
      </c>
      <c r="AF4" s="57"/>
      <c r="AG4" s="55"/>
      <c r="AH4" s="89"/>
    </row>
    <row r="5" s="25" customFormat="1" ht="20.25" spans="1:34">
      <c r="A5" s="58">
        <v>2</v>
      </c>
      <c r="B5" s="59" t="s">
        <v>540</v>
      </c>
      <c r="C5" s="60" t="s">
        <v>1143</v>
      </c>
      <c r="D5" s="61">
        <f>各序列技能计算!V2*4+各序列技能计算!AB2*3</f>
        <v>0</v>
      </c>
      <c r="E5" s="62">
        <v>1.1</v>
      </c>
      <c r="F5" s="63" t="s">
        <v>1144</v>
      </c>
      <c r="G5" s="64">
        <f>IF(各序列技能计算!C2&gt;=80,各序列技能计算!C2,IF(各序列技能计算!C2*1.1&gt;=65,IF(各序列技能计算!C2*1.1&gt;=80,80,各序列技能计算!C2*1.1),65))</f>
        <v>65</v>
      </c>
      <c r="H5" s="65">
        <v>1.1</v>
      </c>
      <c r="I5" s="63" t="s">
        <v>1144</v>
      </c>
      <c r="J5" s="64">
        <f>IF(各序列技能计算!I2&gt;=80,各序列技能计算!I2,IF(各序列技能计算!I2*1.1&gt;=65,IF(各序列技能计算!I2*1.1&gt;=80,80,各序列技能计算!I2*1.1),65))</f>
        <v>65</v>
      </c>
      <c r="K5" s="62">
        <v>1.1</v>
      </c>
      <c r="L5" s="63" t="s">
        <v>1145</v>
      </c>
      <c r="M5" s="64">
        <f>IF(各序列技能计算!C4&gt;=60,各序列技能计算!C4,IF(各序列技能计算!C4*1.1&gt;=50,IF(各序列技能计算!C4*1.1&gt;=60,60,各序列技能计算!C4*1.1),50))</f>
        <v>50</v>
      </c>
      <c r="N5" s="65"/>
      <c r="O5" s="63"/>
      <c r="P5" s="64">
        <f>各序列技能计算!C6</f>
        <v>0</v>
      </c>
      <c r="Q5" s="65"/>
      <c r="R5" s="63"/>
      <c r="S5" s="49">
        <f>各序列技能计算!I4</f>
        <v>0</v>
      </c>
      <c r="T5" s="65"/>
      <c r="U5" s="63"/>
      <c r="V5" s="64">
        <f>各序列技能计算!I6</f>
        <v>0</v>
      </c>
      <c r="W5" s="65"/>
      <c r="X5" s="63"/>
      <c r="Y5" s="64">
        <f>各序列技能计算!O2</f>
        <v>0</v>
      </c>
      <c r="Z5" s="65"/>
      <c r="AA5" s="63"/>
      <c r="AB5" s="64">
        <f>各序列技能计算!O4</f>
        <v>0</v>
      </c>
      <c r="AC5" s="65"/>
      <c r="AD5" s="63"/>
      <c r="AE5" s="64">
        <f>各序列技能计算!C8</f>
        <v>0</v>
      </c>
      <c r="AF5" s="65"/>
      <c r="AG5" s="63"/>
      <c r="AH5" s="90"/>
    </row>
    <row r="6" ht="20.25" spans="1:34">
      <c r="A6" s="50">
        <v>3</v>
      </c>
      <c r="B6" s="66" t="s">
        <v>541</v>
      </c>
      <c r="C6" s="67" t="s">
        <v>1146</v>
      </c>
      <c r="D6" s="68">
        <f>各序列技能计算!V4*2+各序列技能计算!V2*3</f>
        <v>0</v>
      </c>
      <c r="E6" s="69">
        <v>1.05</v>
      </c>
      <c r="F6" s="70" t="s">
        <v>1142</v>
      </c>
      <c r="G6" s="71">
        <f>IF(各序列技能计算!C2&gt;=65,各序列技能计算!C2,IF(各序列技能计算!C2*1.05&gt;=55,IF(各序列技能计算!C2*1.05&gt;=65,65,各序列技能计算!C2*1.05),55))</f>
        <v>55</v>
      </c>
      <c r="H6" s="72"/>
      <c r="I6" s="70"/>
      <c r="J6" s="71">
        <f>各序列技能计算!I2</f>
        <v>0</v>
      </c>
      <c r="K6" s="69">
        <v>1.2</v>
      </c>
      <c r="L6" s="70" t="s">
        <v>1144</v>
      </c>
      <c r="M6" s="71">
        <f>IF(各序列技能计算!C4&gt;=80,各序列技能计算!C4,IF(各序列技能计算!C4*1.2&gt;=65,IF(各序列技能计算!C4*1.2&gt;=80,80,各序列技能计算!C4*1.2),65))</f>
        <v>65</v>
      </c>
      <c r="N6" s="72"/>
      <c r="O6" s="70"/>
      <c r="P6" s="71">
        <f>各序列技能计算!C6</f>
        <v>0</v>
      </c>
      <c r="Q6" s="72"/>
      <c r="R6" s="70"/>
      <c r="S6" s="71">
        <f>各序列技能计算!I4</f>
        <v>0</v>
      </c>
      <c r="T6" s="72"/>
      <c r="U6" s="70"/>
      <c r="V6" s="71">
        <f>各序列技能计算!I6</f>
        <v>0</v>
      </c>
      <c r="W6" s="72"/>
      <c r="X6" s="70"/>
      <c r="Y6" s="71">
        <f>各序列技能计算!O2</f>
        <v>0</v>
      </c>
      <c r="Z6" s="72"/>
      <c r="AA6" s="70"/>
      <c r="AB6" s="71">
        <f>各序列技能计算!O4</f>
        <v>0</v>
      </c>
      <c r="AC6" s="72"/>
      <c r="AD6" s="70"/>
      <c r="AE6" s="71">
        <f>各序列技能计算!C8</f>
        <v>0</v>
      </c>
      <c r="AF6" s="72"/>
      <c r="AG6" s="70"/>
      <c r="AH6" s="89"/>
    </row>
    <row r="7" s="25" customFormat="1" ht="20.25" spans="1:34">
      <c r="A7" s="58">
        <v>4</v>
      </c>
      <c r="B7" s="59" t="s">
        <v>542</v>
      </c>
      <c r="C7" s="60" t="s">
        <v>1147</v>
      </c>
      <c r="D7" s="61">
        <f>各序列技能计算!V8*2+各序列技能计算!AH2*3</f>
        <v>0</v>
      </c>
      <c r="E7" s="62"/>
      <c r="F7" s="63"/>
      <c r="G7" s="64">
        <f>各序列技能计算!C2</f>
        <v>0</v>
      </c>
      <c r="H7" s="65"/>
      <c r="I7" s="63"/>
      <c r="J7" s="64">
        <f>各序列技能计算!I2</f>
        <v>0</v>
      </c>
      <c r="K7" s="62"/>
      <c r="L7" s="63"/>
      <c r="M7" s="64">
        <f>IF(各序列技能计算!C4&lt;55,各序列技能计算!C4+5,各序列技能计算!C4)</f>
        <v>5</v>
      </c>
      <c r="N7" s="65"/>
      <c r="O7" s="63"/>
      <c r="P7" s="64">
        <f>各序列技能计算!C6</f>
        <v>0</v>
      </c>
      <c r="Q7" s="65"/>
      <c r="R7" s="63"/>
      <c r="S7" s="64">
        <f>各序列技能计算!I4</f>
        <v>0</v>
      </c>
      <c r="T7" s="65"/>
      <c r="U7" s="63"/>
      <c r="V7" s="64">
        <f>各序列技能计算!I6</f>
        <v>0</v>
      </c>
      <c r="W7" s="65">
        <v>0.9</v>
      </c>
      <c r="X7" s="63" t="s">
        <v>1148</v>
      </c>
      <c r="Y7" s="64">
        <f>IF(各序列技能计算!O2&lt;=45,各序列技能计算!O2,IF(各序列技能计算!O2*0.9&lt;=60,IF(各序列技能计算!O2*0.9&lt;=45,45,各序列技能计算!O2*0.9),60))</f>
        <v>0</v>
      </c>
      <c r="Z7" s="65"/>
      <c r="AA7" s="63"/>
      <c r="AB7" s="64">
        <f>各序列技能计算!O4</f>
        <v>0</v>
      </c>
      <c r="AC7" s="65">
        <v>1.5</v>
      </c>
      <c r="AD7" s="63" t="s">
        <v>1149</v>
      </c>
      <c r="AE7" s="64">
        <f>IF(各序列技能计算!C8&gt;=85,各序列技能计算!C8,IF(各序列技能计算!C8*1.5&gt;=70,IF(各序列技能计算!C8*1.5&gt;=85,85,各序列技能计算!C8*1.5),70))</f>
        <v>70</v>
      </c>
      <c r="AF7" s="65"/>
      <c r="AG7" s="63"/>
      <c r="AH7" s="90"/>
    </row>
    <row r="8" ht="20.25" spans="1:34">
      <c r="A8" s="50">
        <v>5</v>
      </c>
      <c r="B8" s="66" t="s">
        <v>543</v>
      </c>
      <c r="C8" s="67" t="s">
        <v>1150</v>
      </c>
      <c r="D8" s="68">
        <f>各序列技能计算!AB6*2+各序列技能计算!V2*3</f>
        <v>0</v>
      </c>
      <c r="E8" s="69">
        <v>1.1</v>
      </c>
      <c r="F8" s="70" t="s">
        <v>1151</v>
      </c>
      <c r="G8" s="71">
        <f>IF(各序列技能计算!C2&gt;=75,各序列技能计算!C2,IF(各序列技能计算!C2*1.1&gt;=60,IF(各序列技能计算!C2*1.1&gt;=75,75,各序列技能计算!C2*1.1),60))</f>
        <v>60</v>
      </c>
      <c r="H8" s="72"/>
      <c r="I8" s="70"/>
      <c r="J8" s="71">
        <f>各序列技能计算!I2</f>
        <v>0</v>
      </c>
      <c r="K8" s="69"/>
      <c r="L8" s="70"/>
      <c r="M8" s="71">
        <f>IF(各序列技能计算!C4&lt;55,各序列技能计算!C4+5,各序列技能计算!C4)</f>
        <v>5</v>
      </c>
      <c r="N8" s="72"/>
      <c r="O8" s="70"/>
      <c r="P8" s="71">
        <f>各序列技能计算!C6</f>
        <v>0</v>
      </c>
      <c r="Q8" s="72"/>
      <c r="R8" s="70"/>
      <c r="S8" s="71">
        <f>各序列技能计算!I4</f>
        <v>0</v>
      </c>
      <c r="T8" s="72">
        <v>1.2</v>
      </c>
      <c r="U8" s="70" t="s">
        <v>1144</v>
      </c>
      <c r="V8" s="71">
        <f>IF(各序列技能计算!I6&gt;=80,各序列技能计算!I6,IF(各序列技能计算!I6*1.2&gt;=65,IF(各序列技能计算!I6*1.2&gt;=80,80,各序列技能计算!I6*1.2),65))</f>
        <v>65</v>
      </c>
      <c r="W8" s="72"/>
      <c r="X8" s="70"/>
      <c r="Y8" s="71">
        <f>各序列技能计算!O2</f>
        <v>0</v>
      </c>
      <c r="Z8" s="72"/>
      <c r="AA8" s="70"/>
      <c r="AB8" s="71">
        <f>各序列技能计算!O4</f>
        <v>0</v>
      </c>
      <c r="AC8" s="72"/>
      <c r="AD8" s="70"/>
      <c r="AE8" s="71">
        <f>各序列技能计算!C8</f>
        <v>0</v>
      </c>
      <c r="AF8" s="72"/>
      <c r="AG8" s="70"/>
      <c r="AH8" s="89"/>
    </row>
    <row r="9" s="25" customFormat="1" ht="20.25" spans="1:34">
      <c r="A9" s="58">
        <v>6</v>
      </c>
      <c r="B9" s="59" t="s">
        <v>544</v>
      </c>
      <c r="C9" s="60" t="s">
        <v>1152</v>
      </c>
      <c r="D9" s="61">
        <f>(各序列技能计算!V2+各序列技能计算!V4+各序列技能计算!AB6)*2</f>
        <v>0</v>
      </c>
      <c r="E9" s="62">
        <v>1.1</v>
      </c>
      <c r="F9" s="63" t="s">
        <v>1144</v>
      </c>
      <c r="G9" s="64">
        <f>IF(各序列技能计算!C2&gt;=80,各序列技能计算!C2,IF(各序列技能计算!C2*1.1&gt;=65,IF(各序列技能计算!C2*1.1&gt;=80,80,各序列技能计算!C2*1.1),65))</f>
        <v>65</v>
      </c>
      <c r="H9" s="65"/>
      <c r="I9" s="63"/>
      <c r="J9" s="64">
        <f>各序列技能计算!I2</f>
        <v>0</v>
      </c>
      <c r="K9" s="62">
        <v>1.1</v>
      </c>
      <c r="L9" s="63" t="s">
        <v>1153</v>
      </c>
      <c r="M9" s="64">
        <f>IF(各序列技能计算!C4&gt;=75,各序列技能计算!C4,IF(各序列技能计算!C4*1.1&gt;=55,IF(各序列技能计算!C4*1.1&gt;=75,75,各序列技能计算!C4*1.1),55))</f>
        <v>55</v>
      </c>
      <c r="N9" s="65"/>
      <c r="O9" s="63"/>
      <c r="P9" s="64">
        <f>各序列技能计算!C6</f>
        <v>0</v>
      </c>
      <c r="Q9" s="65"/>
      <c r="R9" s="63"/>
      <c r="S9" s="64">
        <f>各序列技能计算!I4</f>
        <v>0</v>
      </c>
      <c r="T9" s="65">
        <v>1.05</v>
      </c>
      <c r="U9" s="63" t="s">
        <v>1154</v>
      </c>
      <c r="V9" s="64">
        <f>IF(各序列技能计算!I6&gt;=75,各序列技能计算!I6,IF(各序列技能计算!I6*1.05&gt;=65,IF(各序列技能计算!I6*1.05&gt;=75,75,各序列技能计算!I6*1.05),65))</f>
        <v>65</v>
      </c>
      <c r="W9" s="65"/>
      <c r="X9" s="63"/>
      <c r="Y9" s="64">
        <f>各序列技能计算!O2</f>
        <v>0</v>
      </c>
      <c r="Z9" s="65"/>
      <c r="AA9" s="63"/>
      <c r="AB9" s="64">
        <f>各序列技能计算!O4</f>
        <v>0</v>
      </c>
      <c r="AC9" s="65"/>
      <c r="AD9" s="63"/>
      <c r="AE9" s="64">
        <f>各序列技能计算!C8</f>
        <v>0</v>
      </c>
      <c r="AF9" s="65"/>
      <c r="AG9" s="63"/>
      <c r="AH9" s="90"/>
    </row>
    <row r="10" ht="20.25" spans="1:34">
      <c r="A10" s="50">
        <v>7</v>
      </c>
      <c r="B10" s="66" t="s">
        <v>545</v>
      </c>
      <c r="C10" s="67" t="s">
        <v>1152</v>
      </c>
      <c r="D10" s="68">
        <f>(各序列技能计算!V2+各序列技能计算!V4+各序列技能计算!AB6)*2</f>
        <v>0</v>
      </c>
      <c r="E10" s="69">
        <v>1.1</v>
      </c>
      <c r="F10" s="70" t="s">
        <v>1144</v>
      </c>
      <c r="G10" s="71">
        <f>IF(各序列技能计算!C2&gt;=80,各序列技能计算!C2,IF(各序列技能计算!C2*1.1&gt;=65,IF(各序列技能计算!C2*1.1&gt;=80,80,各序列技能计算!C2*1.1),65))</f>
        <v>65</v>
      </c>
      <c r="H10" s="72"/>
      <c r="I10" s="70"/>
      <c r="J10" s="71">
        <f>各序列技能计算!I2</f>
        <v>0</v>
      </c>
      <c r="K10" s="69">
        <v>1.1</v>
      </c>
      <c r="L10" s="70" t="s">
        <v>1154</v>
      </c>
      <c r="M10" s="71">
        <f>IF(各序列技能计算!C4&gt;=75,各序列技能计算!C4,IF(各序列技能计算!C4*1.1&gt;=65,IF(各序列技能计算!C4*1.1&gt;=75,75,各序列技能计算!C4*1.1),65))</f>
        <v>65</v>
      </c>
      <c r="N10" s="72"/>
      <c r="O10" s="70"/>
      <c r="P10" s="71">
        <f>各序列技能计算!C6</f>
        <v>0</v>
      </c>
      <c r="Q10" s="72"/>
      <c r="R10" s="70"/>
      <c r="S10" s="71">
        <f>各序列技能计算!I4</f>
        <v>0</v>
      </c>
      <c r="T10" s="72">
        <v>1.05</v>
      </c>
      <c r="U10" s="70" t="s">
        <v>1154</v>
      </c>
      <c r="V10" s="71">
        <f>IF(各序列技能计算!I6&gt;=75,各序列技能计算!I6,IF(各序列技能计算!I6*1.05&gt;=65,IF(各序列技能计算!I6*1.05&gt;=75,75,各序列技能计算!I6*1.05),65))</f>
        <v>65</v>
      </c>
      <c r="W10" s="72"/>
      <c r="X10" s="70"/>
      <c r="Y10" s="71">
        <f>各序列技能计算!O2</f>
        <v>0</v>
      </c>
      <c r="Z10" s="72"/>
      <c r="AA10" s="70"/>
      <c r="AB10" s="71">
        <f>各序列技能计算!O4</f>
        <v>0</v>
      </c>
      <c r="AC10" s="72"/>
      <c r="AD10" s="70"/>
      <c r="AE10" s="71">
        <f>各序列技能计算!C8</f>
        <v>0</v>
      </c>
      <c r="AF10" s="72"/>
      <c r="AG10" s="70"/>
      <c r="AH10" s="89"/>
    </row>
    <row r="11" s="25" customFormat="1" ht="20.25" spans="1:34">
      <c r="A11" s="58">
        <v>8</v>
      </c>
      <c r="B11" s="59" t="s">
        <v>546</v>
      </c>
      <c r="C11" s="60" t="s">
        <v>1155</v>
      </c>
      <c r="D11" s="61">
        <f>各序列技能计算!V8*6</f>
        <v>0</v>
      </c>
      <c r="E11" s="62"/>
      <c r="F11" s="63"/>
      <c r="G11" s="64">
        <f>各序列技能计算!C2</f>
        <v>0</v>
      </c>
      <c r="H11" s="65"/>
      <c r="I11" s="63"/>
      <c r="J11" s="64">
        <f>各序列技能计算!I2</f>
        <v>0</v>
      </c>
      <c r="K11" s="62"/>
      <c r="L11" s="63"/>
      <c r="M11" s="64">
        <f>IF(各序列技能计算!C4&lt;55,各序列技能计算!C4+5,各序列技能计算!C4)</f>
        <v>5</v>
      </c>
      <c r="N11" s="65"/>
      <c r="O11" s="63"/>
      <c r="P11" s="64">
        <f>各序列技能计算!C6</f>
        <v>0</v>
      </c>
      <c r="Q11" s="65"/>
      <c r="R11" s="63"/>
      <c r="S11" s="64">
        <f>各序列技能计算!I4</f>
        <v>0</v>
      </c>
      <c r="T11" s="65"/>
      <c r="U11" s="63"/>
      <c r="V11" s="64">
        <f>各序列技能计算!I6</f>
        <v>0</v>
      </c>
      <c r="W11" s="65"/>
      <c r="X11" s="63"/>
      <c r="Y11" s="64">
        <f>各序列技能计算!O2</f>
        <v>0</v>
      </c>
      <c r="Z11" s="65"/>
      <c r="AA11" s="63"/>
      <c r="AB11" s="64">
        <f>各序列技能计算!O4</f>
        <v>0</v>
      </c>
      <c r="AC11" s="65">
        <v>1.2</v>
      </c>
      <c r="AD11" s="63" t="s">
        <v>1144</v>
      </c>
      <c r="AE11" s="64">
        <f>IF(各序列技能计算!C8&gt;=80,各序列技能计算!C8,IF(各序列技能计算!C8*1.2&gt;=65,IF(各序列技能计算!C8*1.2&gt;=80,80,各序列技能计算!C8*1.2),65))</f>
        <v>65</v>
      </c>
      <c r="AF11" s="65"/>
      <c r="AG11" s="63"/>
      <c r="AH11" s="90"/>
    </row>
    <row r="12" ht="20.25" spans="1:34">
      <c r="A12" s="50">
        <v>9</v>
      </c>
      <c r="B12" s="66" t="s">
        <v>547</v>
      </c>
      <c r="C12" s="67" t="s">
        <v>1155</v>
      </c>
      <c r="D12" s="68">
        <f>各序列技能计算!V8*6</f>
        <v>0</v>
      </c>
      <c r="E12" s="69"/>
      <c r="F12" s="70"/>
      <c r="G12" s="71">
        <f>各序列技能计算!C2</f>
        <v>0</v>
      </c>
      <c r="H12" s="72"/>
      <c r="I12" s="70"/>
      <c r="J12" s="71">
        <f>各序列技能计算!I2</f>
        <v>0</v>
      </c>
      <c r="K12" s="69"/>
      <c r="L12" s="70"/>
      <c r="M12" s="71">
        <f>IF(各序列技能计算!C4&lt;55,各序列技能计算!C4+5,各序列技能计算!C4)</f>
        <v>5</v>
      </c>
      <c r="N12" s="72"/>
      <c r="O12" s="70"/>
      <c r="P12" s="71">
        <f>各序列技能计算!C6</f>
        <v>0</v>
      </c>
      <c r="Q12" s="72"/>
      <c r="R12" s="70"/>
      <c r="S12" s="71">
        <f>各序列技能计算!I4</f>
        <v>0</v>
      </c>
      <c r="T12" s="72"/>
      <c r="U12" s="70"/>
      <c r="V12" s="71">
        <f>各序列技能计算!I6</f>
        <v>0</v>
      </c>
      <c r="W12" s="72"/>
      <c r="X12" s="70"/>
      <c r="Y12" s="71">
        <f>各序列技能计算!O2</f>
        <v>0</v>
      </c>
      <c r="Z12" s="72"/>
      <c r="AA12" s="70"/>
      <c r="AB12" s="71">
        <f>各序列技能计算!O4</f>
        <v>0</v>
      </c>
      <c r="AC12" s="72">
        <v>1.2</v>
      </c>
      <c r="AD12" s="70" t="s">
        <v>1144</v>
      </c>
      <c r="AE12" s="71">
        <f>IF(各序列技能计算!C8&gt;=80,各序列技能计算!C8,IF(各序列技能计算!C8*1.2&gt;=65,IF(各序列技能计算!C8*1.2&gt;=80,80,各序列技能计算!C8*1.2),65))</f>
        <v>65</v>
      </c>
      <c r="AF12" s="72"/>
      <c r="AG12" s="70"/>
      <c r="AH12" s="89"/>
    </row>
    <row r="13" s="25" customFormat="1" ht="20.25" spans="1:34">
      <c r="A13" s="58">
        <v>10</v>
      </c>
      <c r="B13" s="59" t="s">
        <v>548</v>
      </c>
      <c r="C13" s="60" t="s">
        <v>1156</v>
      </c>
      <c r="D13" s="61">
        <f>各序列技能计算!AH2*2+各序列技能计算!V8*3</f>
        <v>0</v>
      </c>
      <c r="E13" s="62"/>
      <c r="F13" s="63"/>
      <c r="G13" s="64">
        <f>各序列技能计算!C2</f>
        <v>0</v>
      </c>
      <c r="H13" s="65"/>
      <c r="I13" s="63"/>
      <c r="J13" s="64">
        <f>各序列技能计算!I2</f>
        <v>0</v>
      </c>
      <c r="K13" s="62"/>
      <c r="L13" s="63"/>
      <c r="M13" s="64">
        <f>IF(各序列技能计算!C4&lt;55,各序列技能计算!C4+5,各序列技能计算!C4)</f>
        <v>5</v>
      </c>
      <c r="N13" s="65"/>
      <c r="O13" s="63"/>
      <c r="P13" s="64">
        <f>各序列技能计算!C6</f>
        <v>0</v>
      </c>
      <c r="Q13" s="65"/>
      <c r="R13" s="63"/>
      <c r="S13" s="64">
        <f>各序列技能计算!I4</f>
        <v>0</v>
      </c>
      <c r="T13" s="65"/>
      <c r="U13" s="63"/>
      <c r="V13" s="64">
        <f>各序列技能计算!I6</f>
        <v>0</v>
      </c>
      <c r="W13" s="65">
        <v>1.05</v>
      </c>
      <c r="X13" s="63" t="s">
        <v>1157</v>
      </c>
      <c r="Y13" s="64">
        <f>IF(各序列技能计算!O2&gt;=65,各序列技能计算!O2,IF(各序列技能计算!O2*1.05&gt;=40,IF(各序列技能计算!O2*1.05&gt;=65,65,各序列技能计算!O2*1.05),40))</f>
        <v>40</v>
      </c>
      <c r="Z13" s="65"/>
      <c r="AA13" s="63"/>
      <c r="AB13" s="64">
        <f>各序列技能计算!O4</f>
        <v>0</v>
      </c>
      <c r="AC13" s="65">
        <v>1.2</v>
      </c>
      <c r="AD13" s="63" t="s">
        <v>1144</v>
      </c>
      <c r="AE13" s="64">
        <f>IF(各序列技能计算!C8&gt;=80,各序列技能计算!C8,IF(各序列技能计算!C8*1.2&gt;=65,IF(各序列技能计算!C8*1.2&gt;=80,80,各序列技能计算!C8*1.2),65))</f>
        <v>65</v>
      </c>
      <c r="AF13" s="65"/>
      <c r="AG13" s="63"/>
      <c r="AH13" s="90"/>
    </row>
    <row r="14" ht="20.25" spans="1:34">
      <c r="A14" s="50">
        <v>11</v>
      </c>
      <c r="B14" s="66" t="s">
        <v>549</v>
      </c>
      <c r="C14" s="67" t="s">
        <v>1158</v>
      </c>
      <c r="D14" s="68">
        <f>各序列技能计算!AB2*4+各序列技能计算!V4*2</f>
        <v>0</v>
      </c>
      <c r="E14" s="69"/>
      <c r="F14" s="70"/>
      <c r="G14" s="71">
        <f>各序列技能计算!C2</f>
        <v>0</v>
      </c>
      <c r="H14" s="72">
        <v>1.2</v>
      </c>
      <c r="I14" s="70" t="s">
        <v>1159</v>
      </c>
      <c r="J14" s="71">
        <f>IF(各序列技能计算!I2&gt;=70,各序列技能计算!I2,IF(各序列技能计算!I2*1.2&gt;=60,IF(各序列技能计算!I2*1.2&gt;=70,70,各序列技能计算!I2*1.2),60))</f>
        <v>60</v>
      </c>
      <c r="K14" s="69">
        <v>1.1</v>
      </c>
      <c r="L14" s="70" t="s">
        <v>1145</v>
      </c>
      <c r="M14" s="71">
        <f>IF(各序列技能计算!C4&gt;=60,各序列技能计算!C4,IF(各序列技能计算!C4*1.1&gt;=50,IF(各序列技能计算!C4*1.1&gt;=60,60,各序列技能计算!C4*1.1),50))</f>
        <v>50</v>
      </c>
      <c r="N14" s="72"/>
      <c r="O14" s="70"/>
      <c r="P14" s="71">
        <f>各序列技能计算!C6</f>
        <v>0</v>
      </c>
      <c r="Q14" s="72"/>
      <c r="R14" s="70"/>
      <c r="S14" s="71">
        <f>各序列技能计算!I4</f>
        <v>0</v>
      </c>
      <c r="T14" s="72"/>
      <c r="U14" s="70"/>
      <c r="V14" s="71">
        <f>各序列技能计算!I6</f>
        <v>0</v>
      </c>
      <c r="W14" s="72"/>
      <c r="X14" s="70"/>
      <c r="Y14" s="71">
        <f>各序列技能计算!O2</f>
        <v>0</v>
      </c>
      <c r="Z14" s="72"/>
      <c r="AA14" s="70"/>
      <c r="AB14" s="71">
        <f>各序列技能计算!O4</f>
        <v>0</v>
      </c>
      <c r="AC14" s="72"/>
      <c r="AD14" s="70"/>
      <c r="AE14" s="71">
        <f>各序列技能计算!C8</f>
        <v>0</v>
      </c>
      <c r="AF14" s="72"/>
      <c r="AG14" s="70"/>
      <c r="AH14" s="89"/>
    </row>
    <row r="15" s="25" customFormat="1" ht="20.25" spans="1:34">
      <c r="A15" s="58">
        <v>12</v>
      </c>
      <c r="B15" s="59" t="s">
        <v>550</v>
      </c>
      <c r="C15" s="60" t="s">
        <v>1160</v>
      </c>
      <c r="D15" s="61">
        <f>各序列技能计算!V8*5</f>
        <v>0</v>
      </c>
      <c r="E15" s="62"/>
      <c r="F15" s="63"/>
      <c r="G15" s="64">
        <f>各序列技能计算!C2</f>
        <v>0</v>
      </c>
      <c r="H15" s="65"/>
      <c r="I15" s="63"/>
      <c r="J15" s="64">
        <f>各序列技能计算!I2</f>
        <v>0</v>
      </c>
      <c r="K15" s="62"/>
      <c r="L15" s="63"/>
      <c r="M15" s="64">
        <f>IF(各序列技能计算!C4&lt;55,各序列技能计算!C4+5,各序列技能计算!C4)</f>
        <v>5</v>
      </c>
      <c r="N15" s="65"/>
      <c r="O15" s="63"/>
      <c r="P15" s="64">
        <f>各序列技能计算!C6</f>
        <v>0</v>
      </c>
      <c r="Q15" s="65"/>
      <c r="R15" s="63"/>
      <c r="S15" s="64">
        <f>各序列技能计算!I4</f>
        <v>0</v>
      </c>
      <c r="T15" s="65"/>
      <c r="U15" s="63"/>
      <c r="V15" s="64">
        <f>各序列技能计算!I6</f>
        <v>0</v>
      </c>
      <c r="W15" s="65"/>
      <c r="X15" s="63"/>
      <c r="Y15" s="64">
        <f>各序列技能计算!O2</f>
        <v>0</v>
      </c>
      <c r="Z15" s="65"/>
      <c r="AA15" s="63"/>
      <c r="AB15" s="64">
        <f>各序列技能计算!O4</f>
        <v>0</v>
      </c>
      <c r="AC15" s="65">
        <v>1.2</v>
      </c>
      <c r="AD15" s="63" t="s">
        <v>1144</v>
      </c>
      <c r="AE15" s="64">
        <f>IF(各序列技能计算!C8&gt;=80,各序列技能计算!C8,IF(各序列技能计算!C8*1.2&gt;=65,IF(各序列技能计算!C8*1.2&gt;=80,80,各序列技能计算!C8*1.2),65))</f>
        <v>65</v>
      </c>
      <c r="AF15" s="65"/>
      <c r="AG15" s="63"/>
      <c r="AH15" s="90"/>
    </row>
    <row r="16" ht="20.25" spans="1:34">
      <c r="A16" s="50">
        <v>13</v>
      </c>
      <c r="B16" s="66" t="s">
        <v>551</v>
      </c>
      <c r="C16" s="67" t="s">
        <v>1161</v>
      </c>
      <c r="D16" s="68">
        <f>各序列技能计算!V2*5+各序列技能计算!AB2</f>
        <v>0</v>
      </c>
      <c r="E16" s="69">
        <v>1.2</v>
      </c>
      <c r="F16" s="70" t="s">
        <v>1144</v>
      </c>
      <c r="G16" s="71">
        <f>IF(各序列技能计算!C2&gt;=80,各序列技能计算!C2,IF(各序列技能计算!C2*1.2&gt;=65,IF(各序列技能计算!C2*1.2&gt;=80,80,各序列技能计算!C2*1.2),65))</f>
        <v>65</v>
      </c>
      <c r="H16" s="72">
        <v>1.1</v>
      </c>
      <c r="I16" s="70" t="s">
        <v>1159</v>
      </c>
      <c r="J16" s="71">
        <f>IF(各序列技能计算!I2&gt;=70,各序列技能计算!I2,IF(各序列技能计算!I2*1.1&gt;=60,IF(各序列技能计算!I2*1.1&gt;=70,70,各序列技能计算!I2*1.1),60))</f>
        <v>60</v>
      </c>
      <c r="K16" s="69">
        <v>1.1</v>
      </c>
      <c r="L16" s="70" t="s">
        <v>1162</v>
      </c>
      <c r="M16" s="71">
        <f>IF(各序列技能计算!C4&gt;=65,各序列技能计算!C4,IF(各序列技能计算!C4*1.1&gt;=50,IF(各序列技能计算!C4*1.1&gt;=65,65,各序列技能计算!C4*1.1),50))</f>
        <v>50</v>
      </c>
      <c r="N16" s="72">
        <v>1.1</v>
      </c>
      <c r="O16" s="70" t="s">
        <v>1154</v>
      </c>
      <c r="P16" s="71">
        <f>IF(各序列技能计算!C6&gt;=75,各序列技能计算!C6,IF(各序列技能计算!C6*1.1&gt;=65,IF(各序列技能计算!C6*1.1&gt;=75,75,各序列技能计算!C6*1.1),65))</f>
        <v>65</v>
      </c>
      <c r="Q16" s="72"/>
      <c r="R16" s="70"/>
      <c r="S16" s="71">
        <f>各序列技能计算!I4</f>
        <v>0</v>
      </c>
      <c r="T16" s="72"/>
      <c r="U16" s="70"/>
      <c r="V16" s="71">
        <f>各序列技能计算!I6</f>
        <v>0</v>
      </c>
      <c r="W16" s="72"/>
      <c r="X16" s="70"/>
      <c r="Y16" s="71">
        <f>各序列技能计算!O2</f>
        <v>0</v>
      </c>
      <c r="Z16" s="72"/>
      <c r="AA16" s="70"/>
      <c r="AB16" s="71">
        <f>各序列技能计算!O4</f>
        <v>0</v>
      </c>
      <c r="AC16" s="72"/>
      <c r="AD16" s="70"/>
      <c r="AE16" s="71">
        <f>各序列技能计算!C8</f>
        <v>0</v>
      </c>
      <c r="AF16" s="72"/>
      <c r="AG16" s="70"/>
      <c r="AH16" s="89"/>
    </row>
    <row r="17" s="25" customFormat="1" ht="20.25" spans="1:34">
      <c r="A17" s="58">
        <v>14</v>
      </c>
      <c r="B17" s="59" t="s">
        <v>552</v>
      </c>
      <c r="C17" s="60" t="s">
        <v>1163</v>
      </c>
      <c r="D17" s="61">
        <f>各序列技能计算!AH4*2+各序列技能计算!AB6*3</f>
        <v>0</v>
      </c>
      <c r="E17" s="62"/>
      <c r="F17" s="63"/>
      <c r="G17" s="64">
        <f>各序列技能计算!C2</f>
        <v>0</v>
      </c>
      <c r="H17" s="65"/>
      <c r="I17" s="63"/>
      <c r="J17" s="64">
        <f>各序列技能计算!I2</f>
        <v>0</v>
      </c>
      <c r="K17" s="62"/>
      <c r="L17" s="63"/>
      <c r="M17" s="64">
        <f>IF(各序列技能计算!C4&lt;55,各序列技能计算!C4+5,各序列技能计算!C4)</f>
        <v>5</v>
      </c>
      <c r="N17" s="65"/>
      <c r="O17" s="63"/>
      <c r="P17" s="64">
        <f>各序列技能计算!C6</f>
        <v>0</v>
      </c>
      <c r="Q17" s="65"/>
      <c r="R17" s="63"/>
      <c r="S17" s="64">
        <f>各序列技能计算!I4</f>
        <v>0</v>
      </c>
      <c r="T17" s="65">
        <v>1.2</v>
      </c>
      <c r="U17" s="63" t="s">
        <v>1144</v>
      </c>
      <c r="V17" s="64">
        <f>IF(各序列技能计算!I6&gt;=80,各序列技能计算!I6,IF(各序列技能计算!I6*1.2&gt;=65,IF(各序列技能计算!I6*1.2&gt;=80,80,各序列技能计算!I6*1.2),65))</f>
        <v>65</v>
      </c>
      <c r="W17" s="65"/>
      <c r="X17" s="63"/>
      <c r="Y17" s="64">
        <f>各序列技能计算!O2</f>
        <v>0</v>
      </c>
      <c r="Z17" s="65">
        <v>1.1</v>
      </c>
      <c r="AA17" s="63" t="s">
        <v>1151</v>
      </c>
      <c r="AB17" s="64">
        <f>IF(各序列技能计算!O4&gt;=75,各序列技能计算!O4,IF(各序列技能计算!O4*1.1&gt;=60,IF(各序列技能计算!O4*1.1&gt;=75,75,各序列技能计算!O4*1.1),60))</f>
        <v>60</v>
      </c>
      <c r="AC17" s="65"/>
      <c r="AD17" s="63"/>
      <c r="AE17" s="64">
        <f>各序列技能计算!C8</f>
        <v>0</v>
      </c>
      <c r="AF17" s="65"/>
      <c r="AG17" s="63"/>
      <c r="AH17" s="90"/>
    </row>
    <row r="18" ht="20.25" spans="1:34">
      <c r="A18" s="50">
        <v>15</v>
      </c>
      <c r="B18" s="66" t="s">
        <v>553</v>
      </c>
      <c r="C18" s="67" t="s">
        <v>1164</v>
      </c>
      <c r="D18" s="68">
        <f>各序列技能计算!V2*4+各序列技能计算!V4*2</f>
        <v>0</v>
      </c>
      <c r="E18" s="69">
        <v>1.2</v>
      </c>
      <c r="F18" s="70" t="s">
        <v>1154</v>
      </c>
      <c r="G18" s="71">
        <f>IF(各序列技能计算!C2&gt;=75,各序列技能计算!C2,IF(各序列技能计算!C2*1.2&gt;=65,IF(各序列技能计算!C2*1.2&gt;=75,75,各序列技能计算!C2*1.2),65))</f>
        <v>65</v>
      </c>
      <c r="H18" s="72"/>
      <c r="I18" s="70"/>
      <c r="J18" s="71">
        <f>各序列技能计算!I2</f>
        <v>0</v>
      </c>
      <c r="K18" s="69">
        <v>1.1</v>
      </c>
      <c r="L18" s="70" t="s">
        <v>1154</v>
      </c>
      <c r="M18" s="71">
        <f>IF(各序列技能计算!C4&gt;=75,各序列技能计算!C4,IF(各序列技能计算!C4*1.1&gt;=65,IF(各序列技能计算!C4*1.1&gt;=75,75,各序列技能计算!C4*1.1),65))</f>
        <v>65</v>
      </c>
      <c r="N18" s="72"/>
      <c r="O18" s="70"/>
      <c r="P18" s="71">
        <f>各序列技能计算!C6</f>
        <v>0</v>
      </c>
      <c r="Q18" s="72"/>
      <c r="R18" s="70"/>
      <c r="S18" s="71">
        <f>各序列技能计算!I4</f>
        <v>0</v>
      </c>
      <c r="T18" s="72"/>
      <c r="U18" s="70"/>
      <c r="V18" s="71">
        <f>各序列技能计算!I6</f>
        <v>0</v>
      </c>
      <c r="W18" s="72"/>
      <c r="X18" s="70"/>
      <c r="Y18" s="71">
        <f>各序列技能计算!O2</f>
        <v>0</v>
      </c>
      <c r="Z18" s="72"/>
      <c r="AA18" s="70"/>
      <c r="AB18" s="71">
        <f>各序列技能计算!O4</f>
        <v>0</v>
      </c>
      <c r="AC18" s="72"/>
      <c r="AD18" s="70"/>
      <c r="AE18" s="71">
        <f>各序列技能计算!C8</f>
        <v>0</v>
      </c>
      <c r="AF18" s="72"/>
      <c r="AG18" s="70"/>
      <c r="AH18" s="89"/>
    </row>
    <row r="19" s="25" customFormat="1" ht="20.25" spans="1:34">
      <c r="A19" s="58">
        <v>16</v>
      </c>
      <c r="B19" s="59" t="s">
        <v>554</v>
      </c>
      <c r="C19" s="60" t="s">
        <v>1165</v>
      </c>
      <c r="D19" s="61">
        <f>各序列技能计算!AB6*2+各序列技能计算!V4*4</f>
        <v>0</v>
      </c>
      <c r="E19" s="62"/>
      <c r="F19" s="63"/>
      <c r="G19" s="64">
        <f>各序列技能计算!C2</f>
        <v>0</v>
      </c>
      <c r="H19" s="65"/>
      <c r="I19" s="63"/>
      <c r="J19" s="64">
        <f>各序列技能计算!I2</f>
        <v>0</v>
      </c>
      <c r="K19" s="62">
        <v>1.1</v>
      </c>
      <c r="L19" s="63" t="s">
        <v>1154</v>
      </c>
      <c r="M19" s="64">
        <f>IF(各序列技能计算!C4&gt;=75,各序列技能计算!C4,IF(各序列技能计算!C4*1.1&gt;=65,IF(各序列技能计算!C4*1.1&gt;=75,75,各序列技能计算!C4*1.1),65))</f>
        <v>65</v>
      </c>
      <c r="N19" s="65"/>
      <c r="O19" s="63"/>
      <c r="P19" s="64">
        <f>各序列技能计算!C6</f>
        <v>0</v>
      </c>
      <c r="Q19" s="65"/>
      <c r="R19" s="63"/>
      <c r="S19" s="64">
        <f>各序列技能计算!I4</f>
        <v>0</v>
      </c>
      <c r="T19" s="65">
        <v>1.1</v>
      </c>
      <c r="U19" s="63" t="s">
        <v>1166</v>
      </c>
      <c r="V19" s="64">
        <f>IF(各序列技能计算!I6&gt;=80,各序列技能计算!I6,IF(各序列技能计算!I6*1.1&gt;=70,IF(各序列技能计算!I6*1.1&gt;=80,80,各序列技能计算!I6*1.1),70))</f>
        <v>70</v>
      </c>
      <c r="W19" s="65"/>
      <c r="X19" s="63"/>
      <c r="Y19" s="64">
        <f>各序列技能计算!O2</f>
        <v>0</v>
      </c>
      <c r="Z19" s="65"/>
      <c r="AA19" s="63"/>
      <c r="AB19" s="64">
        <f>各序列技能计算!O4</f>
        <v>0</v>
      </c>
      <c r="AC19" s="65"/>
      <c r="AD19" s="63"/>
      <c r="AE19" s="64">
        <f>各序列技能计算!C8</f>
        <v>0</v>
      </c>
      <c r="AF19" s="65"/>
      <c r="AG19" s="63"/>
      <c r="AH19" s="90"/>
    </row>
    <row r="20" ht="20.25" spans="1:34">
      <c r="A20" s="50">
        <v>17</v>
      </c>
      <c r="B20" s="66" t="s">
        <v>555</v>
      </c>
      <c r="C20" s="52" t="s">
        <v>1167</v>
      </c>
      <c r="D20" s="53">
        <f>各序列技能计算!V2*2+各序列技能计算!V8*3</f>
        <v>0</v>
      </c>
      <c r="E20" s="69">
        <v>1.2</v>
      </c>
      <c r="F20" s="55" t="s">
        <v>1151</v>
      </c>
      <c r="G20" s="56">
        <f>IF(各序列技能计算!C2&gt;=75,各序列技能计算!C2,IF(各序列技能计算!C2*1.2&gt;=60,IF(各序列技能计算!C2*1.2&gt;=75,75,各序列技能计算!C2*1.2),60))</f>
        <v>60</v>
      </c>
      <c r="H20" s="72"/>
      <c r="I20" s="55"/>
      <c r="J20" s="56">
        <f>各序列技能计算!I2</f>
        <v>0</v>
      </c>
      <c r="K20" s="69"/>
      <c r="L20" s="55"/>
      <c r="M20" s="56">
        <f>IF(各序列技能计算!C4&lt;55,各序列技能计算!C4+5,各序列技能计算!C4)</f>
        <v>5</v>
      </c>
      <c r="N20" s="72"/>
      <c r="O20" s="55"/>
      <c r="P20" s="56">
        <f>各序列技能计算!C6</f>
        <v>0</v>
      </c>
      <c r="Q20" s="72"/>
      <c r="R20" s="55"/>
      <c r="S20" s="56">
        <f>各序列技能计算!I4</f>
        <v>0</v>
      </c>
      <c r="T20" s="72"/>
      <c r="U20" s="55"/>
      <c r="V20" s="56">
        <f>各序列技能计算!I6</f>
        <v>0</v>
      </c>
      <c r="W20" s="72"/>
      <c r="X20" s="55"/>
      <c r="Y20" s="56">
        <f>各序列技能计算!O2</f>
        <v>0</v>
      </c>
      <c r="Z20" s="72"/>
      <c r="AA20" s="55"/>
      <c r="AB20" s="56">
        <f>各序列技能计算!O4</f>
        <v>0</v>
      </c>
      <c r="AC20" s="72">
        <v>1.05</v>
      </c>
      <c r="AD20" s="55" t="s">
        <v>1168</v>
      </c>
      <c r="AE20" s="56">
        <f>IF(各序列技能计算!C8&gt;=70,各序列技能计算!C8,IF(各序列技能计算!C8*1.05&gt;=55,IF(各序列技能计算!C8*1.05&gt;=70,70,各序列技能计算!C8*1.05),55))</f>
        <v>55</v>
      </c>
      <c r="AF20" s="72"/>
      <c r="AG20" s="55"/>
      <c r="AH20" s="89"/>
    </row>
    <row r="21" s="25" customFormat="1" ht="20.25" spans="1:34">
      <c r="A21" s="58">
        <v>18</v>
      </c>
      <c r="B21" s="59" t="s">
        <v>437</v>
      </c>
      <c r="C21" s="73" t="s">
        <v>1169</v>
      </c>
      <c r="D21" s="74">
        <f>各序列技能计算!AH4*4+各序列技能计算!AB6*3</f>
        <v>0</v>
      </c>
      <c r="E21" s="62"/>
      <c r="F21" s="48"/>
      <c r="G21" s="49">
        <f>各序列技能计算!C2</f>
        <v>0</v>
      </c>
      <c r="H21" s="65"/>
      <c r="I21" s="48"/>
      <c r="J21" s="49">
        <f>各序列技能计算!I2</f>
        <v>0</v>
      </c>
      <c r="K21" s="62"/>
      <c r="L21" s="48"/>
      <c r="M21" s="49">
        <f>IF(各序列技能计算!C4&lt;55,各序列技能计算!C4+5,各序列技能计算!C4)</f>
        <v>5</v>
      </c>
      <c r="N21" s="65"/>
      <c r="O21" s="48"/>
      <c r="P21" s="49">
        <f>各序列技能计算!C6</f>
        <v>0</v>
      </c>
      <c r="Q21" s="65"/>
      <c r="R21" s="48"/>
      <c r="S21" s="49">
        <f>各序列技能计算!I4</f>
        <v>0</v>
      </c>
      <c r="T21" s="65">
        <v>1.1</v>
      </c>
      <c r="U21" s="48" t="s">
        <v>1151</v>
      </c>
      <c r="V21" s="49">
        <f>IF(各序列技能计算!I6&gt;=75,各序列技能计算!I6,IF(各序列技能计算!I6*1.1&gt;=60,IF(各序列技能计算!I6*1.1&gt;=75,75,各序列技能计算!I6*1.1),60))</f>
        <v>60</v>
      </c>
      <c r="W21" s="65"/>
      <c r="X21" s="48"/>
      <c r="Y21" s="49">
        <f>各序列技能计算!O2</f>
        <v>0</v>
      </c>
      <c r="Z21" s="65">
        <v>1.2</v>
      </c>
      <c r="AA21" s="48" t="s">
        <v>1144</v>
      </c>
      <c r="AB21" s="49">
        <f>IF(各序列技能计算!O4&gt;=80,各序列技能计算!O4,IF(各序列技能计算!O4*1.2&gt;=65,IF(各序列技能计算!O4*1.2&gt;=80,80,各序列技能计算!O4*1.2),65))</f>
        <v>65</v>
      </c>
      <c r="AC21" s="65"/>
      <c r="AD21" s="48"/>
      <c r="AE21" s="49">
        <f>各序列技能计算!C8</f>
        <v>0</v>
      </c>
      <c r="AF21" s="65"/>
      <c r="AG21" s="48"/>
      <c r="AH21" s="90"/>
    </row>
    <row r="22" ht="20.25" spans="1:34">
      <c r="A22" s="50">
        <v>19</v>
      </c>
      <c r="B22" s="66" t="s">
        <v>556</v>
      </c>
      <c r="C22" s="67" t="s">
        <v>1170</v>
      </c>
      <c r="D22" s="68">
        <f>各序列技能计算!AB2*8</f>
        <v>0</v>
      </c>
      <c r="E22" s="69"/>
      <c r="F22" s="70"/>
      <c r="G22" s="71">
        <f>各序列技能计算!C2</f>
        <v>0</v>
      </c>
      <c r="H22" s="72">
        <v>1.2</v>
      </c>
      <c r="I22" s="70" t="s">
        <v>1144</v>
      </c>
      <c r="J22" s="71">
        <f>IF(各序列技能计算!I2&gt;=80,各序列技能计算!I2,IF(各序列技能计算!I2*1.2&gt;=65,IF(各序列技能计算!I2*1.2&gt;=80,80,各序列技能计算!I2*1.2),65))</f>
        <v>65</v>
      </c>
      <c r="K22" s="69"/>
      <c r="L22" s="70"/>
      <c r="M22" s="71">
        <f>IF(各序列技能计算!C4&lt;55,各序列技能计算!C4+5,各序列技能计算!C4)</f>
        <v>5</v>
      </c>
      <c r="N22" s="72"/>
      <c r="O22" s="70"/>
      <c r="P22" s="71">
        <f>各序列技能计算!C6</f>
        <v>0</v>
      </c>
      <c r="Q22" s="72"/>
      <c r="R22" s="70"/>
      <c r="S22" s="71">
        <f>各序列技能计算!I4</f>
        <v>0</v>
      </c>
      <c r="T22" s="72"/>
      <c r="U22" s="70"/>
      <c r="V22" s="71">
        <f>各序列技能计算!I6</f>
        <v>0</v>
      </c>
      <c r="W22" s="72"/>
      <c r="X22" s="70"/>
      <c r="Y22" s="71">
        <f>各序列技能计算!O2</f>
        <v>0</v>
      </c>
      <c r="Z22" s="72"/>
      <c r="AA22" s="70"/>
      <c r="AB22" s="71">
        <f>各序列技能计算!O4</f>
        <v>0</v>
      </c>
      <c r="AC22" s="72"/>
      <c r="AD22" s="70"/>
      <c r="AE22" s="71">
        <f>各序列技能计算!C8</f>
        <v>0</v>
      </c>
      <c r="AF22" s="72"/>
      <c r="AG22" s="70"/>
      <c r="AH22" s="89"/>
    </row>
    <row r="23" s="25" customFormat="1" ht="20.25" spans="1:34">
      <c r="A23" s="58">
        <v>20</v>
      </c>
      <c r="B23" s="59" t="s">
        <v>296</v>
      </c>
      <c r="C23" s="60" t="s">
        <v>1171</v>
      </c>
      <c r="D23" s="61">
        <f>各序列技能计算!V2*3+各序列技能计算!AB2*3</f>
        <v>0</v>
      </c>
      <c r="E23" s="62">
        <v>1.1</v>
      </c>
      <c r="F23" s="63" t="s">
        <v>1154</v>
      </c>
      <c r="G23" s="64">
        <f>IF(各序列技能计算!C2&gt;=75,各序列技能计算!C2,IF(各序列技能计算!C2*1.1&gt;=65,IF(各序列技能计算!C2*1.1&gt;=75,75,各序列技能计算!C2*1.1),65))</f>
        <v>65</v>
      </c>
      <c r="H23" s="65">
        <v>1.1</v>
      </c>
      <c r="I23" s="63" t="s">
        <v>1154</v>
      </c>
      <c r="J23" s="64">
        <f>IF(各序列技能计算!I2&gt;=75,各序列技能计算!I2,IF(各序列技能计算!I2*1.1&gt;=65,IF(各序列技能计算!I2*1.1&gt;=75,75,各序列技能计算!I2*1.1),65))</f>
        <v>65</v>
      </c>
      <c r="K23" s="62">
        <v>1.1</v>
      </c>
      <c r="L23" s="63" t="s">
        <v>1162</v>
      </c>
      <c r="M23" s="64">
        <f>IF(各序列技能计算!C4&gt;=65,各序列技能计算!C4,IF(各序列技能计算!C4*1.1&gt;=50,IF(各序列技能计算!C4*1.1&gt;=65,65,各序列技能计算!C4*1.1),50))</f>
        <v>50</v>
      </c>
      <c r="N23" s="65"/>
      <c r="O23" s="63"/>
      <c r="P23" s="64">
        <f>各序列技能计算!C6</f>
        <v>0</v>
      </c>
      <c r="Q23" s="65"/>
      <c r="R23" s="63"/>
      <c r="S23" s="64">
        <f>各序列技能计算!I4</f>
        <v>0</v>
      </c>
      <c r="T23" s="65"/>
      <c r="U23" s="63"/>
      <c r="V23" s="64">
        <f>各序列技能计算!I6</f>
        <v>0</v>
      </c>
      <c r="W23" s="65"/>
      <c r="X23" s="63"/>
      <c r="Y23" s="64">
        <f>各序列技能计算!O2</f>
        <v>0</v>
      </c>
      <c r="Z23" s="65"/>
      <c r="AA23" s="63"/>
      <c r="AB23" s="64">
        <f>各序列技能计算!O4</f>
        <v>0</v>
      </c>
      <c r="AC23" s="65"/>
      <c r="AD23" s="63"/>
      <c r="AE23" s="64">
        <f>各序列技能计算!C8</f>
        <v>0</v>
      </c>
      <c r="AF23" s="65"/>
      <c r="AG23" s="63"/>
      <c r="AH23" s="90"/>
    </row>
    <row r="24" ht="20.25" spans="1:34">
      <c r="A24" s="50">
        <v>21</v>
      </c>
      <c r="B24" s="66" t="s">
        <v>557</v>
      </c>
      <c r="C24" s="67" t="s">
        <v>1172</v>
      </c>
      <c r="D24" s="68">
        <f>各序列技能计算!AH4*4+各序列技能计算!AB6*4</f>
        <v>0</v>
      </c>
      <c r="E24" s="69"/>
      <c r="F24" s="70"/>
      <c r="G24" s="71">
        <f>各序列技能计算!C2</f>
        <v>0</v>
      </c>
      <c r="H24" s="72"/>
      <c r="I24" s="70"/>
      <c r="J24" s="71">
        <f>各序列技能计算!I2</f>
        <v>0</v>
      </c>
      <c r="K24" s="69"/>
      <c r="L24" s="70"/>
      <c r="M24" s="71">
        <f>IF(各序列技能计算!C4&lt;55,各序列技能计算!C4+5,各序列技能计算!C4)</f>
        <v>5</v>
      </c>
      <c r="N24" s="72"/>
      <c r="O24" s="70"/>
      <c r="P24" s="71">
        <f>各序列技能计算!C6</f>
        <v>0</v>
      </c>
      <c r="Q24" s="72"/>
      <c r="R24" s="70"/>
      <c r="S24" s="71">
        <f>各序列技能计算!I4</f>
        <v>0</v>
      </c>
      <c r="T24" s="72">
        <v>1.1</v>
      </c>
      <c r="U24" s="70" t="s">
        <v>1151</v>
      </c>
      <c r="V24" s="71">
        <f>IF(各序列技能计算!I6&gt;=75,各序列技能计算!I6,IF(各序列技能计算!I6*1.1&gt;=60,IF(各序列技能计算!I6*1.1&gt;=75,75,各序列技能计算!I6*1.1),60))</f>
        <v>60</v>
      </c>
      <c r="W24" s="72"/>
      <c r="X24" s="70"/>
      <c r="Y24" s="71">
        <f>各序列技能计算!O2</f>
        <v>0</v>
      </c>
      <c r="Z24" s="72">
        <v>1.2</v>
      </c>
      <c r="AA24" s="70" t="s">
        <v>1144</v>
      </c>
      <c r="AB24" s="71">
        <f>IF(各序列技能计算!O4&gt;=80,各序列技能计算!O4,IF(各序列技能计算!O4*1.2&gt;=65,IF(各序列技能计算!O4*1.2&gt;=80,80,各序列技能计算!O4*1.2),65))</f>
        <v>65</v>
      </c>
      <c r="AC24" s="72"/>
      <c r="AD24" s="70"/>
      <c r="AE24" s="71">
        <f>各序列技能计算!C8</f>
        <v>0</v>
      </c>
      <c r="AF24" s="72"/>
      <c r="AG24" s="70"/>
      <c r="AH24" s="89"/>
    </row>
    <row r="25" s="25" customFormat="1" ht="20.25" spans="1:34">
      <c r="A25" s="58">
        <v>22</v>
      </c>
      <c r="B25" s="75" t="s">
        <v>558</v>
      </c>
      <c r="C25" s="76" t="s">
        <v>1173</v>
      </c>
      <c r="D25" s="77">
        <f>各序列技能计算!V8*4</f>
        <v>0</v>
      </c>
      <c r="E25" s="78"/>
      <c r="F25" s="79"/>
      <c r="G25" s="80">
        <f>各序列技能计算!C2</f>
        <v>0</v>
      </c>
      <c r="H25" s="81"/>
      <c r="I25" s="79"/>
      <c r="J25" s="80">
        <f>各序列技能计算!I2</f>
        <v>0</v>
      </c>
      <c r="K25" s="78"/>
      <c r="L25" s="79"/>
      <c r="M25" s="80">
        <f>IF(各序列技能计算!C4&lt;55,各序列技能计算!C4+5,各序列技能计算!C4)</f>
        <v>5</v>
      </c>
      <c r="N25" s="81"/>
      <c r="O25" s="79"/>
      <c r="P25" s="80">
        <f>各序列技能计算!C6</f>
        <v>0</v>
      </c>
      <c r="Q25" s="81"/>
      <c r="R25" s="79"/>
      <c r="S25" s="80">
        <f>各序列技能计算!I4</f>
        <v>0</v>
      </c>
      <c r="T25" s="81"/>
      <c r="U25" s="79"/>
      <c r="V25" s="80">
        <f>各序列技能计算!I6</f>
        <v>0</v>
      </c>
      <c r="W25" s="81"/>
      <c r="X25" s="79"/>
      <c r="Y25" s="80">
        <f>各序列技能计算!O2</f>
        <v>0</v>
      </c>
      <c r="Z25" s="81"/>
      <c r="AA25" s="79"/>
      <c r="AB25" s="80">
        <f>各序列技能计算!O4</f>
        <v>0</v>
      </c>
      <c r="AC25" s="81">
        <v>1.5</v>
      </c>
      <c r="AD25" s="79" t="s">
        <v>1174</v>
      </c>
      <c r="AE25" s="80">
        <f>IF(各序列技能计算!C8&gt;=100,各序列技能计算!C8,IF(各序列技能计算!C8*1.5&gt;=70,IF(各序列技能计算!C8*1.5&gt;=100,100,各序列技能计算!C8*1.5),70))</f>
        <v>70</v>
      </c>
      <c r="AF25" s="81"/>
      <c r="AG25" s="79"/>
      <c r="AH25" s="91"/>
    </row>
    <row r="26" ht="15"/>
    <row r="27" ht="21.75" spans="1:34">
      <c r="A27" s="29" t="s">
        <v>8</v>
      </c>
      <c r="B27" s="30"/>
      <c r="C27" s="30"/>
      <c r="D27" s="30"/>
      <c r="E27" s="82" t="s">
        <v>28</v>
      </c>
      <c r="F27" s="83"/>
      <c r="G27" s="84"/>
      <c r="H27" s="36" t="s">
        <v>29</v>
      </c>
      <c r="I27" s="83"/>
      <c r="J27" s="84"/>
      <c r="K27" s="36" t="s">
        <v>35</v>
      </c>
      <c r="L27" s="83"/>
      <c r="M27" s="84"/>
      <c r="N27" s="36" t="s">
        <v>41</v>
      </c>
      <c r="O27" s="83"/>
      <c r="P27" s="84"/>
      <c r="Q27" s="36" t="s">
        <v>36</v>
      </c>
      <c r="R27" s="83"/>
      <c r="S27" s="84"/>
      <c r="T27" s="36" t="s">
        <v>1135</v>
      </c>
      <c r="U27" s="83"/>
      <c r="V27" s="84"/>
      <c r="W27" s="36" t="s">
        <v>30</v>
      </c>
      <c r="X27" s="83"/>
      <c r="Y27" s="84"/>
      <c r="Z27" s="36" t="s">
        <v>37</v>
      </c>
      <c r="AA27" s="83"/>
      <c r="AB27" s="84"/>
      <c r="AC27" s="36" t="s">
        <v>48</v>
      </c>
      <c r="AD27" s="83"/>
      <c r="AE27" s="84"/>
      <c r="AF27" s="36" t="s">
        <v>56</v>
      </c>
      <c r="AG27" s="83"/>
      <c r="AH27" s="86"/>
    </row>
    <row r="28" ht="20.25" spans="1:34">
      <c r="A28" s="35" t="s">
        <v>234</v>
      </c>
      <c r="B28" s="36" t="s">
        <v>1136</v>
      </c>
      <c r="C28" s="37" t="s">
        <v>1137</v>
      </c>
      <c r="D28" s="38" t="s">
        <v>1138</v>
      </c>
      <c r="E28" s="39" t="s">
        <v>1139</v>
      </c>
      <c r="F28" s="40" t="s">
        <v>1140</v>
      </c>
      <c r="G28" s="41"/>
      <c r="H28" s="42" t="s">
        <v>1139</v>
      </c>
      <c r="I28" s="40" t="s">
        <v>1140</v>
      </c>
      <c r="J28" s="41"/>
      <c r="K28" s="42" t="s">
        <v>1139</v>
      </c>
      <c r="L28" s="40" t="s">
        <v>1140</v>
      </c>
      <c r="M28" s="41"/>
      <c r="N28" s="42" t="s">
        <v>1139</v>
      </c>
      <c r="O28" s="40" t="s">
        <v>1140</v>
      </c>
      <c r="P28" s="41"/>
      <c r="Q28" s="42" t="s">
        <v>1139</v>
      </c>
      <c r="R28" s="40" t="s">
        <v>1140</v>
      </c>
      <c r="S28" s="41"/>
      <c r="T28" s="42" t="s">
        <v>1139</v>
      </c>
      <c r="U28" s="40" t="s">
        <v>1140</v>
      </c>
      <c r="V28" s="41"/>
      <c r="W28" s="42" t="s">
        <v>1139</v>
      </c>
      <c r="X28" s="40" t="s">
        <v>1140</v>
      </c>
      <c r="Y28" s="41"/>
      <c r="Z28" s="42" t="s">
        <v>1139</v>
      </c>
      <c r="AA28" s="40" t="s">
        <v>1140</v>
      </c>
      <c r="AB28" s="41"/>
      <c r="AC28" s="42" t="s">
        <v>1139</v>
      </c>
      <c r="AD28" s="40" t="s">
        <v>1140</v>
      </c>
      <c r="AE28" s="41"/>
      <c r="AF28" s="42" t="s">
        <v>1139</v>
      </c>
      <c r="AG28" s="40" t="s">
        <v>1140</v>
      </c>
      <c r="AH28" s="87"/>
    </row>
    <row r="29" s="25" customFormat="1" ht="20.25" spans="1:34">
      <c r="A29" s="43"/>
      <c r="B29" s="44"/>
      <c r="C29" s="45"/>
      <c r="D29" s="46"/>
      <c r="E29" s="47"/>
      <c r="F29" s="48"/>
      <c r="G29" s="49"/>
      <c r="H29" s="44"/>
      <c r="I29" s="48"/>
      <c r="J29" s="49"/>
      <c r="K29" s="44"/>
      <c r="L29" s="48"/>
      <c r="M29" s="49"/>
      <c r="N29" s="44"/>
      <c r="O29" s="48"/>
      <c r="P29" s="49"/>
      <c r="Q29" s="44"/>
      <c r="R29" s="48"/>
      <c r="S29" s="49"/>
      <c r="T29" s="44"/>
      <c r="U29" s="48"/>
      <c r="V29" s="49"/>
      <c r="W29" s="44"/>
      <c r="X29" s="48"/>
      <c r="Y29" s="49"/>
      <c r="Z29" s="44"/>
      <c r="AA29" s="48"/>
      <c r="AB29" s="49"/>
      <c r="AC29" s="44"/>
      <c r="AD29" s="48"/>
      <c r="AE29" s="49"/>
      <c r="AF29" s="44"/>
      <c r="AG29" s="48"/>
      <c r="AH29" s="88"/>
    </row>
    <row r="30" ht="20.25" spans="1:34">
      <c r="A30" s="50">
        <v>1</v>
      </c>
      <c r="B30" s="51" t="s">
        <v>559</v>
      </c>
      <c r="C30" s="52" t="s">
        <v>1175</v>
      </c>
      <c r="D30" s="53">
        <f>各序列技能计算!AU6*2</f>
        <v>0</v>
      </c>
      <c r="E30" s="54"/>
      <c r="F30" s="55"/>
      <c r="G30" s="56">
        <f>各序列技能计算!V2</f>
        <v>0</v>
      </c>
      <c r="H30" s="57"/>
      <c r="I30" s="55"/>
      <c r="J30" s="56">
        <f>各序列技能计算!AB2</f>
        <v>0</v>
      </c>
      <c r="K30" s="57"/>
      <c r="L30" s="55"/>
      <c r="M30" s="56">
        <f>IF(各序列技能计算!V4&lt;55,各序列技能计算!V4+5,各序列技能计算!V4)</f>
        <v>5</v>
      </c>
      <c r="N30" s="57"/>
      <c r="O30" s="55"/>
      <c r="P30" s="56">
        <f>各序列技能计算!V6</f>
        <v>0</v>
      </c>
      <c r="Q30" s="57"/>
      <c r="R30" s="55"/>
      <c r="S30" s="56">
        <f>各序列技能计算!AB4</f>
        <v>0</v>
      </c>
      <c r="T30" s="57">
        <v>1.2</v>
      </c>
      <c r="U30" s="55" t="s">
        <v>1144</v>
      </c>
      <c r="V30" s="56">
        <f>IF(各序列技能计算!AB6&gt;=80,各序列技能计算!AB6,IF(各序列技能计算!AB6*1.2&gt;=65,IF(各序列技能计算!AB6*1.2&gt;=80,80,各序列技能计算!AB6*1.2),65))</f>
        <v>65</v>
      </c>
      <c r="W30" s="57"/>
      <c r="X30" s="55"/>
      <c r="Y30" s="56">
        <f>各序列技能计算!AH2</f>
        <v>0</v>
      </c>
      <c r="Z30" s="57"/>
      <c r="AA30" s="55"/>
      <c r="AB30" s="56">
        <f>各序列技能计算!AH4</f>
        <v>0</v>
      </c>
      <c r="AC30" s="57"/>
      <c r="AD30" s="55"/>
      <c r="AE30" s="56">
        <f>各序列技能计算!V8+各序列技能计算!AG8</f>
        <v>0</v>
      </c>
      <c r="AF30" s="57"/>
      <c r="AG30" s="55"/>
      <c r="AH30" s="89"/>
    </row>
    <row r="31" s="25" customFormat="1" ht="20.25" spans="1:34">
      <c r="A31" s="58">
        <v>2</v>
      </c>
      <c r="B31" s="59" t="s">
        <v>560</v>
      </c>
      <c r="C31" s="60" t="s">
        <v>1176</v>
      </c>
      <c r="D31" s="61">
        <f>各序列技能计算!AO2+各序列技能计算!AU2</f>
        <v>0</v>
      </c>
      <c r="E31" s="62">
        <v>1.1</v>
      </c>
      <c r="F31" s="63" t="s">
        <v>1177</v>
      </c>
      <c r="G31" s="64">
        <f>IF(各序列技能计算!V2&gt;=90,各序列技能计算!V2,IF(各序列技能计算!V2*1.1&gt;=70,IF(各序列技能计算!V2*1.1&gt;=90,90,各序列技能计算!V2*1.1),70))</f>
        <v>70</v>
      </c>
      <c r="H31" s="65">
        <v>1.05</v>
      </c>
      <c r="I31" s="63" t="s">
        <v>1149</v>
      </c>
      <c r="J31" s="64">
        <f>IF(各序列技能计算!AB2&gt;=85,各序列技能计算!AB2,IF(各序列技能计算!AB2*1.05&gt;=70,IF(各序列技能计算!AB2*1.05&gt;=85,85,各序列技能计算!AB2*1.05),70))</f>
        <v>70</v>
      </c>
      <c r="K31" s="65">
        <v>1.1</v>
      </c>
      <c r="L31" s="63" t="s">
        <v>1168</v>
      </c>
      <c r="M31" s="64">
        <f>IF(各序列技能计算!V4&gt;=70,各序列技能计算!V4,IF(各序列技能计算!V4*1.1&gt;=55,IF(各序列技能计算!V4*1.1&gt;=70,70,各序列技能计算!V4*1.05),55))</f>
        <v>55</v>
      </c>
      <c r="N31" s="65"/>
      <c r="O31" s="63"/>
      <c r="P31" s="64">
        <f>各序列技能计算!V6</f>
        <v>0</v>
      </c>
      <c r="Q31" s="65"/>
      <c r="R31" s="63"/>
      <c r="S31" s="64">
        <f>各序列技能计算!AB4</f>
        <v>0</v>
      </c>
      <c r="T31" s="65"/>
      <c r="U31" s="63"/>
      <c r="V31" s="64">
        <f>各序列技能计算!AB6</f>
        <v>0</v>
      </c>
      <c r="W31" s="65"/>
      <c r="X31" s="63"/>
      <c r="Y31" s="64">
        <f>各序列技能计算!AH2</f>
        <v>0</v>
      </c>
      <c r="Z31" s="65"/>
      <c r="AA31" s="63"/>
      <c r="AB31" s="64">
        <f>各序列技能计算!AH4</f>
        <v>0</v>
      </c>
      <c r="AC31" s="65"/>
      <c r="AD31" s="63"/>
      <c r="AE31" s="64">
        <f>各序列技能计算!V8+各序列技能计算!AG8</f>
        <v>0</v>
      </c>
      <c r="AF31" s="65"/>
      <c r="AG31" s="63"/>
      <c r="AH31" s="90"/>
    </row>
    <row r="32" ht="20.25" spans="1:34">
      <c r="A32" s="50">
        <v>3</v>
      </c>
      <c r="B32" s="66" t="s">
        <v>561</v>
      </c>
      <c r="C32" s="67" t="s">
        <v>1178</v>
      </c>
      <c r="D32" s="68">
        <f>各序列技能计算!AO4+各序列技能计算!AU2</f>
        <v>0</v>
      </c>
      <c r="E32" s="69"/>
      <c r="F32" s="70"/>
      <c r="G32" s="71">
        <f>各序列技能计算!V2</f>
        <v>0</v>
      </c>
      <c r="H32" s="72">
        <v>1.1</v>
      </c>
      <c r="I32" s="70" t="s">
        <v>1168</v>
      </c>
      <c r="J32" s="71">
        <f>IF(各序列技能计算!AB2&gt;=70,各序列技能计算!AB2,IF(各序列技能计算!AB2*1.1&gt;=55,IF(各序列技能计算!AB2*1.1&gt;=70,70,各序列技能计算!AB2*1.1),55))</f>
        <v>55</v>
      </c>
      <c r="K32" s="72">
        <v>1.1</v>
      </c>
      <c r="L32" s="70" t="s">
        <v>1177</v>
      </c>
      <c r="M32" s="71">
        <f>IF(各序列技能计算!V4&gt;=90,各序列技能计算!V4,IF(各序列技能计算!V4*1.1&gt;=70,IF(各序列技能计算!V4*1.1&gt;=90,90,各序列技能计算!V4*1.1),70))</f>
        <v>70</v>
      </c>
      <c r="N32" s="72"/>
      <c r="O32" s="70"/>
      <c r="P32" s="71">
        <f>各序列技能计算!V6</f>
        <v>0</v>
      </c>
      <c r="Q32" s="72"/>
      <c r="R32" s="70"/>
      <c r="S32" s="71">
        <f>各序列技能计算!AB4</f>
        <v>0</v>
      </c>
      <c r="T32" s="72"/>
      <c r="U32" s="70"/>
      <c r="V32" s="71">
        <f>各序列技能计算!AB6</f>
        <v>0</v>
      </c>
      <c r="W32" s="72"/>
      <c r="X32" s="70"/>
      <c r="Y32" s="71">
        <f>各序列技能计算!AH2</f>
        <v>0</v>
      </c>
      <c r="Z32" s="72"/>
      <c r="AA32" s="70"/>
      <c r="AB32" s="71">
        <f>各序列技能计算!AH4</f>
        <v>0</v>
      </c>
      <c r="AC32" s="72"/>
      <c r="AD32" s="70"/>
      <c r="AE32" s="71">
        <f>各序列技能计算!V8+各序列技能计算!AG8</f>
        <v>0</v>
      </c>
      <c r="AF32" s="72"/>
      <c r="AG32" s="70"/>
      <c r="AH32" s="89"/>
    </row>
    <row r="33" s="25" customFormat="1" ht="20.25" spans="1:34">
      <c r="A33" s="58">
        <v>4</v>
      </c>
      <c r="B33" s="59" t="s">
        <v>562</v>
      </c>
      <c r="C33" s="60" t="s">
        <v>1175</v>
      </c>
      <c r="D33" s="61">
        <f>各序列技能计算!AU6*2</f>
        <v>0</v>
      </c>
      <c r="E33" s="62"/>
      <c r="F33" s="63"/>
      <c r="G33" s="64">
        <f>各序列技能计算!V2</f>
        <v>0</v>
      </c>
      <c r="H33" s="65"/>
      <c r="I33" s="63"/>
      <c r="J33" s="64">
        <f>各序列技能计算!AB2</f>
        <v>0</v>
      </c>
      <c r="K33" s="65"/>
      <c r="L33" s="63"/>
      <c r="M33" s="64">
        <f>IF(各序列技能计算!V4&lt;55,各序列技能计算!V4+5,各序列技能计算!V4)</f>
        <v>5</v>
      </c>
      <c r="N33" s="65"/>
      <c r="O33" s="63"/>
      <c r="P33" s="64">
        <f>各序列技能计算!V6</f>
        <v>0</v>
      </c>
      <c r="Q33" s="65"/>
      <c r="R33" s="63"/>
      <c r="S33" s="64">
        <f>各序列技能计算!AB4</f>
        <v>0</v>
      </c>
      <c r="T33" s="65">
        <v>1.2</v>
      </c>
      <c r="U33" s="63" t="s">
        <v>1179</v>
      </c>
      <c r="V33" s="64">
        <f>IF(各序列技能计算!AB6&gt;=85,各序列技能计算!AB6,IF(各序列技能计算!AB6*1.2&gt;=65,IF(各序列技能计算!AB6*1.2&gt;=85,85,各序列技能计算!AB6*1.2),65))</f>
        <v>65</v>
      </c>
      <c r="W33" s="65">
        <v>0.9</v>
      </c>
      <c r="X33" s="63" t="s">
        <v>1180</v>
      </c>
      <c r="Y33" s="64">
        <f>IF(各序列技能计算!AH2&lt;=40,各序列技能计算!AH2,IF(各序列技能计算!AH2*0.9&lt;=55,IF(各序列技能计算!AH2*0.9&lt;=40,40,各序列技能计算!AH2*0.9),55))</f>
        <v>0</v>
      </c>
      <c r="Z33" s="65"/>
      <c r="AA33" s="63"/>
      <c r="AB33" s="64">
        <f>各序列技能计算!AH4</f>
        <v>0</v>
      </c>
      <c r="AC33" s="65"/>
      <c r="AD33" s="63"/>
      <c r="AE33" s="64">
        <f>各序列技能计算!V8+各序列技能计算!AG8</f>
        <v>0</v>
      </c>
      <c r="AF33" s="65"/>
      <c r="AG33" s="63"/>
      <c r="AH33" s="90"/>
    </row>
    <row r="34" ht="20.25" spans="1:34">
      <c r="A34" s="50">
        <v>5</v>
      </c>
      <c r="B34" s="66" t="s">
        <v>563</v>
      </c>
      <c r="C34" s="67" t="s">
        <v>1181</v>
      </c>
      <c r="D34" s="68">
        <f>各序列技能计算!AU6+各序列技能计算!AU2</f>
        <v>0</v>
      </c>
      <c r="E34" s="69"/>
      <c r="F34" s="70"/>
      <c r="G34" s="71">
        <f>各序列技能计算!V2</f>
        <v>0</v>
      </c>
      <c r="H34" s="72">
        <v>1.1</v>
      </c>
      <c r="I34" s="70" t="s">
        <v>1151</v>
      </c>
      <c r="J34" s="71">
        <f>IF(各序列技能计算!AB2&gt;=75,各序列技能计算!AB2,IF(各序列技能计算!AB2*1.1&gt;=60,IF(各序列技能计算!AB2*1.1&gt;=75,75,各序列技能计算!AB2*1.1),60))</f>
        <v>60</v>
      </c>
      <c r="K34" s="72"/>
      <c r="L34" s="70"/>
      <c r="M34" s="71">
        <f>IF(各序列技能计算!V4&lt;55,各序列技能计算!V4+5,各序列技能计算!V4)</f>
        <v>5</v>
      </c>
      <c r="N34" s="72"/>
      <c r="O34" s="70"/>
      <c r="P34" s="71">
        <f>各序列技能计算!V6</f>
        <v>0</v>
      </c>
      <c r="Q34" s="72"/>
      <c r="R34" s="70"/>
      <c r="S34" s="71">
        <f>各序列技能计算!AB4</f>
        <v>0</v>
      </c>
      <c r="T34" s="72">
        <v>1.2</v>
      </c>
      <c r="U34" s="70" t="s">
        <v>1177</v>
      </c>
      <c r="V34" s="71">
        <f>IF(各序列技能计算!AB6&gt;=90,各序列技能计算!AB6,IF(各序列技能计算!AB6*1.2&gt;=70,IF(各序列技能计算!AB6*1.2&gt;=90,90,各序列技能计算!AB6*1.2),70))</f>
        <v>70</v>
      </c>
      <c r="W34" s="72"/>
      <c r="X34" s="70"/>
      <c r="Y34" s="71">
        <f>各序列技能计算!AH2</f>
        <v>0</v>
      </c>
      <c r="Z34" s="72"/>
      <c r="AA34" s="70"/>
      <c r="AB34" s="71">
        <f>各序列技能计算!AH4</f>
        <v>0</v>
      </c>
      <c r="AC34" s="72"/>
      <c r="AD34" s="70"/>
      <c r="AE34" s="71">
        <f>各序列技能计算!V8+各序列技能计算!AG8</f>
        <v>0</v>
      </c>
      <c r="AF34" s="72"/>
      <c r="AG34" s="70"/>
      <c r="AH34" s="89"/>
    </row>
    <row r="35" s="25" customFormat="1" ht="20.25" spans="1:34">
      <c r="A35" s="58">
        <v>6</v>
      </c>
      <c r="B35" s="59" t="s">
        <v>564</v>
      </c>
      <c r="C35" s="60" t="s">
        <v>1182</v>
      </c>
      <c r="D35" s="61">
        <f>各序列技能计算!AO4+各序列技能计算!BA2</f>
        <v>0</v>
      </c>
      <c r="E35" s="62"/>
      <c r="F35" s="63"/>
      <c r="G35" s="64">
        <f>各序列技能计算!V2</f>
        <v>0</v>
      </c>
      <c r="H35" s="65"/>
      <c r="I35" s="63"/>
      <c r="J35" s="64">
        <f>各序列技能计算!AB2</f>
        <v>0</v>
      </c>
      <c r="K35" s="65">
        <v>1.1</v>
      </c>
      <c r="L35" s="63" t="s">
        <v>1183</v>
      </c>
      <c r="M35" s="64">
        <f>IF(各序列技能计算!V4&gt;=80,各序列技能计算!V4,IF(各序列技能计算!V4*1.1&gt;=60,IF(各序列技能计算!V4*1.1&gt;=80,80,各序列技能计算!V4*1.1),60))</f>
        <v>60</v>
      </c>
      <c r="N35" s="65"/>
      <c r="O35" s="63"/>
      <c r="P35" s="64">
        <f>各序列技能计算!V6</f>
        <v>0</v>
      </c>
      <c r="Q35" s="65"/>
      <c r="R35" s="63"/>
      <c r="S35" s="64">
        <f>各序列技能计算!AB4</f>
        <v>0</v>
      </c>
      <c r="T35" s="65"/>
      <c r="U35" s="63"/>
      <c r="V35" s="64">
        <f>各序列技能计算!AB6</f>
        <v>0</v>
      </c>
      <c r="W35" s="65">
        <v>1.2</v>
      </c>
      <c r="X35" s="63" t="s">
        <v>1144</v>
      </c>
      <c r="Y35" s="64">
        <f>IF(各序列技能计算!AH2&gt;=80,各序列技能计算!AH2,IF(各序列技能计算!AH2*1.2&gt;=65,IF(各序列技能计算!AH2*1.2&gt;=80,80,各序列技能计算!AH2*1.2),65))</f>
        <v>65</v>
      </c>
      <c r="Z35" s="65"/>
      <c r="AA35" s="63"/>
      <c r="AB35" s="64">
        <f>各序列技能计算!AH4</f>
        <v>0</v>
      </c>
      <c r="AC35" s="65"/>
      <c r="AD35" s="63"/>
      <c r="AE35" s="64">
        <f>各序列技能计算!V8+各序列技能计算!AG8</f>
        <v>0</v>
      </c>
      <c r="AF35" s="65"/>
      <c r="AG35" s="63"/>
      <c r="AH35" s="90"/>
    </row>
    <row r="36" ht="20.25" spans="1:34">
      <c r="A36" s="50">
        <v>7</v>
      </c>
      <c r="B36" s="66" t="s">
        <v>565</v>
      </c>
      <c r="C36" s="67" t="s">
        <v>1184</v>
      </c>
      <c r="D36" s="68">
        <f>各序列技能计算!AO4+各序列技能计算!BA2</f>
        <v>0</v>
      </c>
      <c r="E36" s="69"/>
      <c r="F36" s="70"/>
      <c r="G36" s="71">
        <f>各序列技能计算!V2</f>
        <v>0</v>
      </c>
      <c r="H36" s="72"/>
      <c r="I36" s="70"/>
      <c r="J36" s="71">
        <f>各序列技能计算!AB2</f>
        <v>0</v>
      </c>
      <c r="K36" s="72">
        <v>1.2</v>
      </c>
      <c r="L36" s="70" t="s">
        <v>1177</v>
      </c>
      <c r="M36" s="71">
        <f>IF(各序列技能计算!V4&gt;=90,各序列技能计算!V4,IF(各序列技能计算!V4*1.2&gt;=70,IF(各序列技能计算!V4*1.2&gt;=90,90,各序列技能计算!V4*1.2),70))</f>
        <v>70</v>
      </c>
      <c r="N36" s="72"/>
      <c r="O36" s="70"/>
      <c r="P36" s="71">
        <f>各序列技能计算!V6</f>
        <v>0</v>
      </c>
      <c r="Q36" s="72"/>
      <c r="R36" s="70"/>
      <c r="S36" s="71">
        <f>各序列技能计算!AB4</f>
        <v>0</v>
      </c>
      <c r="T36" s="72"/>
      <c r="U36" s="70"/>
      <c r="V36" s="71">
        <f>各序列技能计算!AB6</f>
        <v>0</v>
      </c>
      <c r="W36" s="72">
        <v>1.1</v>
      </c>
      <c r="X36" s="70" t="s">
        <v>1183</v>
      </c>
      <c r="Y36" s="71">
        <f>IF(各序列技能计算!AH2&gt;=80,各序列技能计算!AH2,IF(各序列技能计算!AH2*1.1&gt;=60,IF(各序列技能计算!AH2*1.1&gt;=80,80,各序列技能计算!AH2*1.1),60))</f>
        <v>60</v>
      </c>
      <c r="Z36" s="72"/>
      <c r="AA36" s="70"/>
      <c r="AB36" s="71">
        <f>各序列技能计算!AH4</f>
        <v>0</v>
      </c>
      <c r="AC36" s="72">
        <v>1.1</v>
      </c>
      <c r="AD36" s="70" t="s">
        <v>1185</v>
      </c>
      <c r="AE36" s="71">
        <f>IF((各序列技能计算!V8+各序列技能计算!AG8)&gt;=150,各序列技能计算!V8+各序列技能计算!AG8,IF((各序列技能计算!V8+各序列技能计算!AG8)*1.1&gt;=135,IF((各序列技能计算!V8+各序列技能计算!AG8)*1.1&gt;=150,150,(各序列技能计算!V8+各序列技能计算!AG8)*1.1),135))</f>
        <v>135</v>
      </c>
      <c r="AF36" s="72"/>
      <c r="AG36" s="70"/>
      <c r="AH36" s="89"/>
    </row>
    <row r="37" s="25" customFormat="1" ht="20.25" spans="1:34">
      <c r="A37" s="58">
        <v>8</v>
      </c>
      <c r="B37" s="59" t="s">
        <v>566</v>
      </c>
      <c r="C37" s="60" t="s">
        <v>1186</v>
      </c>
      <c r="D37" s="61">
        <f>(各序列技能计算!AO2+各序列技能计算!AU6)*2+各序列技能计算!AO4</f>
        <v>0</v>
      </c>
      <c r="E37" s="62">
        <v>1.1</v>
      </c>
      <c r="F37" s="63" t="s">
        <v>1151</v>
      </c>
      <c r="G37" s="64">
        <f>IF(各序列技能计算!V2&gt;=75,各序列技能计算!V2,IF(各序列技能计算!V2*1.1&gt;=60,IF(各序列技能计算!V2*1.1&gt;=75,75,各序列技能计算!V2*1.1),60))</f>
        <v>60</v>
      </c>
      <c r="H37" s="65"/>
      <c r="I37" s="63"/>
      <c r="J37" s="64">
        <f>各序列技能计算!AB2</f>
        <v>0</v>
      </c>
      <c r="K37" s="65">
        <v>1.1</v>
      </c>
      <c r="L37" s="63" t="s">
        <v>1168</v>
      </c>
      <c r="M37" s="64">
        <f>IF(各序列技能计算!V4&gt;=70,各序列技能计算!V4,IF(各序列技能计算!V4*1.1&gt;=55,IF(各序列技能计算!V4*1.1&gt;=70,70,各序列技能计算!V4*1.1),55))</f>
        <v>55</v>
      </c>
      <c r="N37" s="65"/>
      <c r="O37" s="63"/>
      <c r="P37" s="64">
        <f>各序列技能计算!V6</f>
        <v>0</v>
      </c>
      <c r="Q37" s="65"/>
      <c r="R37" s="63"/>
      <c r="S37" s="64">
        <f>各序列技能计算!AB4</f>
        <v>0</v>
      </c>
      <c r="T37" s="65">
        <v>1.1</v>
      </c>
      <c r="U37" s="63" t="s">
        <v>1168</v>
      </c>
      <c r="V37" s="64">
        <f>IF(各序列技能计算!AB6&gt;=70,各序列技能计算!AB6,IF(各序列技能计算!AB6*1.1&gt;=55,IF(各序列技能计算!AB6*1.1&gt;=70,70,各序列技能计算!AB6*1.1),55))</f>
        <v>55</v>
      </c>
      <c r="W37" s="65"/>
      <c r="X37" s="63"/>
      <c r="Y37" s="64">
        <f>各序列技能计算!AH2</f>
        <v>0</v>
      </c>
      <c r="Z37" s="65"/>
      <c r="AA37" s="63"/>
      <c r="AB37" s="64">
        <f>各序列技能计算!AH4</f>
        <v>0</v>
      </c>
      <c r="AC37" s="65"/>
      <c r="AD37" s="63"/>
      <c r="AE37" s="64">
        <f>各序列技能计算!V8+各序列技能计算!AG8</f>
        <v>0</v>
      </c>
      <c r="AF37" s="65"/>
      <c r="AG37" s="63"/>
      <c r="AH37" s="90"/>
    </row>
    <row r="38" ht="20.25" spans="1:34">
      <c r="A38" s="50">
        <v>9</v>
      </c>
      <c r="B38" s="66" t="s">
        <v>567</v>
      </c>
      <c r="C38" s="67" t="s">
        <v>1187</v>
      </c>
      <c r="D38" s="68">
        <f>各序列技能计算!AU2</f>
        <v>0</v>
      </c>
      <c r="E38" s="69"/>
      <c r="F38" s="70"/>
      <c r="G38" s="71">
        <f>各序列技能计算!V2</f>
        <v>0</v>
      </c>
      <c r="H38" s="72">
        <v>1.5</v>
      </c>
      <c r="I38" s="70" t="s">
        <v>1188</v>
      </c>
      <c r="J38" s="71">
        <f>IF(各序列技能计算!AB2&gt;=90,各序列技能计算!AB2,IF(各序列技能计算!AB2*1.5&gt;=75,IF(各序列技能计算!AB2*1.5&gt;=90,90,各序列技能计算!AB2*1.5),75))</f>
        <v>75</v>
      </c>
      <c r="K38" s="72"/>
      <c r="L38" s="70"/>
      <c r="M38" s="71">
        <f>IF(各序列技能计算!V4&lt;55,各序列技能计算!V4+5,各序列技能计算!V4)</f>
        <v>5</v>
      </c>
      <c r="N38" s="72"/>
      <c r="O38" s="70"/>
      <c r="P38" s="71">
        <f>各序列技能计算!V6</f>
        <v>0</v>
      </c>
      <c r="Q38" s="72"/>
      <c r="R38" s="70"/>
      <c r="S38" s="71">
        <f>各序列技能计算!AB4</f>
        <v>0</v>
      </c>
      <c r="T38" s="72"/>
      <c r="U38" s="70"/>
      <c r="V38" s="71">
        <f>各序列技能计算!AB6</f>
        <v>0</v>
      </c>
      <c r="W38" s="72"/>
      <c r="X38" s="70"/>
      <c r="Y38" s="71">
        <f>各序列技能计算!AH2</f>
        <v>0</v>
      </c>
      <c r="Z38" s="72"/>
      <c r="AA38" s="70"/>
      <c r="AB38" s="71">
        <f>各序列技能计算!AH4</f>
        <v>0</v>
      </c>
      <c r="AC38" s="72"/>
      <c r="AD38" s="70"/>
      <c r="AE38" s="71">
        <f>各序列技能计算!V8+各序列技能计算!AG8</f>
        <v>0</v>
      </c>
      <c r="AF38" s="72"/>
      <c r="AG38" s="70"/>
      <c r="AH38" s="89"/>
    </row>
    <row r="39" s="25" customFormat="1" ht="20.25" spans="1:34">
      <c r="A39" s="58">
        <v>10</v>
      </c>
      <c r="B39" s="59" t="s">
        <v>568</v>
      </c>
      <c r="C39" s="60" t="s">
        <v>1189</v>
      </c>
      <c r="D39" s="61">
        <f>各序列技能计算!AO8*0.4+各序列技能计算!BA2</f>
        <v>0</v>
      </c>
      <c r="E39" s="62"/>
      <c r="F39" s="63"/>
      <c r="G39" s="64">
        <f>各序列技能计算!V2</f>
        <v>0</v>
      </c>
      <c r="H39" s="65"/>
      <c r="I39" s="63"/>
      <c r="J39" s="64">
        <f>各序列技能计算!AB2</f>
        <v>0</v>
      </c>
      <c r="K39" s="65"/>
      <c r="L39" s="63"/>
      <c r="M39" s="64">
        <f>IF(各序列技能计算!V4&lt;55,各序列技能计算!V4+5,各序列技能计算!V4)</f>
        <v>5</v>
      </c>
      <c r="N39" s="65"/>
      <c r="O39" s="63"/>
      <c r="P39" s="64">
        <f>各序列技能计算!V6</f>
        <v>0</v>
      </c>
      <c r="Q39" s="65"/>
      <c r="R39" s="63"/>
      <c r="S39" s="64">
        <f>各序列技能计算!AB4</f>
        <v>0</v>
      </c>
      <c r="T39" s="65"/>
      <c r="U39" s="63"/>
      <c r="V39" s="64">
        <f>各序列技能计算!AB6</f>
        <v>0</v>
      </c>
      <c r="W39" s="65">
        <v>1.05</v>
      </c>
      <c r="X39" s="63" t="s">
        <v>1190</v>
      </c>
      <c r="Y39" s="64">
        <f>IF(各序列技能计算!AH2&gt;=70,各序列技能计算!AH2,IF(各序列技能计算!AH2*1.05&gt;=45,IF(各序列技能计算!AH2*1.05&gt;=70,70,各序列技能计算!AH2*1.05),45))</f>
        <v>45</v>
      </c>
      <c r="Z39" s="65"/>
      <c r="AA39" s="63"/>
      <c r="AB39" s="64">
        <f>各序列技能计算!AH4</f>
        <v>0</v>
      </c>
      <c r="AC39" s="65">
        <v>1.2</v>
      </c>
      <c r="AD39" s="63" t="s">
        <v>1191</v>
      </c>
      <c r="AE39" s="64">
        <f>IF((各序列技能计算!V8+各序列技能计算!AG8)&gt;=185,各序列技能计算!V8+各序列技能计算!AG8,IF((各序列技能计算!V8+各序列技能计算!AG8)*1.2&gt;=170,IF((各序列技能计算!V8+各序列技能计算!AG8)*1.2&gt;=185,185,(各序列技能计算!V8+各序列技能计算!AG8)*1.2),170))</f>
        <v>170</v>
      </c>
      <c r="AF39" s="65"/>
      <c r="AG39" s="63"/>
      <c r="AH39" s="90"/>
    </row>
    <row r="40" ht="20.25" spans="1:34">
      <c r="A40" s="50">
        <v>11</v>
      </c>
      <c r="B40" s="66" t="s">
        <v>569</v>
      </c>
      <c r="C40" s="67" t="s">
        <v>1192</v>
      </c>
      <c r="D40" s="68">
        <f>各序列技能计算!AU4+各序列技能计算!AU6*2</f>
        <v>0</v>
      </c>
      <c r="E40" s="69"/>
      <c r="F40" s="70"/>
      <c r="G40" s="71">
        <f>各序列技能计算!V2</f>
        <v>0</v>
      </c>
      <c r="H40" s="72"/>
      <c r="I40" s="70"/>
      <c r="J40" s="71">
        <f>各序列技能计算!AB2</f>
        <v>0</v>
      </c>
      <c r="K40" s="72"/>
      <c r="L40" s="70"/>
      <c r="M40" s="71">
        <f>IF(各序列技能计算!V4&lt;55,各序列技能计算!V4+5,各序列技能计算!V4)</f>
        <v>5</v>
      </c>
      <c r="N40" s="72"/>
      <c r="O40" s="70"/>
      <c r="P40" s="71">
        <f>各序列技能计算!V6</f>
        <v>0</v>
      </c>
      <c r="Q40" s="72">
        <v>1.05</v>
      </c>
      <c r="R40" s="70" t="s">
        <v>1142</v>
      </c>
      <c r="S40" s="71">
        <f>IF(各序列技能计算!AB4&gt;=65,各序列技能计算!AB4,IF(各序列技能计算!AB4*1.05&gt;=55,IF(各序列技能计算!AB4*1.05&gt;=65,65,各序列技能计算!AB4*1.05),55))</f>
        <v>55</v>
      </c>
      <c r="T40" s="72">
        <v>1.1</v>
      </c>
      <c r="U40" s="70" t="s">
        <v>1154</v>
      </c>
      <c r="V40" s="71">
        <f>IF(各序列技能计算!AB6&gt;=75,各序列技能计算!AB6,IF(各序列技能计算!AB6*1.1&gt;=65,IF(各序列技能计算!AB6*1.1&gt;=75,75,各序列技能计算!AB6*1.1),65))</f>
        <v>65</v>
      </c>
      <c r="W40" s="72"/>
      <c r="X40" s="70"/>
      <c r="Y40" s="71">
        <f>各序列技能计算!AH2</f>
        <v>0</v>
      </c>
      <c r="Z40" s="72"/>
      <c r="AA40" s="70"/>
      <c r="AB40" s="71">
        <f>各序列技能计算!AH4</f>
        <v>0</v>
      </c>
      <c r="AC40" s="72"/>
      <c r="AD40" s="70"/>
      <c r="AE40" s="71">
        <f>各序列技能计算!V8+各序列技能计算!AG8</f>
        <v>0</v>
      </c>
      <c r="AF40" s="72"/>
      <c r="AG40" s="70"/>
      <c r="AH40" s="89"/>
    </row>
    <row r="41" s="25" customFormat="1" ht="20.25" spans="1:34">
      <c r="A41" s="58">
        <v>12</v>
      </c>
      <c r="B41" s="59" t="s">
        <v>570</v>
      </c>
      <c r="C41" s="60" t="s">
        <v>1193</v>
      </c>
      <c r="D41" s="61">
        <f>各序列技能计算!AO8*0.4</f>
        <v>0</v>
      </c>
      <c r="E41" s="62"/>
      <c r="F41" s="63"/>
      <c r="G41" s="64">
        <f>各序列技能计算!V2</f>
        <v>0</v>
      </c>
      <c r="H41" s="65"/>
      <c r="I41" s="63"/>
      <c r="J41" s="64">
        <f>各序列技能计算!AB2</f>
        <v>0</v>
      </c>
      <c r="K41" s="65"/>
      <c r="L41" s="63"/>
      <c r="M41" s="64">
        <f>IF(各序列技能计算!V4&lt;55,各序列技能计算!V4+5,各序列技能计算!V4)</f>
        <v>5</v>
      </c>
      <c r="N41" s="65"/>
      <c r="O41" s="63"/>
      <c r="P41" s="64">
        <f>各序列技能计算!V6</f>
        <v>0</v>
      </c>
      <c r="Q41" s="65"/>
      <c r="R41" s="63"/>
      <c r="S41" s="64">
        <f>各序列技能计算!AB4</f>
        <v>0</v>
      </c>
      <c r="T41" s="65"/>
      <c r="U41" s="63"/>
      <c r="V41" s="64">
        <f>各序列技能计算!AB6</f>
        <v>0</v>
      </c>
      <c r="W41" s="65"/>
      <c r="X41" s="63"/>
      <c r="Y41" s="64">
        <f>各序列技能计算!AH2</f>
        <v>0</v>
      </c>
      <c r="Z41" s="65"/>
      <c r="AA41" s="63"/>
      <c r="AB41" s="64">
        <f>各序列技能计算!AH4</f>
        <v>0</v>
      </c>
      <c r="AC41" s="65">
        <v>1.2</v>
      </c>
      <c r="AD41" s="63" t="s">
        <v>1194</v>
      </c>
      <c r="AE41" s="64">
        <f>IF((各序列技能计算!V8+各序列技能计算!AG8)&gt;=180,各序列技能计算!V8+各序列技能计算!AG8,IF((各序列技能计算!V8+各序列技能计算!AG8)*1.2&gt;=170,IF((各序列技能计算!V8+各序列技能计算!AG8)*1.2&gt;=180,180,(各序列技能计算!V8+各序列技能计算!AG8)*1.2),170))</f>
        <v>170</v>
      </c>
      <c r="AF41" s="65"/>
      <c r="AG41" s="63"/>
      <c r="AH41" s="90"/>
    </row>
    <row r="42" ht="20.25" spans="1:34">
      <c r="A42" s="50">
        <v>13</v>
      </c>
      <c r="B42" s="66" t="s">
        <v>571</v>
      </c>
      <c r="C42" s="67" t="s">
        <v>1176</v>
      </c>
      <c r="D42" s="68">
        <f>各序列技能计算!AO2+各序列技能计算!AU2</f>
        <v>0</v>
      </c>
      <c r="E42" s="69">
        <v>1.2</v>
      </c>
      <c r="F42" s="70" t="s">
        <v>1149</v>
      </c>
      <c r="G42" s="71">
        <f>IF(各序列技能计算!V2&gt;=85,各序列技能计算!V2,IF(各序列技能计算!V2*1.2&gt;=70,IF(各序列技能计算!V2*1.2&gt;=85,85,各序列技能计算!V2*1.2),70))</f>
        <v>70</v>
      </c>
      <c r="H42" s="72">
        <v>1.1</v>
      </c>
      <c r="I42" s="70" t="s">
        <v>1154</v>
      </c>
      <c r="J42" s="71">
        <f>IF(各序列技能计算!AB2&gt;=75,各序列技能计算!AB2,IF(各序列技能计算!AB2*1.1&gt;=65,IF(各序列技能计算!AB2*1.1&gt;=75,75,各序列技能计算!AB2*1.1),65))</f>
        <v>65</v>
      </c>
      <c r="K42" s="72">
        <v>1.1</v>
      </c>
      <c r="L42" s="70" t="s">
        <v>1153</v>
      </c>
      <c r="M42" s="71">
        <f>IF(各序列技能计算!V4&gt;=75,各序列技能计算!V4,IF(各序列技能计算!V4*1.1&gt;=55,IF(各序列技能计算!V4*1.1&gt;=75,75,各序列技能计算!V4*1.1),55))</f>
        <v>55</v>
      </c>
      <c r="N42" s="72">
        <v>1.1</v>
      </c>
      <c r="O42" s="70" t="s">
        <v>1166</v>
      </c>
      <c r="P42" s="71">
        <f>IF(各序列技能计算!V6&gt;=80,各序列技能计算!V6,IF(各序列技能计算!V6*1.1&gt;=70,IF(各序列技能计算!V6*1.1&gt;=80,80,各序列技能计算!V6*1.1),70))</f>
        <v>70</v>
      </c>
      <c r="Q42" s="72"/>
      <c r="R42" s="70"/>
      <c r="S42" s="71">
        <f>各序列技能计算!AB4</f>
        <v>0</v>
      </c>
      <c r="T42" s="72"/>
      <c r="U42" s="70"/>
      <c r="V42" s="71">
        <f>各序列技能计算!AB6</f>
        <v>0</v>
      </c>
      <c r="W42" s="72"/>
      <c r="X42" s="70"/>
      <c r="Y42" s="71">
        <f>各序列技能计算!AH2</f>
        <v>0</v>
      </c>
      <c r="Z42" s="72"/>
      <c r="AA42" s="70"/>
      <c r="AB42" s="71">
        <f>各序列技能计算!AH4</f>
        <v>0</v>
      </c>
      <c r="AC42" s="72"/>
      <c r="AD42" s="70"/>
      <c r="AE42" s="71">
        <f>各序列技能计算!V8+各序列技能计算!AG8</f>
        <v>0</v>
      </c>
      <c r="AF42" s="72"/>
      <c r="AG42" s="70"/>
      <c r="AH42" s="89"/>
    </row>
    <row r="43" s="25" customFormat="1" ht="20.25" spans="1:34">
      <c r="A43" s="58">
        <v>14</v>
      </c>
      <c r="B43" s="59" t="s">
        <v>572</v>
      </c>
      <c r="C43" s="60" t="s">
        <v>1195</v>
      </c>
      <c r="D43" s="61">
        <f>各序列技能计算!AU6*3</f>
        <v>0</v>
      </c>
      <c r="E43" s="62"/>
      <c r="F43" s="63"/>
      <c r="G43" s="64">
        <f>各序列技能计算!V2</f>
        <v>0</v>
      </c>
      <c r="H43" s="65"/>
      <c r="I43" s="63"/>
      <c r="J43" s="64">
        <f>各序列技能计算!AB2</f>
        <v>0</v>
      </c>
      <c r="K43" s="65"/>
      <c r="L43" s="63"/>
      <c r="M43" s="64">
        <f>IF(各序列技能计算!V4&lt;55,各序列技能计算!V4+5,各序列技能计算!V4)</f>
        <v>5</v>
      </c>
      <c r="N43" s="65"/>
      <c r="O43" s="63"/>
      <c r="P43" s="64">
        <f>各序列技能计算!V6</f>
        <v>0</v>
      </c>
      <c r="Q43" s="65"/>
      <c r="R43" s="63"/>
      <c r="S43" s="64">
        <f>各序列技能计算!AB4</f>
        <v>0</v>
      </c>
      <c r="T43" s="65">
        <v>1.1</v>
      </c>
      <c r="U43" s="63" t="s">
        <v>1177</v>
      </c>
      <c r="V43" s="64">
        <f>IF(各序列技能计算!AB6&gt;=90,各序列技能计算!AB6,IF(各序列技能计算!AB6*1.1&gt;=70,IF(各序列技能计算!AB6*1.1&gt;=90,90,各序列技能计算!AB6*1.1),70))</f>
        <v>70</v>
      </c>
      <c r="W43" s="65"/>
      <c r="X43" s="63"/>
      <c r="Y43" s="64">
        <f>各序列技能计算!AH2</f>
        <v>0</v>
      </c>
      <c r="Z43" s="65"/>
      <c r="AA43" s="63"/>
      <c r="AB43" s="64">
        <f>各序列技能计算!AH4</f>
        <v>0</v>
      </c>
      <c r="AC43" s="65"/>
      <c r="AD43" s="63"/>
      <c r="AE43" s="64">
        <f>各序列技能计算!V8+各序列技能计算!AG8</f>
        <v>0</v>
      </c>
      <c r="AF43" s="65"/>
      <c r="AG43" s="63"/>
      <c r="AH43" s="90"/>
    </row>
    <row r="44" ht="20.25" spans="1:34">
      <c r="A44" s="50">
        <v>15</v>
      </c>
      <c r="B44" s="66" t="s">
        <v>573</v>
      </c>
      <c r="C44" s="67" t="s">
        <v>1196</v>
      </c>
      <c r="D44" s="68">
        <f>各序列技能计算!AO4*2+各序列技能计算!AO8*2</f>
        <v>0</v>
      </c>
      <c r="E44" s="69"/>
      <c r="F44" s="70"/>
      <c r="G44" s="71">
        <f>各序列技能计算!V2</f>
        <v>0</v>
      </c>
      <c r="H44" s="72"/>
      <c r="I44" s="70"/>
      <c r="J44" s="71">
        <f>各序列技能计算!AB2</f>
        <v>0</v>
      </c>
      <c r="K44" s="72">
        <v>1.2</v>
      </c>
      <c r="L44" s="70" t="s">
        <v>1166</v>
      </c>
      <c r="M44" s="71">
        <f>IF(各序列技能计算!V4&gt;=80,各序列技能计算!V4,IF(各序列技能计算!V4*1.2&gt;=70,IF(各序列技能计算!V4*1.2&gt;=80,80,各序列技能计算!V4*1.2),70))</f>
        <v>70</v>
      </c>
      <c r="N44" s="72"/>
      <c r="O44" s="70"/>
      <c r="P44" s="71">
        <f>各序列技能计算!V6</f>
        <v>0</v>
      </c>
      <c r="Q44" s="72"/>
      <c r="R44" s="70"/>
      <c r="S44" s="71">
        <f>各序列技能计算!AB4</f>
        <v>0</v>
      </c>
      <c r="T44" s="72"/>
      <c r="U44" s="70"/>
      <c r="V44" s="71">
        <f>各序列技能计算!AB6</f>
        <v>0</v>
      </c>
      <c r="W44" s="72"/>
      <c r="X44" s="70"/>
      <c r="Y44" s="71">
        <f>各序列技能计算!AH2</f>
        <v>0</v>
      </c>
      <c r="Z44" s="72"/>
      <c r="AA44" s="70"/>
      <c r="AB44" s="71">
        <f>各序列技能计算!AH4</f>
        <v>0</v>
      </c>
      <c r="AC44" s="72">
        <v>1.1</v>
      </c>
      <c r="AD44" s="70" t="s">
        <v>1197</v>
      </c>
      <c r="AE44" s="71">
        <f>IF((各序列技能计算!V8+各序列技能计算!AG8)&gt;=100,各序列技能计算!V8+各序列技能计算!AG8,IF((各序列技能计算!V8+各序列技能计算!AG8)*1.1&gt;=75,IF((各序列技能计算!V8+各序列技能计算!AG8)*1.1&gt;=100,100,(各序列技能计算!V8+各序列技能计算!AG8)*1.1),75))</f>
        <v>75</v>
      </c>
      <c r="AF44" s="72"/>
      <c r="AG44" s="70"/>
      <c r="AH44" s="89"/>
    </row>
    <row r="45" s="25" customFormat="1" ht="20.25" spans="1:34">
      <c r="A45" s="58">
        <v>16</v>
      </c>
      <c r="B45" s="59" t="s">
        <v>574</v>
      </c>
      <c r="C45" s="60" t="s">
        <v>1198</v>
      </c>
      <c r="D45" s="61">
        <f>各序列技能计算!AO4*3</f>
        <v>0</v>
      </c>
      <c r="E45" s="62"/>
      <c r="F45" s="63"/>
      <c r="G45" s="64">
        <f>各序列技能计算!V2</f>
        <v>0</v>
      </c>
      <c r="H45" s="65"/>
      <c r="I45" s="63"/>
      <c r="J45" s="64">
        <f>各序列技能计算!AB2</f>
        <v>0</v>
      </c>
      <c r="K45" s="65">
        <v>1.2</v>
      </c>
      <c r="L45" s="63" t="s">
        <v>1149</v>
      </c>
      <c r="M45" s="64">
        <f>IF(各序列技能计算!V4&gt;=85,各序列技能计算!V4,IF(各序列技能计算!V4*1.2&gt;=70,IF(各序列技能计算!V4*1.2&gt;=85,85,各序列技能计算!V4*1.2),70))</f>
        <v>70</v>
      </c>
      <c r="N45" s="65"/>
      <c r="O45" s="63"/>
      <c r="P45" s="64">
        <f>各序列技能计算!V6</f>
        <v>0</v>
      </c>
      <c r="Q45" s="65"/>
      <c r="R45" s="63"/>
      <c r="S45" s="64">
        <f>各序列技能计算!AB4</f>
        <v>0</v>
      </c>
      <c r="T45" s="65"/>
      <c r="U45" s="63"/>
      <c r="V45" s="64">
        <f>各序列技能计算!AB6</f>
        <v>0</v>
      </c>
      <c r="W45" s="65"/>
      <c r="X45" s="63"/>
      <c r="Y45" s="64">
        <f>各序列技能计算!AH2</f>
        <v>0</v>
      </c>
      <c r="Z45" s="65"/>
      <c r="AA45" s="63"/>
      <c r="AB45" s="64">
        <f>各序列技能计算!AH4</f>
        <v>0</v>
      </c>
      <c r="AC45" s="65"/>
      <c r="AD45" s="63"/>
      <c r="AE45" s="64">
        <f>各序列技能计算!V8+各序列技能计算!AG8</f>
        <v>0</v>
      </c>
      <c r="AF45" s="65"/>
      <c r="AG45" s="63"/>
      <c r="AH45" s="90"/>
    </row>
    <row r="46" ht="20.25" spans="1:34">
      <c r="A46" s="50">
        <v>17</v>
      </c>
      <c r="B46" s="66" t="s">
        <v>575</v>
      </c>
      <c r="C46" s="52" t="s">
        <v>1199</v>
      </c>
      <c r="D46" s="53">
        <f>各序列技能计算!AO2*2+各序列技能计算!AO4</f>
        <v>0</v>
      </c>
      <c r="E46" s="69">
        <v>1.2</v>
      </c>
      <c r="F46" s="55" t="s">
        <v>1166</v>
      </c>
      <c r="G46" s="56">
        <f>IF(各序列技能计算!V2&gt;=80,各序列技能计算!V2,IF(各序列技能计算!V2*1.2&gt;=70,IF(各序列技能计算!V2*1.2&gt;=80,80,各序列技能计算!V2*1.2),70))</f>
        <v>70</v>
      </c>
      <c r="H46" s="72"/>
      <c r="I46" s="55"/>
      <c r="J46" s="56">
        <f>各序列技能计算!AB2</f>
        <v>0</v>
      </c>
      <c r="K46" s="72">
        <v>1.1</v>
      </c>
      <c r="L46" s="55" t="s">
        <v>1162</v>
      </c>
      <c r="M46" s="56">
        <f>IF(各序列技能计算!V4&gt;=65,各序列技能计算!V4,IF(各序列技能计算!V4*1.1&gt;=50,IF(各序列技能计算!V4*1.1&gt;=65,65,各序列技能计算!V4*1.1),50))</f>
        <v>50</v>
      </c>
      <c r="N46" s="72"/>
      <c r="O46" s="55"/>
      <c r="P46" s="56">
        <f>各序列技能计算!V6</f>
        <v>0</v>
      </c>
      <c r="Q46" s="72"/>
      <c r="R46" s="55"/>
      <c r="S46" s="56">
        <f>各序列技能计算!AB4</f>
        <v>0</v>
      </c>
      <c r="T46" s="72"/>
      <c r="U46" s="55"/>
      <c r="V46" s="56">
        <f>各序列技能计算!AB6</f>
        <v>0</v>
      </c>
      <c r="W46" s="72"/>
      <c r="X46" s="55"/>
      <c r="Y46" s="56">
        <f>各序列技能计算!AH2</f>
        <v>0</v>
      </c>
      <c r="Z46" s="72"/>
      <c r="AA46" s="55"/>
      <c r="AB46" s="56">
        <f>各序列技能计算!AH4</f>
        <v>0</v>
      </c>
      <c r="AC46" s="72"/>
      <c r="AD46" s="55"/>
      <c r="AE46" s="56">
        <f>各序列技能计算!V8+各序列技能计算!AG8</f>
        <v>0</v>
      </c>
      <c r="AF46" s="72"/>
      <c r="AG46" s="55"/>
      <c r="AH46" s="89"/>
    </row>
    <row r="47" s="25" customFormat="1" ht="20.25" spans="1:34">
      <c r="A47" s="58">
        <v>18</v>
      </c>
      <c r="B47" s="59" t="s">
        <v>576</v>
      </c>
      <c r="C47" s="73" t="s">
        <v>1200</v>
      </c>
      <c r="D47" s="74">
        <f>各序列技能计算!AO2+各序列技能计算!AO4</f>
        <v>0</v>
      </c>
      <c r="E47" s="62">
        <v>1.2</v>
      </c>
      <c r="F47" s="48" t="s">
        <v>1144</v>
      </c>
      <c r="G47" s="49">
        <f>IF(各序列技能计算!V2&gt;=80,各序列技能计算!V2,IF(各序列技能计算!V2*1.2&gt;=65,IF(各序列技能计算!V2*1.2&gt;=80,80,各序列技能计算!V2*1.2),65))</f>
        <v>65</v>
      </c>
      <c r="H47" s="65"/>
      <c r="I47" s="48"/>
      <c r="J47" s="49">
        <f>各序列技能计算!AB2</f>
        <v>0</v>
      </c>
      <c r="K47" s="65">
        <v>1.1</v>
      </c>
      <c r="L47" s="48" t="s">
        <v>1151</v>
      </c>
      <c r="M47" s="49">
        <f>IF(各序列技能计算!V4&gt;=75,各序列技能计算!V4,IF(各序列技能计算!V4*1.1&gt;=60,IF(各序列技能计算!V4*1.1&gt;=75,75,各序列技能计算!V4*1.1),60))</f>
        <v>60</v>
      </c>
      <c r="N47" s="65"/>
      <c r="O47" s="48"/>
      <c r="P47" s="49">
        <f>各序列技能计算!V6</f>
        <v>0</v>
      </c>
      <c r="Q47" s="65"/>
      <c r="R47" s="48"/>
      <c r="S47" s="49">
        <f>各序列技能计算!AB4</f>
        <v>0</v>
      </c>
      <c r="T47" s="65"/>
      <c r="U47" s="48"/>
      <c r="V47" s="49">
        <f>各序列技能计算!AB6</f>
        <v>0</v>
      </c>
      <c r="W47" s="65"/>
      <c r="X47" s="48"/>
      <c r="Y47" s="49">
        <f>各序列技能计算!AH2</f>
        <v>0</v>
      </c>
      <c r="Z47" s="65"/>
      <c r="AA47" s="48"/>
      <c r="AB47" s="49">
        <f>各序列技能计算!AH4</f>
        <v>0</v>
      </c>
      <c r="AC47" s="65"/>
      <c r="AD47" s="48"/>
      <c r="AE47" s="49">
        <f>各序列技能计算!V8+各序列技能计算!AG8</f>
        <v>0</v>
      </c>
      <c r="AF47" s="65"/>
      <c r="AG47" s="48"/>
      <c r="AH47" s="90"/>
    </row>
    <row r="48" ht="20.25" spans="1:34">
      <c r="A48" s="50">
        <v>19</v>
      </c>
      <c r="B48" s="66" t="s">
        <v>577</v>
      </c>
      <c r="C48" s="67" t="s">
        <v>1181</v>
      </c>
      <c r="D48" s="68">
        <f>各序列技能计算!AU6+各序列技能计算!AU2</f>
        <v>0</v>
      </c>
      <c r="E48" s="69"/>
      <c r="F48" s="70"/>
      <c r="G48" s="71">
        <f>各序列技能计算!V2</f>
        <v>0</v>
      </c>
      <c r="H48" s="72">
        <v>1.05</v>
      </c>
      <c r="I48" s="70" t="s">
        <v>1166</v>
      </c>
      <c r="J48" s="71">
        <f>IF(各序列技能计算!AB2&gt;=80,各序列技能计算!AB2,IF(各序列技能计算!AB2*1.05&gt;=70,IF(各序列技能计算!AB2*1.05&gt;=80,80,各序列技能计算!AB2*1.05),70))</f>
        <v>70</v>
      </c>
      <c r="K48" s="72"/>
      <c r="L48" s="70"/>
      <c r="M48" s="71">
        <f>IF(各序列技能计算!V4&lt;55,各序列技能计算!V4+5,各序列技能计算!V4)</f>
        <v>5</v>
      </c>
      <c r="N48" s="72"/>
      <c r="O48" s="70"/>
      <c r="P48" s="71">
        <f>各序列技能计算!V6</f>
        <v>0</v>
      </c>
      <c r="Q48" s="72"/>
      <c r="R48" s="70"/>
      <c r="S48" s="71">
        <f>各序列技能计算!AB4</f>
        <v>0</v>
      </c>
      <c r="T48" s="72">
        <v>1.2</v>
      </c>
      <c r="U48" s="70" t="s">
        <v>1149</v>
      </c>
      <c r="V48" s="71">
        <f>IF(各序列技能计算!AB6&gt;=85,各序列技能计算!AB6,IF(各序列技能计算!AB6*1.2&gt;=70,IF(各序列技能计算!AB6*1.2&gt;=85,85,各序列技能计算!AB6*1.2),70))</f>
        <v>70</v>
      </c>
      <c r="W48" s="72"/>
      <c r="X48" s="70"/>
      <c r="Y48" s="71">
        <f>各序列技能计算!AH2</f>
        <v>0</v>
      </c>
      <c r="Z48" s="72"/>
      <c r="AA48" s="70"/>
      <c r="AB48" s="71">
        <f>各序列技能计算!AH4</f>
        <v>0</v>
      </c>
      <c r="AC48" s="72"/>
      <c r="AD48" s="70"/>
      <c r="AE48" s="71">
        <f>各序列技能计算!V8+各序列技能计算!AG8</f>
        <v>0</v>
      </c>
      <c r="AF48" s="72"/>
      <c r="AG48" s="70"/>
      <c r="AH48" s="89"/>
    </row>
    <row r="49" s="25" customFormat="1" ht="20.25" spans="1:34">
      <c r="A49" s="58">
        <v>20</v>
      </c>
      <c r="B49" s="59" t="s">
        <v>578</v>
      </c>
      <c r="C49" s="60" t="s">
        <v>1201</v>
      </c>
      <c r="D49" s="61">
        <f>各序列技能计算!AO2+各序列技能计算!AU2</f>
        <v>0</v>
      </c>
      <c r="E49" s="62">
        <v>1.1</v>
      </c>
      <c r="F49" s="63" t="s">
        <v>1149</v>
      </c>
      <c r="G49" s="64">
        <f>IF(各序列技能计算!V2&gt;=85,各序列技能计算!V2,IF(各序列技能计算!V2*1.1&gt;=70,IF(各序列技能计算!V2*1.1&gt;=85,85,各序列技能计算!V2*1.1),70))</f>
        <v>70</v>
      </c>
      <c r="H49" s="65">
        <v>1.1</v>
      </c>
      <c r="I49" s="63" t="s">
        <v>1149</v>
      </c>
      <c r="J49" s="64">
        <f>IF(各序列技能计算!AB2&gt;=85,各序列技能计算!AB2,IF(各序列技能计算!AB2*1.1&gt;=70,IF(各序列技能计算!AB2*1.1&gt;=85,85,各序列技能计算!AB2*1.1),70))</f>
        <v>70</v>
      </c>
      <c r="K49" s="65"/>
      <c r="L49" s="63"/>
      <c r="M49" s="64">
        <f>IF(各序列技能计算!V4&lt;55,各序列技能计算!V4+5,各序列技能计算!V4)</f>
        <v>5</v>
      </c>
      <c r="N49" s="65"/>
      <c r="O49" s="63"/>
      <c r="P49" s="64">
        <f>各序列技能计算!V6</f>
        <v>0</v>
      </c>
      <c r="Q49" s="65"/>
      <c r="R49" s="63"/>
      <c r="S49" s="64">
        <f>各序列技能计算!AB4</f>
        <v>0</v>
      </c>
      <c r="T49" s="65"/>
      <c r="U49" s="63"/>
      <c r="V49" s="64">
        <f>各序列技能计算!AB6</f>
        <v>0</v>
      </c>
      <c r="W49" s="65"/>
      <c r="X49" s="63"/>
      <c r="Y49" s="64">
        <f>各序列技能计算!AH2</f>
        <v>0</v>
      </c>
      <c r="Z49" s="65"/>
      <c r="AA49" s="63"/>
      <c r="AB49" s="64">
        <f>各序列技能计算!AH4</f>
        <v>0</v>
      </c>
      <c r="AC49" s="65"/>
      <c r="AD49" s="63"/>
      <c r="AE49" s="64">
        <f>各序列技能计算!V8+各序列技能计算!AG8</f>
        <v>0</v>
      </c>
      <c r="AF49" s="65"/>
      <c r="AG49" s="63"/>
      <c r="AH49" s="90"/>
    </row>
    <row r="50" ht="20.25" spans="1:34">
      <c r="A50" s="50">
        <v>21</v>
      </c>
      <c r="B50" s="66" t="s">
        <v>579</v>
      </c>
      <c r="C50" s="67" t="s">
        <v>1202</v>
      </c>
      <c r="D50" s="68">
        <f>各序列技能计算!AO2*2+各序列技能计算!AU2</f>
        <v>0</v>
      </c>
      <c r="E50" s="69">
        <v>1.05</v>
      </c>
      <c r="F50" s="70" t="s">
        <v>1154</v>
      </c>
      <c r="G50" s="71">
        <f>IF(各序列技能计算!V2&gt;=75,各序列技能计算!V2,IF(各序列技能计算!V2*1.05&gt;=65,IF(各序列技能计算!V2*1.05&gt;=75,75,各序列技能计算!V2*1.05),65))</f>
        <v>65</v>
      </c>
      <c r="H50" s="72">
        <v>1.1</v>
      </c>
      <c r="I50" s="70" t="s">
        <v>1151</v>
      </c>
      <c r="J50" s="71">
        <f>IF(各序列技能计算!AB2&gt;=75,各序列技能计算!AB2,IF(各序列技能计算!AB2*1.1&gt;=60,IF(各序列技能计算!AB2*1.1&gt;=75,75,各序列技能计算!AB2*1.1),60))</f>
        <v>60</v>
      </c>
      <c r="K50" s="72">
        <v>1.1</v>
      </c>
      <c r="L50" s="70" t="s">
        <v>1168</v>
      </c>
      <c r="M50" s="71">
        <f>IF(各序列技能计算!V4&gt;=70,各序列技能计算!V4,IF(各序列技能计算!V4*1.1&gt;=55,IF(各序列技能计算!V4*1.1&gt;=70,70,各序列技能计算!V4*1.1),55))</f>
        <v>55</v>
      </c>
      <c r="N50" s="72"/>
      <c r="O50" s="70"/>
      <c r="P50" s="71">
        <f>各序列技能计算!V6</f>
        <v>0</v>
      </c>
      <c r="Q50" s="72"/>
      <c r="R50" s="70"/>
      <c r="S50" s="71">
        <f>各序列技能计算!AB4</f>
        <v>0</v>
      </c>
      <c r="T50" s="72"/>
      <c r="U50" s="70"/>
      <c r="V50" s="71">
        <f>各序列技能计算!AB6</f>
        <v>0</v>
      </c>
      <c r="W50" s="72"/>
      <c r="X50" s="70"/>
      <c r="Y50" s="71">
        <f>各序列技能计算!AH2</f>
        <v>0</v>
      </c>
      <c r="Z50" s="72"/>
      <c r="AA50" s="70"/>
      <c r="AB50" s="71">
        <f>各序列技能计算!AH4</f>
        <v>0</v>
      </c>
      <c r="AC50" s="72"/>
      <c r="AD50" s="70"/>
      <c r="AE50" s="71">
        <f>各序列技能计算!V8+各序列技能计算!AG8</f>
        <v>0</v>
      </c>
      <c r="AF50" s="72"/>
      <c r="AG50" s="70"/>
      <c r="AH50" s="89"/>
    </row>
    <row r="51" s="25" customFormat="1" ht="20.25" spans="1:34">
      <c r="A51" s="58">
        <v>22</v>
      </c>
      <c r="B51" s="75" t="s">
        <v>580</v>
      </c>
      <c r="C51" s="76" t="s">
        <v>1203</v>
      </c>
      <c r="D51" s="77">
        <f>各序列技能计算!AU2*2+各序列技能计算!AO4</f>
        <v>0</v>
      </c>
      <c r="E51" s="78"/>
      <c r="F51" s="79"/>
      <c r="G51" s="80">
        <f>各序列技能计算!V2</f>
        <v>0</v>
      </c>
      <c r="H51" s="81">
        <v>1.2</v>
      </c>
      <c r="I51" s="79" t="s">
        <v>1177</v>
      </c>
      <c r="J51" s="80">
        <f>IF(各序列技能计算!AB2&gt;=90,各序列技能计算!AB2,IF(各序列技能计算!AB2*1.2&gt;=70,IF(各序列技能计算!AB2*1.2&gt;=90,90,各序列技能计算!AB2*1.2),70))</f>
        <v>70</v>
      </c>
      <c r="K51" s="81">
        <v>1.2</v>
      </c>
      <c r="L51" s="79" t="s">
        <v>1177</v>
      </c>
      <c r="M51" s="80">
        <f>IF(各序列技能计算!V4&gt;=90,各序列技能计算!V4,IF(各序列技能计算!V4*1.2&gt;=70,IF(各序列技能计算!V4*1.2&gt;=90,90,各序列技能计算!V4*1.2),70))</f>
        <v>70</v>
      </c>
      <c r="N51" s="81"/>
      <c r="O51" s="79"/>
      <c r="P51" s="80">
        <f>各序列技能计算!V6</f>
        <v>0</v>
      </c>
      <c r="Q51" s="81"/>
      <c r="R51" s="79"/>
      <c r="S51" s="80">
        <f>各序列技能计算!AB4</f>
        <v>0</v>
      </c>
      <c r="T51" s="81"/>
      <c r="U51" s="79"/>
      <c r="V51" s="80">
        <f>各序列技能计算!AB6</f>
        <v>0</v>
      </c>
      <c r="W51" s="81"/>
      <c r="X51" s="79"/>
      <c r="Y51" s="80">
        <f>各序列技能计算!AH2</f>
        <v>0</v>
      </c>
      <c r="Z51" s="81"/>
      <c r="AA51" s="79"/>
      <c r="AB51" s="80">
        <f>各序列技能计算!AH4</f>
        <v>0</v>
      </c>
      <c r="AC51" s="81"/>
      <c r="AD51" s="79"/>
      <c r="AE51" s="80">
        <f>各序列技能计算!V8+各序列技能计算!AG8</f>
        <v>0</v>
      </c>
      <c r="AF51" s="81"/>
      <c r="AG51" s="79"/>
      <c r="AH51" s="91"/>
    </row>
    <row r="52" ht="15"/>
    <row r="53" ht="21.75" spans="1:34">
      <c r="A53" s="29" t="s">
        <v>9</v>
      </c>
      <c r="B53" s="30"/>
      <c r="C53" s="30"/>
      <c r="D53" s="30"/>
      <c r="E53" s="82" t="s">
        <v>28</v>
      </c>
      <c r="F53" s="83"/>
      <c r="G53" s="84"/>
      <c r="H53" s="36" t="s">
        <v>29</v>
      </c>
      <c r="I53" s="83"/>
      <c r="J53" s="84"/>
      <c r="K53" s="36" t="s">
        <v>35</v>
      </c>
      <c r="L53" s="83"/>
      <c r="M53" s="84"/>
      <c r="N53" s="36" t="s">
        <v>41</v>
      </c>
      <c r="O53" s="83"/>
      <c r="P53" s="84"/>
      <c r="Q53" s="36" t="s">
        <v>36</v>
      </c>
      <c r="R53" s="83"/>
      <c r="S53" s="84"/>
      <c r="T53" s="36" t="s">
        <v>1135</v>
      </c>
      <c r="U53" s="83"/>
      <c r="V53" s="84"/>
      <c r="W53" s="36" t="s">
        <v>30</v>
      </c>
      <c r="X53" s="83"/>
      <c r="Y53" s="84"/>
      <c r="Z53" s="36" t="s">
        <v>37</v>
      </c>
      <c r="AA53" s="83"/>
      <c r="AB53" s="84"/>
      <c r="AC53" s="36" t="s">
        <v>48</v>
      </c>
      <c r="AD53" s="83"/>
      <c r="AE53" s="84"/>
      <c r="AF53" s="36" t="s">
        <v>56</v>
      </c>
      <c r="AG53" s="83"/>
      <c r="AH53" s="86"/>
    </row>
    <row r="54" ht="20.25" spans="1:34">
      <c r="A54" s="35" t="s">
        <v>234</v>
      </c>
      <c r="B54" s="36" t="s">
        <v>1136</v>
      </c>
      <c r="C54" s="37" t="s">
        <v>1137</v>
      </c>
      <c r="D54" s="38" t="s">
        <v>1138</v>
      </c>
      <c r="E54" s="39" t="s">
        <v>1139</v>
      </c>
      <c r="F54" s="40" t="s">
        <v>1140</v>
      </c>
      <c r="G54" s="41"/>
      <c r="H54" s="42" t="s">
        <v>1139</v>
      </c>
      <c r="I54" s="40" t="s">
        <v>1140</v>
      </c>
      <c r="J54" s="41"/>
      <c r="K54" s="42" t="s">
        <v>1139</v>
      </c>
      <c r="L54" s="40" t="s">
        <v>1140</v>
      </c>
      <c r="M54" s="41"/>
      <c r="N54" s="42" t="s">
        <v>1139</v>
      </c>
      <c r="O54" s="40" t="s">
        <v>1140</v>
      </c>
      <c r="P54" s="41"/>
      <c r="Q54" s="42" t="s">
        <v>1139</v>
      </c>
      <c r="R54" s="40" t="s">
        <v>1140</v>
      </c>
      <c r="S54" s="41"/>
      <c r="T54" s="42" t="s">
        <v>1139</v>
      </c>
      <c r="U54" s="40" t="s">
        <v>1140</v>
      </c>
      <c r="V54" s="41"/>
      <c r="W54" s="42" t="s">
        <v>1139</v>
      </c>
      <c r="X54" s="40" t="s">
        <v>1140</v>
      </c>
      <c r="Y54" s="41"/>
      <c r="Z54" s="42" t="s">
        <v>1139</v>
      </c>
      <c r="AA54" s="40" t="s">
        <v>1140</v>
      </c>
      <c r="AB54" s="41"/>
      <c r="AC54" s="42" t="s">
        <v>1139</v>
      </c>
      <c r="AD54" s="40" t="s">
        <v>1140</v>
      </c>
      <c r="AE54" s="41"/>
      <c r="AF54" s="42" t="s">
        <v>1139</v>
      </c>
      <c r="AG54" s="40" t="s">
        <v>1140</v>
      </c>
      <c r="AH54" s="87"/>
    </row>
    <row r="55" s="25" customFormat="1" ht="20.25" spans="1:34">
      <c r="A55" s="43"/>
      <c r="B55" s="44"/>
      <c r="C55" s="45"/>
      <c r="D55" s="46"/>
      <c r="E55" s="47"/>
      <c r="F55" s="48"/>
      <c r="G55" s="49"/>
      <c r="H55" s="44"/>
      <c r="I55" s="48"/>
      <c r="J55" s="49"/>
      <c r="K55" s="44"/>
      <c r="L55" s="48"/>
      <c r="M55" s="49"/>
      <c r="N55" s="44"/>
      <c r="O55" s="48"/>
      <c r="P55" s="49"/>
      <c r="Q55" s="44"/>
      <c r="R55" s="48"/>
      <c r="S55" s="49"/>
      <c r="T55" s="44"/>
      <c r="U55" s="48"/>
      <c r="V55" s="49"/>
      <c r="W55" s="44"/>
      <c r="X55" s="48"/>
      <c r="Y55" s="49"/>
      <c r="Z55" s="44"/>
      <c r="AA55" s="48"/>
      <c r="AB55" s="49"/>
      <c r="AC55" s="44"/>
      <c r="AD55" s="48"/>
      <c r="AE55" s="49"/>
      <c r="AF55" s="44"/>
      <c r="AG55" s="48"/>
      <c r="AH55" s="88"/>
    </row>
    <row r="56" ht="20.25" spans="1:34">
      <c r="A56" s="50">
        <v>1</v>
      </c>
      <c r="B56" s="51" t="s">
        <v>581</v>
      </c>
      <c r="C56" s="52" t="s">
        <v>1204</v>
      </c>
      <c r="D56" s="53">
        <f>各序列技能计算!C12*2+各序列技能计算!I12*2</f>
        <v>0</v>
      </c>
      <c r="E56" s="54">
        <v>1.2</v>
      </c>
      <c r="F56" s="55" t="s">
        <v>1183</v>
      </c>
      <c r="G56" s="56">
        <f>IF(各序列技能计算!AO2&gt;=80,各序列技能计算!AO2,IF(各序列技能计算!AO2*1.2&gt;=60,IF(各序列技能计算!AO2*1.2&gt;=80,80,各序列技能计算!AO2*1.2),60))</f>
        <v>60</v>
      </c>
      <c r="H56" s="57">
        <v>1.2</v>
      </c>
      <c r="I56" s="55" t="s">
        <v>1183</v>
      </c>
      <c r="J56" s="56">
        <f>IF(各序列技能计算!AU2&gt;=80,各序列技能计算!AU2,IF(各序列技能计算!AU2*1.2&gt;=60,IF(各序列技能计算!AU2*1.2&gt;=80,80,各序列技能计算!AU2*1.2),60))</f>
        <v>60</v>
      </c>
      <c r="K56" s="57">
        <v>1.1</v>
      </c>
      <c r="L56" s="55" t="s">
        <v>1162</v>
      </c>
      <c r="M56" s="56">
        <f>IF(各序列技能计算!AO4&gt;=65,各序列技能计算!AO4,IF(各序列技能计算!AO4*1.1&gt;=50,IF(各序列技能计算!AO4*1.1&gt;=65,65,各序列技能计算!AO4*1.1),50))</f>
        <v>50</v>
      </c>
      <c r="N56" s="57"/>
      <c r="O56" s="55"/>
      <c r="P56" s="56">
        <f>各序列技能计算!AO6</f>
        <v>0</v>
      </c>
      <c r="Q56" s="57"/>
      <c r="R56" s="55"/>
      <c r="S56" s="56">
        <f>各序列技能计算!AU4</f>
        <v>0</v>
      </c>
      <c r="T56" s="57"/>
      <c r="U56" s="55"/>
      <c r="V56" s="56">
        <f>各序列技能计算!AU6</f>
        <v>0</v>
      </c>
      <c r="W56" s="57"/>
      <c r="X56" s="55"/>
      <c r="Y56" s="56">
        <f>各序列技能计算!BA2</f>
        <v>0</v>
      </c>
      <c r="Z56" s="57"/>
      <c r="AA56" s="55"/>
      <c r="AB56" s="56">
        <f>各序列技能计算!BA4</f>
        <v>0</v>
      </c>
      <c r="AC56" s="57"/>
      <c r="AD56" s="55"/>
      <c r="AE56" s="56">
        <f>各序列技能计算!AO8+各序列技能计算!AZ8</f>
        <v>0</v>
      </c>
      <c r="AF56" s="57"/>
      <c r="AG56" s="55"/>
      <c r="AH56" s="89"/>
    </row>
    <row r="57" s="25" customFormat="1" ht="20.25" spans="1:34">
      <c r="A57" s="58">
        <v>2</v>
      </c>
      <c r="B57" s="59" t="s">
        <v>582</v>
      </c>
      <c r="C57" s="60" t="s">
        <v>1203</v>
      </c>
      <c r="D57" s="61">
        <f>各序列技能计算!I12*2+各序列技能计算!C14</f>
        <v>0</v>
      </c>
      <c r="E57" s="62"/>
      <c r="F57" s="63"/>
      <c r="G57" s="64">
        <f>各序列技能计算!AO2</f>
        <v>0</v>
      </c>
      <c r="H57" s="65">
        <v>1.1</v>
      </c>
      <c r="I57" s="63" t="s">
        <v>1205</v>
      </c>
      <c r="J57" s="64">
        <f>IF(各序列技能计算!AU2&gt;=95,各序列技能计算!AU2,IF(各序列技能计算!AU2*1.2&gt;=75,IF(各序列技能计算!AU2*1.2&gt;=95,95,各序列技能计算!AU2*1.2),75))</f>
        <v>75</v>
      </c>
      <c r="K57" s="65">
        <v>1.1</v>
      </c>
      <c r="L57" s="63" t="s">
        <v>1206</v>
      </c>
      <c r="M57" s="64">
        <f>IF(各序列技能计算!AO4&gt;=90,各序列技能计算!AO4,IF(各序列技能计算!AO4*1.1&gt;=60,IF(各序列技能计算!AO4*1.1&gt;=90,90,各序列技能计算!AO4*1.1),60))</f>
        <v>60</v>
      </c>
      <c r="N57" s="65"/>
      <c r="O57" s="63"/>
      <c r="P57" s="64">
        <f>各序列技能计算!AO6</f>
        <v>0</v>
      </c>
      <c r="Q57" s="65"/>
      <c r="R57" s="63"/>
      <c r="S57" s="64">
        <f>各序列技能计算!AU4</f>
        <v>0</v>
      </c>
      <c r="T57" s="65"/>
      <c r="U57" s="63"/>
      <c r="V57" s="64">
        <f>各序列技能计算!AU6</f>
        <v>0</v>
      </c>
      <c r="W57" s="65"/>
      <c r="X57" s="63"/>
      <c r="Y57" s="64">
        <f>各序列技能计算!BA2</f>
        <v>0</v>
      </c>
      <c r="Z57" s="65"/>
      <c r="AA57" s="63"/>
      <c r="AB57" s="64">
        <f>各序列技能计算!BA4</f>
        <v>0</v>
      </c>
      <c r="AC57" s="65"/>
      <c r="AD57" s="63"/>
      <c r="AE57" s="64">
        <f>各序列技能计算!AO8+各序列技能计算!AZ8</f>
        <v>0</v>
      </c>
      <c r="AF57" s="65"/>
      <c r="AG57" s="63"/>
      <c r="AH57" s="90"/>
    </row>
    <row r="58" ht="20.25" spans="1:34">
      <c r="A58" s="50">
        <v>3</v>
      </c>
      <c r="B58" s="66" t="s">
        <v>583</v>
      </c>
      <c r="C58" s="67" t="s">
        <v>1193</v>
      </c>
      <c r="D58" s="68">
        <f>各序列技能计算!C18*0.4</f>
        <v>0</v>
      </c>
      <c r="E58" s="69"/>
      <c r="F58" s="70"/>
      <c r="G58" s="71">
        <f>各序列技能计算!AO2</f>
        <v>0</v>
      </c>
      <c r="H58" s="72"/>
      <c r="I58" s="70"/>
      <c r="J58" s="71">
        <f>各序列技能计算!AU2</f>
        <v>0</v>
      </c>
      <c r="K58" s="72"/>
      <c r="L58" s="70"/>
      <c r="M58" s="71">
        <f>各序列技能计算!AO4</f>
        <v>0</v>
      </c>
      <c r="N58" s="72"/>
      <c r="O58" s="70"/>
      <c r="P58" s="71">
        <f>各序列技能计算!AO6</f>
        <v>0</v>
      </c>
      <c r="Q58" s="72"/>
      <c r="R58" s="70"/>
      <c r="S58" s="71">
        <f>各序列技能计算!AU4</f>
        <v>0</v>
      </c>
      <c r="T58" s="72"/>
      <c r="U58" s="70"/>
      <c r="V58" s="71">
        <f>各序列技能计算!AU6</f>
        <v>0</v>
      </c>
      <c r="W58" s="72"/>
      <c r="X58" s="70"/>
      <c r="Y58" s="71">
        <f>各序列技能计算!BA2</f>
        <v>0</v>
      </c>
      <c r="Z58" s="72"/>
      <c r="AA58" s="70"/>
      <c r="AB58" s="71">
        <f>各序列技能计算!BA4</f>
        <v>0</v>
      </c>
      <c r="AC58" s="72">
        <v>1.2</v>
      </c>
      <c r="AD58" s="70" t="s">
        <v>1207</v>
      </c>
      <c r="AE58" s="71">
        <f>IF((各序列技能计算!AO8+各序列技能计算!AZ8)&gt;=275,各序列技能计算!AO8+各序列技能计算!AZ8,IF((各序列技能计算!AO8+各序列技能计算!AZ8)*1.2&gt;=230,IF((各序列技能计算!AO8+各序列技能计算!AZ8)*1.2&gt;=275,275,(各序列技能计算!AO8+各序列技能计算!AZ8)*1.2),230))</f>
        <v>230</v>
      </c>
      <c r="AF58" s="72"/>
      <c r="AG58" s="70"/>
      <c r="AH58" s="89"/>
    </row>
    <row r="59" s="25" customFormat="1" ht="20.25" spans="1:34">
      <c r="A59" s="58">
        <v>4</v>
      </c>
      <c r="B59" s="59" t="s">
        <v>584</v>
      </c>
      <c r="C59" s="60" t="s">
        <v>1193</v>
      </c>
      <c r="D59" s="61">
        <f>各序列技能计算!C18*0.4</f>
        <v>0</v>
      </c>
      <c r="E59" s="62"/>
      <c r="F59" s="63"/>
      <c r="G59" s="64">
        <f>各序列技能计算!AO2</f>
        <v>0</v>
      </c>
      <c r="H59" s="65"/>
      <c r="I59" s="63"/>
      <c r="J59" s="64">
        <f>各序列技能计算!AU2</f>
        <v>0</v>
      </c>
      <c r="K59" s="65">
        <v>1.1</v>
      </c>
      <c r="L59" s="63" t="s">
        <v>1162</v>
      </c>
      <c r="M59" s="64">
        <f>IF(各序列技能计算!AO4&gt;=65,各序列技能计算!AO4,IF(各序列技能计算!AO4*1.1&gt;=50,IF(各序列技能计算!AO4*1.1&gt;=65,65,各序列技能计算!AO4*1.1),50))</f>
        <v>50</v>
      </c>
      <c r="N59" s="65"/>
      <c r="O59" s="63"/>
      <c r="P59" s="64">
        <f>各序列技能计算!AO6</f>
        <v>0</v>
      </c>
      <c r="Q59" s="65"/>
      <c r="R59" s="63"/>
      <c r="S59" s="64">
        <f>各序列技能计算!AU4</f>
        <v>0</v>
      </c>
      <c r="T59" s="65"/>
      <c r="U59" s="63"/>
      <c r="V59" s="64">
        <f>各序列技能计算!AU6</f>
        <v>0</v>
      </c>
      <c r="W59" s="65">
        <v>0.9</v>
      </c>
      <c r="X59" s="63" t="s">
        <v>1148</v>
      </c>
      <c r="Y59" s="64">
        <f>IF(各序列技能计算!BA2&lt;=45,各序列技能计算!BA2,IF(各序列技能计算!BA2*0.9&lt;=60,IF(各序列技能计算!BA2*0.9&lt;=45,45,各序列技能计算!BA2*0.9),60))</f>
        <v>0</v>
      </c>
      <c r="Z59" s="65"/>
      <c r="AA59" s="63"/>
      <c r="AB59" s="64">
        <f>各序列技能计算!BA4</f>
        <v>0</v>
      </c>
      <c r="AC59" s="65">
        <v>1.2</v>
      </c>
      <c r="AD59" s="63" t="s">
        <v>1208</v>
      </c>
      <c r="AE59" s="64">
        <f>IF((各序列技能计算!AO8+各序列技能计算!AZ8)&gt;=285,各序列技能计算!AO8+各序列技能计算!AZ8,IF((各序列技能计算!AO8+各序列技能计算!AZ8)*1.2&gt;=260,IF((各序列技能计算!AO8+各序列技能计算!AZ8)*1.2&gt;=285,285,(各序列技能计算!AO8+各序列技能计算!AZ8)*1.2),260))</f>
        <v>260</v>
      </c>
      <c r="AF59" s="65"/>
      <c r="AG59" s="63"/>
      <c r="AH59" s="90"/>
    </row>
    <row r="60" ht="20.25" spans="1:34">
      <c r="A60" s="50">
        <v>5</v>
      </c>
      <c r="B60" s="66" t="s">
        <v>585</v>
      </c>
      <c r="C60" s="67" t="s">
        <v>1176</v>
      </c>
      <c r="D60" s="68">
        <f>各序列技能计算!C12+各序列技能计算!I12</f>
        <v>0</v>
      </c>
      <c r="E60" s="69">
        <v>1.1</v>
      </c>
      <c r="F60" s="70" t="s">
        <v>1154</v>
      </c>
      <c r="G60" s="71">
        <f>IF(各序列技能计算!AO2&gt;=75,各序列技能计算!AO2,IF(各序列技能计算!AO2*1.1&gt;=65,IF(各序列技能计算!AO2*1.1&gt;=75,75,各序列技能计算!AO2*1.1),65))</f>
        <v>65</v>
      </c>
      <c r="H60" s="72">
        <v>1.1</v>
      </c>
      <c r="I60" s="70" t="s">
        <v>1149</v>
      </c>
      <c r="J60" s="71">
        <f>IF(各序列技能计算!AU2&gt;=85,各序列技能计算!AU2,IF(各序列技能计算!AU2*1.1&gt;=70,IF(各序列技能计算!AU2*1.1&gt;=85,85,各序列技能计算!AU2*1.1),70))</f>
        <v>70</v>
      </c>
      <c r="K60" s="72">
        <v>1.1</v>
      </c>
      <c r="L60" s="70" t="s">
        <v>1162</v>
      </c>
      <c r="M60" s="71">
        <f>IF(各序列技能计算!AO4&gt;=65,各序列技能计算!AO4,IF(各序列技能计算!AO4*1.1&gt;=50,IF(各序列技能计算!AO4*1.1&gt;=65,65,各序列技能计算!AO4*1.1),50))</f>
        <v>50</v>
      </c>
      <c r="N60" s="72"/>
      <c r="O60" s="70"/>
      <c r="P60" s="71">
        <f>各序列技能计算!AO6</f>
        <v>0</v>
      </c>
      <c r="Q60" s="72"/>
      <c r="R60" s="70"/>
      <c r="S60" s="71">
        <f>各序列技能计算!AU4</f>
        <v>0</v>
      </c>
      <c r="T60" s="72"/>
      <c r="U60" s="70"/>
      <c r="V60" s="71">
        <f>各序列技能计算!AU6</f>
        <v>0</v>
      </c>
      <c r="W60" s="72"/>
      <c r="X60" s="70"/>
      <c r="Y60" s="71">
        <f>各序列技能计算!BA2</f>
        <v>0</v>
      </c>
      <c r="Z60" s="72"/>
      <c r="AA60" s="70"/>
      <c r="AB60" s="71">
        <f>各序列技能计算!BA4</f>
        <v>0</v>
      </c>
      <c r="AC60" s="72"/>
      <c r="AD60" s="70"/>
      <c r="AE60" s="71">
        <f>各序列技能计算!AO8+各序列技能计算!AZ8</f>
        <v>0</v>
      </c>
      <c r="AF60" s="72"/>
      <c r="AG60" s="70"/>
      <c r="AH60" s="89"/>
    </row>
    <row r="61" s="25" customFormat="1" ht="20.25" spans="1:34">
      <c r="A61" s="58">
        <v>6</v>
      </c>
      <c r="B61" s="59" t="s">
        <v>586</v>
      </c>
      <c r="C61" s="60" t="s">
        <v>1176</v>
      </c>
      <c r="D61" s="61">
        <f>各序列技能计算!C12+各序列技能计算!I12</f>
        <v>0</v>
      </c>
      <c r="E61" s="62">
        <v>1.2</v>
      </c>
      <c r="F61" s="63" t="s">
        <v>1188</v>
      </c>
      <c r="G61" s="64">
        <f>IF(各序列技能计算!AO2&gt;=90,各序列技能计算!AO2,IF(各序列技能计算!AO2*1.2&gt;=75,IF(各序列技能计算!AO2*1.2&gt;=90,90,各序列技能计算!AO2*1.2),75))</f>
        <v>75</v>
      </c>
      <c r="H61" s="65">
        <v>1.2</v>
      </c>
      <c r="I61" s="63" t="s">
        <v>1188</v>
      </c>
      <c r="J61" s="64">
        <f>IF(各序列技能计算!AU2&gt;=90,各序列技能计算!AU2,IF(各序列技能计算!AU2*1.2&gt;=75,IF(各序列技能计算!AU2*1.2&gt;=90,90,各序列技能计算!AU2*1.2),75))</f>
        <v>75</v>
      </c>
      <c r="K61" s="65">
        <v>1.1</v>
      </c>
      <c r="L61" s="63" t="s">
        <v>1209</v>
      </c>
      <c r="M61" s="64">
        <f>IF(各序列技能计算!AO4&gt;=85,各序列技能计算!AO4,IF(各序列技能计算!AO4*1.1&gt;=75,IF(各序列技能计算!AO4*1.1&gt;=85,85,各序列技能计算!AO4*1.1),75))</f>
        <v>75</v>
      </c>
      <c r="N61" s="65"/>
      <c r="O61" s="63"/>
      <c r="P61" s="64">
        <f>各序列技能计算!AO6</f>
        <v>0</v>
      </c>
      <c r="Q61" s="65"/>
      <c r="R61" s="63"/>
      <c r="S61" s="64">
        <f>各序列技能计算!AU4</f>
        <v>0</v>
      </c>
      <c r="T61" s="65"/>
      <c r="U61" s="63"/>
      <c r="V61" s="64">
        <f>各序列技能计算!AU6</f>
        <v>0</v>
      </c>
      <c r="W61" s="65"/>
      <c r="X61" s="63"/>
      <c r="Y61" s="64">
        <f>各序列技能计算!BA2</f>
        <v>0</v>
      </c>
      <c r="Z61" s="65"/>
      <c r="AA61" s="63"/>
      <c r="AB61" s="64">
        <f>各序列技能计算!BA4</f>
        <v>0</v>
      </c>
      <c r="AC61" s="65"/>
      <c r="AD61" s="63"/>
      <c r="AE61" s="64">
        <f>各序列技能计算!AO8+各序列技能计算!AZ8</f>
        <v>0</v>
      </c>
      <c r="AF61" s="65"/>
      <c r="AG61" s="63"/>
      <c r="AH61" s="90"/>
    </row>
    <row r="62" ht="20.25" spans="1:34">
      <c r="A62" s="50">
        <v>7</v>
      </c>
      <c r="B62" s="66" t="s">
        <v>587</v>
      </c>
      <c r="C62" s="67" t="s">
        <v>1210</v>
      </c>
      <c r="D62" s="68">
        <f>各序列技能计算!C12+各序列技能计算!O12+各序列技能计算!C14</f>
        <v>0</v>
      </c>
      <c r="E62" s="69">
        <v>1.1</v>
      </c>
      <c r="F62" s="70" t="s">
        <v>1188</v>
      </c>
      <c r="G62" s="71">
        <f>IF(各序列技能计算!AO2&gt;=90,各序列技能计算!AO2,IF(各序列技能计算!AO2*1.1&gt;=75,IF(各序列技能计算!AO2*1.1&gt;=90,90,各序列技能计算!AO2*1.1),75))</f>
        <v>75</v>
      </c>
      <c r="H62" s="72"/>
      <c r="I62" s="70"/>
      <c r="J62" s="71">
        <f>各序列技能计算!AU2</f>
        <v>0</v>
      </c>
      <c r="K62" s="72">
        <v>1.05</v>
      </c>
      <c r="L62" s="70" t="s">
        <v>1205</v>
      </c>
      <c r="M62" s="71">
        <f>IF(各序列技能计算!AO4&gt;=95,各序列技能计算!AO4,IF(各序列技能计算!AO4*1.05&gt;=75,IF(各序列技能计算!AO4*1.05&gt;=95,95,各序列技能计算!AO4*1.05),75))</f>
        <v>75</v>
      </c>
      <c r="N62" s="72"/>
      <c r="O62" s="70"/>
      <c r="P62" s="71">
        <f>各序列技能计算!AO6</f>
        <v>0</v>
      </c>
      <c r="Q62" s="72"/>
      <c r="R62" s="70"/>
      <c r="S62" s="71">
        <f>各序列技能计算!AU4</f>
        <v>0</v>
      </c>
      <c r="T62" s="72"/>
      <c r="U62" s="70"/>
      <c r="V62" s="71">
        <f>各序列技能计算!AU6</f>
        <v>0</v>
      </c>
      <c r="W62" s="72">
        <v>1.2</v>
      </c>
      <c r="X62" s="70" t="s">
        <v>1211</v>
      </c>
      <c r="Y62" s="71">
        <f>IF(各序列技能计算!BA2&gt;=95,各序列技能计算!BA2,IF(各序列技能计算!BA2*1.2&gt;=70,IF(各序列技能计算!BA2*1.2&gt;=95,95,各序列技能计算!BA2*1.2),70))</f>
        <v>70</v>
      </c>
      <c r="Z62" s="72"/>
      <c r="AA62" s="70"/>
      <c r="AB62" s="71">
        <f>各序列技能计算!BA4</f>
        <v>0</v>
      </c>
      <c r="AC62" s="72"/>
      <c r="AD62" s="70"/>
      <c r="AE62" s="71">
        <f>各序列技能计算!AO8+各序列技能计算!AZ8</f>
        <v>0</v>
      </c>
      <c r="AF62" s="72"/>
      <c r="AG62" s="70"/>
      <c r="AH62" s="89"/>
    </row>
    <row r="63" s="25" customFormat="1" ht="20.25" spans="1:34">
      <c r="A63" s="58">
        <v>8</v>
      </c>
      <c r="B63" s="59" t="s">
        <v>588</v>
      </c>
      <c r="C63" s="60" t="s">
        <v>1212</v>
      </c>
      <c r="D63" s="61">
        <f>各序列技能计算!C18*0.4+各序列技能计算!I16</f>
        <v>0</v>
      </c>
      <c r="E63" s="62"/>
      <c r="F63" s="63"/>
      <c r="G63" s="64">
        <f>各序列技能计算!AO2</f>
        <v>0</v>
      </c>
      <c r="H63" s="65"/>
      <c r="I63" s="63"/>
      <c r="J63" s="64">
        <f>各序列技能计算!AU2</f>
        <v>0</v>
      </c>
      <c r="K63" s="65"/>
      <c r="L63" s="63"/>
      <c r="M63" s="64">
        <f>各序列技能计算!AO4</f>
        <v>0</v>
      </c>
      <c r="N63" s="65"/>
      <c r="O63" s="63"/>
      <c r="P63" s="64">
        <f>各序列技能计算!AO6</f>
        <v>0</v>
      </c>
      <c r="Q63" s="65"/>
      <c r="R63" s="63"/>
      <c r="S63" s="64">
        <f>各序列技能计算!AU4</f>
        <v>0</v>
      </c>
      <c r="T63" s="65">
        <v>1.2</v>
      </c>
      <c r="U63" s="63" t="s">
        <v>1179</v>
      </c>
      <c r="V63" s="64">
        <f>IF(各序列技能计算!AU6&gt;=85,各序列技能计算!AU6,IF(各序列技能计算!AU6*1.2&gt;=65,IF(各序列技能计算!AU6*1.2&gt;=85,85,各序列技能计算!AU6*1.2),65))</f>
        <v>65</v>
      </c>
      <c r="W63" s="65"/>
      <c r="X63" s="63"/>
      <c r="Y63" s="64">
        <f>各序列技能计算!BA2</f>
        <v>0</v>
      </c>
      <c r="Z63" s="65"/>
      <c r="AA63" s="63"/>
      <c r="AB63" s="64">
        <f>各序列技能计算!BA4</f>
        <v>0</v>
      </c>
      <c r="AC63" s="65">
        <v>1.1</v>
      </c>
      <c r="AD63" s="63" t="s">
        <v>1213</v>
      </c>
      <c r="AE63" s="64">
        <f>IF((各序列技能计算!AO8+各序列技能计算!AZ8)&gt;=230,各序列技能计算!AO8+各序列技能计算!AZ8,IF((各序列技能计算!AO8+各序列技能计算!AZ8)*1.1&gt;=210,IF((各序列技能计算!AO8+各序列技能计算!AZ8)*1.1&gt;=230,230,(各序列技能计算!AO8+各序列技能计算!AZ8)*1.1),210))</f>
        <v>210</v>
      </c>
      <c r="AF63" s="65"/>
      <c r="AG63" s="63"/>
      <c r="AH63" s="90"/>
    </row>
    <row r="64" ht="20.25" spans="1:34">
      <c r="A64" s="50">
        <v>9</v>
      </c>
      <c r="B64" s="66" t="s">
        <v>589</v>
      </c>
      <c r="C64" s="67" t="s">
        <v>1214</v>
      </c>
      <c r="D64" s="68">
        <f>各序列技能计算!I12*3</f>
        <v>0</v>
      </c>
      <c r="E64" s="69"/>
      <c r="F64" s="70"/>
      <c r="G64" s="71">
        <f>各序列技能计算!AO2</f>
        <v>0</v>
      </c>
      <c r="H64" s="72">
        <v>1.05</v>
      </c>
      <c r="I64" s="70" t="s">
        <v>1215</v>
      </c>
      <c r="J64" s="71">
        <f>IF(各序列技能计算!AU2&gt;=100,各序列技能计算!AU2,IF(各序列技能计算!AU2*1.05&gt;=80,IF(各序列技能计算!AU2*1.05&gt;=100,100,各序列技能计算!AU2*1.05),80))</f>
        <v>80</v>
      </c>
      <c r="K64" s="72">
        <v>1.1</v>
      </c>
      <c r="L64" s="70" t="s">
        <v>1162</v>
      </c>
      <c r="M64" s="71">
        <f>IF(各序列技能计算!AO4&gt;=65,各序列技能计算!AO4,IF(各序列技能计算!AO4*1.1&gt;=50,IF(各序列技能计算!AO4*1.1&gt;=65,65,各序列技能计算!AO4*1.1),50))</f>
        <v>50</v>
      </c>
      <c r="N64" s="72"/>
      <c r="O64" s="70"/>
      <c r="P64" s="71">
        <f>各序列技能计算!AO6</f>
        <v>0</v>
      </c>
      <c r="Q64" s="72"/>
      <c r="R64" s="70"/>
      <c r="S64" s="71">
        <f>各序列技能计算!AU4</f>
        <v>0</v>
      </c>
      <c r="T64" s="72"/>
      <c r="U64" s="70"/>
      <c r="V64" s="71">
        <f>各序列技能计算!AU6</f>
        <v>0</v>
      </c>
      <c r="W64" s="72"/>
      <c r="X64" s="70"/>
      <c r="Y64" s="71">
        <f>各序列技能计算!BA2</f>
        <v>0</v>
      </c>
      <c r="Z64" s="72"/>
      <c r="AA64" s="70"/>
      <c r="AB64" s="71">
        <f>各序列技能计算!BA4</f>
        <v>0</v>
      </c>
      <c r="AC64" s="72"/>
      <c r="AD64" s="70"/>
      <c r="AE64" s="71">
        <f>各序列技能计算!AO8+各序列技能计算!AZ8</f>
        <v>0</v>
      </c>
      <c r="AF64" s="72"/>
      <c r="AG64" s="70"/>
      <c r="AH64" s="89"/>
    </row>
    <row r="65" s="25" customFormat="1" ht="20.25" spans="1:34">
      <c r="A65" s="58">
        <v>10</v>
      </c>
      <c r="B65" s="59" t="s">
        <v>590</v>
      </c>
      <c r="C65" s="60" t="s">
        <v>1189</v>
      </c>
      <c r="D65" s="61">
        <f>各序列技能计算!O12+各序列技能计算!C18*0.4</f>
        <v>0</v>
      </c>
      <c r="E65" s="62"/>
      <c r="F65" s="63"/>
      <c r="G65" s="64">
        <f>各序列技能计算!AO2</f>
        <v>0</v>
      </c>
      <c r="H65" s="65"/>
      <c r="I65" s="63"/>
      <c r="J65" s="64">
        <f>各序列技能计算!AU2</f>
        <v>0</v>
      </c>
      <c r="K65" s="65">
        <v>1.1</v>
      </c>
      <c r="L65" s="63" t="s">
        <v>1162</v>
      </c>
      <c r="M65" s="64">
        <f>IF(各序列技能计算!AO4&gt;=65,各序列技能计算!AO4,IF(各序列技能计算!AO4*1.1&gt;=50,IF(各序列技能计算!AO4*1.1&gt;=65,65,各序列技能计算!AO4*1.1),50))</f>
        <v>50</v>
      </c>
      <c r="N65" s="65"/>
      <c r="O65" s="63"/>
      <c r="P65" s="64">
        <f>各序列技能计算!AO6</f>
        <v>0</v>
      </c>
      <c r="Q65" s="65"/>
      <c r="R65" s="63"/>
      <c r="S65" s="64">
        <f>各序列技能计算!AU4</f>
        <v>0</v>
      </c>
      <c r="T65" s="65"/>
      <c r="U65" s="63"/>
      <c r="V65" s="64">
        <f>各序列技能计算!AU6</f>
        <v>0</v>
      </c>
      <c r="W65" s="65">
        <v>1.05</v>
      </c>
      <c r="X65" s="63" t="s">
        <v>1216</v>
      </c>
      <c r="Y65" s="64">
        <f>IF(各序列技能计算!BA2&gt;=75,各序列技能计算!BA2,IF(各序列技能计算!BA2*1.05&gt;=50,IF(各序列技能计算!BA2*1.05&gt;=75,75,各序列技能计算!BA2*1.05),50))</f>
        <v>50</v>
      </c>
      <c r="Z65" s="65"/>
      <c r="AA65" s="63"/>
      <c r="AB65" s="64">
        <f>各序列技能计算!BA4</f>
        <v>0</v>
      </c>
      <c r="AC65" s="65">
        <v>1.2</v>
      </c>
      <c r="AD65" s="63" t="s">
        <v>1217</v>
      </c>
      <c r="AE65" s="64">
        <f>IF((各序列技能计算!AO8+各序列技能计算!AZ8)&gt;=345,各序列技能计算!AO8+各序列技能计算!AZ8,IF((各序列技能计算!AO8+各序列技能计算!AZ8)*1.2&gt;=325,IF((各序列技能计算!AO8+各序列技能计算!AZ8)*1.2&gt;=345,345,(各序列技能计算!AO8+各序列技能计算!AZ8)*1.2),325))</f>
        <v>325</v>
      </c>
      <c r="AF65" s="65"/>
      <c r="AG65" s="63"/>
      <c r="AH65" s="90"/>
    </row>
    <row r="66" ht="20.25" spans="1:34">
      <c r="A66" s="50">
        <v>11</v>
      </c>
      <c r="B66" s="66" t="s">
        <v>591</v>
      </c>
      <c r="C66" s="67" t="s">
        <v>1218</v>
      </c>
      <c r="D66" s="68">
        <f>各序列技能计算!I16+各序列技能计算!C18*0.8</f>
        <v>0</v>
      </c>
      <c r="E66" s="69"/>
      <c r="F66" s="70"/>
      <c r="G66" s="71">
        <f>各序列技能计算!AO2</f>
        <v>0</v>
      </c>
      <c r="H66" s="72"/>
      <c r="I66" s="70"/>
      <c r="J66" s="71">
        <f>各序列技能计算!AU2</f>
        <v>0</v>
      </c>
      <c r="K66" s="72">
        <v>1.1</v>
      </c>
      <c r="L66" s="70" t="s">
        <v>1162</v>
      </c>
      <c r="M66" s="71">
        <f>IF(各序列技能计算!AO4&gt;=65,各序列技能计算!AO4,IF(各序列技能计算!AO4*1.1&gt;=50,IF(各序列技能计算!AO4*1.1&gt;=65,65,各序列技能计算!AO4*1.1),50))</f>
        <v>50</v>
      </c>
      <c r="N66" s="72"/>
      <c r="O66" s="70"/>
      <c r="P66" s="71">
        <f>各序列技能计算!AO6</f>
        <v>0</v>
      </c>
      <c r="Q66" s="72"/>
      <c r="R66" s="70"/>
      <c r="S66" s="71">
        <f>各序列技能计算!AU4</f>
        <v>0</v>
      </c>
      <c r="T66" s="72">
        <v>1.2</v>
      </c>
      <c r="U66" s="70" t="s">
        <v>1149</v>
      </c>
      <c r="V66" s="71">
        <f>IF(各序列技能计算!AU6&gt;=85,各序列技能计算!AU6,IF(各序列技能计算!AU6*1.2&gt;=70,IF(各序列技能计算!AU6*1.2&gt;=85,85,各序列技能计算!AU6*1.2),70))</f>
        <v>70</v>
      </c>
      <c r="W66" s="72"/>
      <c r="X66" s="70"/>
      <c r="Y66" s="71">
        <f>各序列技能计算!BA2</f>
        <v>0</v>
      </c>
      <c r="Z66" s="72"/>
      <c r="AA66" s="70"/>
      <c r="AB66" s="71">
        <f>各序列技能计算!BA4</f>
        <v>0</v>
      </c>
      <c r="AC66" s="72">
        <v>1.1</v>
      </c>
      <c r="AD66" s="70" t="s">
        <v>1219</v>
      </c>
      <c r="AE66" s="71">
        <f>IF((各序列技能计算!AO8+各序列技能计算!AZ8)&gt;=185,各序列技能计算!AO8+各序列技能计算!AZ8,IF((各序列技能计算!AO8+各序列技能计算!AZ8)*1.1&gt;=140,IF((各序列技能计算!AO8+各序列技能计算!AZ8)*1.1&gt;=185,185,(各序列技能计算!AO8+各序列技能计算!AZ8)*1.1),140))</f>
        <v>140</v>
      </c>
      <c r="AF66" s="72"/>
      <c r="AG66" s="70"/>
      <c r="AH66" s="89"/>
    </row>
    <row r="67" s="25" customFormat="1" ht="20.25" spans="1:34">
      <c r="A67" s="58">
        <v>12</v>
      </c>
      <c r="B67" s="59" t="s">
        <v>592</v>
      </c>
      <c r="C67" s="60" t="s">
        <v>1220</v>
      </c>
      <c r="D67" s="61">
        <f>各序列技能计算!C18*0.6</f>
        <v>0</v>
      </c>
      <c r="E67" s="62"/>
      <c r="F67" s="63"/>
      <c r="G67" s="64">
        <f>各序列技能计算!AO2</f>
        <v>0</v>
      </c>
      <c r="H67" s="65"/>
      <c r="I67" s="63"/>
      <c r="J67" s="64">
        <f>各序列技能计算!AU2</f>
        <v>0</v>
      </c>
      <c r="K67" s="65">
        <v>1.1</v>
      </c>
      <c r="L67" s="63" t="s">
        <v>1162</v>
      </c>
      <c r="M67" s="64">
        <f>IF(各序列技能计算!AO4&gt;=65,各序列技能计算!AO4,IF(各序列技能计算!AO4*1.1&gt;=50,IF(各序列技能计算!AO4*1.1&gt;=65,65,各序列技能计算!AO4*1.1),50))</f>
        <v>50</v>
      </c>
      <c r="N67" s="65"/>
      <c r="O67" s="63"/>
      <c r="P67" s="64">
        <f>各序列技能计算!AO6</f>
        <v>0</v>
      </c>
      <c r="Q67" s="65"/>
      <c r="R67" s="63"/>
      <c r="S67" s="64">
        <f>各序列技能计算!AU4</f>
        <v>0</v>
      </c>
      <c r="T67" s="65"/>
      <c r="U67" s="63"/>
      <c r="V67" s="64">
        <f>各序列技能计算!AU6</f>
        <v>0</v>
      </c>
      <c r="W67" s="65"/>
      <c r="X67" s="63"/>
      <c r="Y67" s="64">
        <f>各序列技能计算!BA2</f>
        <v>0</v>
      </c>
      <c r="Z67" s="65"/>
      <c r="AA67" s="63"/>
      <c r="AB67" s="64">
        <f>各序列技能计算!BA4</f>
        <v>0</v>
      </c>
      <c r="AC67" s="65">
        <v>1.2</v>
      </c>
      <c r="AD67" s="63" t="s">
        <v>1221</v>
      </c>
      <c r="AE67" s="64">
        <f>IF((各序列技能计算!AO8+各序列技能计算!AZ8)&gt;=340,各序列技能计算!AO8+各序列技能计算!AZ8,IF((各序列技能计算!AO8+各序列技能计算!AZ8)*1.2&gt;=320,IF((各序列技能计算!AO8+各序列技能计算!AZ8)*1.2&gt;=340,340,(各序列技能计算!AO8+各序列技能计算!AZ8)*1.2),320))</f>
        <v>320</v>
      </c>
      <c r="AF67" s="65"/>
      <c r="AG67" s="63"/>
      <c r="AH67" s="90"/>
    </row>
    <row r="68" ht="20.25" spans="1:34">
      <c r="A68" s="50">
        <v>13</v>
      </c>
      <c r="B68" s="66" t="s">
        <v>593</v>
      </c>
      <c r="C68" s="67" t="s">
        <v>1201</v>
      </c>
      <c r="D68" s="68">
        <f>各序列技能计算!I12+各序列技能计算!C12</f>
        <v>0</v>
      </c>
      <c r="E68" s="69">
        <v>1.1</v>
      </c>
      <c r="F68" s="70" t="s">
        <v>1205</v>
      </c>
      <c r="G68" s="71">
        <f>IF(各序列技能计算!AO2&gt;=95,各序列技能计算!AO2,IF(各序列技能计算!AO2*1.1&gt;=75,IF(各序列技能计算!AO2*1.1&gt;=95,95,各序列技能计算!AO2*1.1),75))</f>
        <v>75</v>
      </c>
      <c r="H68" s="72">
        <v>1.2</v>
      </c>
      <c r="I68" s="70" t="s">
        <v>1188</v>
      </c>
      <c r="J68" s="71">
        <f>IF(各序列技能计算!AU2&gt;=90,各序列技能计算!AU2,IF(各序列技能计算!AU2*1.2&gt;=75,IF(各序列技能计算!AU2*1.2&gt;=90,90,各序列技能计算!AU2*1.2),75))</f>
        <v>75</v>
      </c>
      <c r="K68" s="72">
        <v>1.1</v>
      </c>
      <c r="L68" s="70" t="s">
        <v>1222</v>
      </c>
      <c r="M68" s="71">
        <f>IF(各序列技能计算!AO4&gt;=85,各序列技能计算!AO4,IF(各序列技能计算!AO4*1.1&gt;=60,IF(各序列技能计算!AO4*1.1&gt;=85,85,各序列技能计算!AO4*1.1),60))</f>
        <v>60</v>
      </c>
      <c r="N68" s="72">
        <v>1.1</v>
      </c>
      <c r="O68" s="70" t="s">
        <v>1188</v>
      </c>
      <c r="P68" s="71">
        <f>IF(各序列技能计算!AO6&gt;=90,各序列技能计算!AO6,IF(各序列技能计算!AO6*1.1&gt;=75,IF(各序列技能计算!AO6*1.1&gt;=90,90,各序列技能计算!AO6*1.1),75))</f>
        <v>75</v>
      </c>
      <c r="Q68" s="72"/>
      <c r="R68" s="70"/>
      <c r="S68" s="71">
        <f>各序列技能计算!AU4</f>
        <v>0</v>
      </c>
      <c r="T68" s="72"/>
      <c r="U68" s="70"/>
      <c r="V68" s="71">
        <f>各序列技能计算!AU6</f>
        <v>0</v>
      </c>
      <c r="W68" s="72"/>
      <c r="X68" s="70"/>
      <c r="Y68" s="71">
        <f>各序列技能计算!BA2</f>
        <v>0</v>
      </c>
      <c r="Z68" s="72"/>
      <c r="AA68" s="70"/>
      <c r="AB68" s="71">
        <f>各序列技能计算!BA4</f>
        <v>0</v>
      </c>
      <c r="AC68" s="72"/>
      <c r="AD68" s="70"/>
      <c r="AE68" s="71">
        <f>各序列技能计算!AO8+各序列技能计算!AZ8</f>
        <v>0</v>
      </c>
      <c r="AF68" s="72"/>
      <c r="AG68" s="70"/>
      <c r="AH68" s="89"/>
    </row>
    <row r="69" s="25" customFormat="1" ht="20.25" spans="1:34">
      <c r="A69" s="58">
        <v>14</v>
      </c>
      <c r="B69" s="59" t="s">
        <v>594</v>
      </c>
      <c r="C69" s="60" t="s">
        <v>1175</v>
      </c>
      <c r="D69" s="61">
        <f>各序列技能计算!I16*0.8</f>
        <v>0</v>
      </c>
      <c r="E69" s="62"/>
      <c r="F69" s="63"/>
      <c r="G69" s="64">
        <f>各序列技能计算!AO2</f>
        <v>0</v>
      </c>
      <c r="H69" s="65"/>
      <c r="I69" s="63"/>
      <c r="J69" s="64">
        <f>各序列技能计算!AU2</f>
        <v>0</v>
      </c>
      <c r="K69" s="65">
        <v>1.1</v>
      </c>
      <c r="L69" s="63" t="s">
        <v>1162</v>
      </c>
      <c r="M69" s="64">
        <f>IF(各序列技能计算!AO4&gt;=65,各序列技能计算!AO4,IF(各序列技能计算!AO4*1.1&gt;=50,IF(各序列技能计算!AO4*1.1&gt;=65,65,各序列技能计算!AO4*1.1),50))</f>
        <v>50</v>
      </c>
      <c r="N69" s="65"/>
      <c r="O69" s="63"/>
      <c r="P69" s="64">
        <f>各序列技能计算!AO6</f>
        <v>0</v>
      </c>
      <c r="Q69" s="65"/>
      <c r="R69" s="63"/>
      <c r="S69" s="64">
        <f>各序列技能计算!AU4</f>
        <v>0</v>
      </c>
      <c r="T69" s="65">
        <v>1.2</v>
      </c>
      <c r="U69" s="63" t="s">
        <v>1223</v>
      </c>
      <c r="V69" s="64">
        <f>IF(各序列技能计算!AU6&gt;=110,各序列技能计算!AU6,IF(各序列技能计算!AU6*1.2&gt;=80,IF(各序列技能计算!AU6*1.2&gt;=110,110,各序列技能计算!AU6*1.2),80))</f>
        <v>80</v>
      </c>
      <c r="W69" s="65"/>
      <c r="X69" s="63"/>
      <c r="Y69" s="64">
        <f>各序列技能计算!BA2</f>
        <v>0</v>
      </c>
      <c r="Z69" s="65"/>
      <c r="AA69" s="63"/>
      <c r="AB69" s="64">
        <f>各序列技能计算!BA4</f>
        <v>0</v>
      </c>
      <c r="AC69" s="65"/>
      <c r="AD69" s="63"/>
      <c r="AE69" s="64">
        <f>各序列技能计算!AO8+各序列技能计算!AZ8</f>
        <v>0</v>
      </c>
      <c r="AF69" s="65"/>
      <c r="AG69" s="63"/>
      <c r="AH69" s="90"/>
    </row>
    <row r="70" ht="20.25" spans="1:34">
      <c r="A70" s="50">
        <v>15</v>
      </c>
      <c r="B70" s="66" t="s">
        <v>595</v>
      </c>
      <c r="C70" s="67" t="s">
        <v>1200</v>
      </c>
      <c r="D70" s="68">
        <f>各序列技能计算!C12+各序列技能计算!C14</f>
        <v>0</v>
      </c>
      <c r="E70" s="69">
        <v>1.2</v>
      </c>
      <c r="F70" s="70" t="s">
        <v>1179</v>
      </c>
      <c r="G70" s="71">
        <f>IF(各序列技能计算!AO2&gt;=85,各序列技能计算!AO2,IF(各序列技能计算!AO2*1.2&gt;=65,IF(各序列技能计算!AO2*1.2&gt;=85,85,各序列技能计算!AO2*1.2),65))</f>
        <v>65</v>
      </c>
      <c r="H70" s="72"/>
      <c r="I70" s="70"/>
      <c r="J70" s="71">
        <f>各序列技能计算!AU2</f>
        <v>0</v>
      </c>
      <c r="K70" s="72">
        <v>1.05</v>
      </c>
      <c r="L70" s="70" t="s">
        <v>1209</v>
      </c>
      <c r="M70" s="71">
        <f>IF(各序列技能计算!AO4&gt;=85,各序列技能计算!AO4,IF(各序列技能计算!AO4*1.05&gt;=75,IF(各序列技能计算!AO4*1.05&gt;=85,85,各序列技能计算!AO4*1.05),75))</f>
        <v>75</v>
      </c>
      <c r="N70" s="72"/>
      <c r="O70" s="70"/>
      <c r="P70" s="71">
        <f>各序列技能计算!AO6</f>
        <v>0</v>
      </c>
      <c r="Q70" s="72"/>
      <c r="R70" s="70"/>
      <c r="S70" s="71">
        <f>各序列技能计算!AU4</f>
        <v>0</v>
      </c>
      <c r="T70" s="72"/>
      <c r="U70" s="70"/>
      <c r="V70" s="71">
        <f>各序列技能计算!AU6</f>
        <v>0</v>
      </c>
      <c r="W70" s="72"/>
      <c r="X70" s="70"/>
      <c r="Y70" s="71">
        <f>各序列技能计算!BA2</f>
        <v>0</v>
      </c>
      <c r="Z70" s="72"/>
      <c r="AA70" s="70"/>
      <c r="AB70" s="71">
        <f>各序列技能计算!BA4</f>
        <v>0</v>
      </c>
      <c r="AC70" s="72"/>
      <c r="AD70" s="70"/>
      <c r="AE70" s="71">
        <f>各序列技能计算!AO8+各序列技能计算!AZ8</f>
        <v>0</v>
      </c>
      <c r="AF70" s="72"/>
      <c r="AG70" s="70"/>
      <c r="AH70" s="89"/>
    </row>
    <row r="71" s="25" customFormat="1" ht="20.25" spans="1:34">
      <c r="A71" s="58">
        <v>16</v>
      </c>
      <c r="B71" s="59" t="s">
        <v>596</v>
      </c>
      <c r="C71" s="60" t="s">
        <v>1224</v>
      </c>
      <c r="D71" s="61">
        <f>各序列技能计算!C18*0.6+各序列技能计算!C14</f>
        <v>0</v>
      </c>
      <c r="E71" s="62"/>
      <c r="F71" s="63"/>
      <c r="G71" s="64">
        <f>各序列技能计算!AO2</f>
        <v>0</v>
      </c>
      <c r="H71" s="65"/>
      <c r="I71" s="63"/>
      <c r="J71" s="64">
        <f>各序列技能计算!AU2</f>
        <v>0</v>
      </c>
      <c r="K71" s="65">
        <v>1.1</v>
      </c>
      <c r="L71" s="63" t="s">
        <v>1205</v>
      </c>
      <c r="M71" s="64">
        <f>IF(各序列技能计算!AO4&gt;=95,各序列技能计算!AO4,IF(各序列技能计算!AO4*1.1&gt;=75,IF(各序列技能计算!AO4*1.1&gt;=95,95,各序列技能计算!AO4*1.1),75))</f>
        <v>75</v>
      </c>
      <c r="N71" s="65"/>
      <c r="O71" s="63"/>
      <c r="P71" s="64">
        <f>各序列技能计算!AO6</f>
        <v>0</v>
      </c>
      <c r="Q71" s="65">
        <v>1.2</v>
      </c>
      <c r="R71" s="63" t="s">
        <v>1151</v>
      </c>
      <c r="S71" s="64">
        <f>IF(各序列技能计算!AU4&gt;=75,各序列技能计算!AU4,IF(各序列技能计算!AU4*1.2&gt;=60,IF(各序列技能计算!AU4*1.2&gt;=75,75,各序列技能计算!AU4*1.2),60))</f>
        <v>60</v>
      </c>
      <c r="T71" s="65"/>
      <c r="U71" s="63"/>
      <c r="V71" s="64">
        <f>各序列技能计算!AU6</f>
        <v>0</v>
      </c>
      <c r="W71" s="65"/>
      <c r="X71" s="63"/>
      <c r="Y71" s="64">
        <f>各序列技能计算!BA2</f>
        <v>0</v>
      </c>
      <c r="Z71" s="65"/>
      <c r="AA71" s="63"/>
      <c r="AB71" s="64">
        <f>各序列技能计算!BA4</f>
        <v>0</v>
      </c>
      <c r="AC71" s="65">
        <v>1.2</v>
      </c>
      <c r="AD71" s="63" t="s">
        <v>1225</v>
      </c>
      <c r="AE71" s="64">
        <f>IF((各序列技能计算!AO8+各序列技能计算!AZ8)&gt;=190,各序列技能计算!AO8+各序列技能计算!AZ8,IF((各序列技能计算!AO8+各序列技能计算!AZ8)*1.2&gt;=145,IF((各序列技能计算!AO8+各序列技能计算!AZ8)*1.2&gt;=190,190,(各序列技能计算!AO8+各序列技能计算!AZ8)*1.2),145))</f>
        <v>145</v>
      </c>
      <c r="AF71" s="65"/>
      <c r="AG71" s="63"/>
      <c r="AH71" s="90"/>
    </row>
    <row r="72" ht="20.25" spans="1:34">
      <c r="A72" s="50">
        <v>17</v>
      </c>
      <c r="B72" s="66" t="s">
        <v>597</v>
      </c>
      <c r="C72" s="52" t="s">
        <v>1226</v>
      </c>
      <c r="D72" s="53">
        <f>各序列技能计算!C12+各序列技能计算!C18*0.8</f>
        <v>0</v>
      </c>
      <c r="E72" s="69">
        <v>1.1</v>
      </c>
      <c r="F72" s="55" t="s">
        <v>1188</v>
      </c>
      <c r="G72" s="56">
        <f>IF(各序列技能计算!AO2&gt;=90,各序列技能计算!AO2,IF(各序列技能计算!AO2*1.1&gt;=75,IF(各序列技能计算!AO2*1.1&gt;=90,90,各序列技能计算!AO2*1.1),75))</f>
        <v>75</v>
      </c>
      <c r="H72" s="72"/>
      <c r="I72" s="55"/>
      <c r="J72" s="56">
        <f>各序列技能计算!AU2</f>
        <v>0</v>
      </c>
      <c r="K72" s="72">
        <v>1.1</v>
      </c>
      <c r="L72" s="55" t="s">
        <v>1153</v>
      </c>
      <c r="M72" s="56">
        <f>IF(各序列技能计算!AO4&gt;=75,各序列技能计算!AO4,IF(各序列技能计算!AO4*1.1&gt;=55,IF(各序列技能计算!AO4*1.1&gt;=75,75,各序列技能计算!AO4*1.1),55))</f>
        <v>55</v>
      </c>
      <c r="N72" s="72"/>
      <c r="O72" s="55"/>
      <c r="P72" s="56">
        <f>各序列技能计算!AO6</f>
        <v>0</v>
      </c>
      <c r="Q72" s="72"/>
      <c r="R72" s="55"/>
      <c r="S72" s="56">
        <f>各序列技能计算!AU4</f>
        <v>0</v>
      </c>
      <c r="T72" s="72"/>
      <c r="U72" s="55"/>
      <c r="V72" s="56">
        <f>各序列技能计算!AU6</f>
        <v>0</v>
      </c>
      <c r="W72" s="72"/>
      <c r="X72" s="55"/>
      <c r="Y72" s="56">
        <f>各序列技能计算!BA2</f>
        <v>0</v>
      </c>
      <c r="Z72" s="72"/>
      <c r="AA72" s="55"/>
      <c r="AB72" s="56">
        <f>各序列技能计算!BA4</f>
        <v>0</v>
      </c>
      <c r="AC72" s="72">
        <v>1.1</v>
      </c>
      <c r="AD72" s="55" t="s">
        <v>1227</v>
      </c>
      <c r="AE72" s="56">
        <f>IF((各序列技能计算!AO8+各序列技能计算!AZ8)&gt;=190,各序列技能计算!AO8+各序列技能计算!AZ8,IF((各序列技能计算!AO8+各序列技能计算!AZ8)*1.1&gt;=170,IF((各序列技能计算!AO8+各序列技能计算!AZ8)*1.1&gt;=190,190,(各序列技能计算!AO8+各序列技能计算!AZ8)*1.1),170))</f>
        <v>170</v>
      </c>
      <c r="AF72" s="72"/>
      <c r="AG72" s="55"/>
      <c r="AH72" s="89"/>
    </row>
    <row r="73" s="25" customFormat="1" ht="20.25" spans="1:34">
      <c r="A73" s="58">
        <v>18</v>
      </c>
      <c r="B73" s="59" t="s">
        <v>598</v>
      </c>
      <c r="C73" s="73" t="s">
        <v>1228</v>
      </c>
      <c r="D73" s="74">
        <f>+各序列技能计算!C12+各序列技能计算!I16</f>
        <v>0</v>
      </c>
      <c r="E73" s="62">
        <v>1.1</v>
      </c>
      <c r="F73" s="48" t="s">
        <v>1166</v>
      </c>
      <c r="G73" s="49">
        <f>IF(各序列技能计算!AO2&gt;=80,各序列技能计算!AO2,IF(各序列技能计算!AO2*1.1&gt;=70,IF(各序列技能计算!AO2*1.1&gt;=80,80,各序列技能计算!AO2*1.1),70))</f>
        <v>70</v>
      </c>
      <c r="H73" s="65"/>
      <c r="I73" s="48"/>
      <c r="J73" s="49">
        <f>各序列技能计算!AU2</f>
        <v>0</v>
      </c>
      <c r="K73" s="65"/>
      <c r="L73" s="48"/>
      <c r="M73" s="49">
        <f>各序列技能计算!AO4</f>
        <v>0</v>
      </c>
      <c r="N73" s="65"/>
      <c r="O73" s="48"/>
      <c r="P73" s="49">
        <f>各序列技能计算!AO6</f>
        <v>0</v>
      </c>
      <c r="Q73" s="65"/>
      <c r="R73" s="48"/>
      <c r="S73" s="49">
        <f>各序列技能计算!AU4</f>
        <v>0</v>
      </c>
      <c r="T73" s="65">
        <v>1.1</v>
      </c>
      <c r="U73" s="48"/>
      <c r="V73" s="49">
        <f>IF(各序列技能计算!AU6&gt;=85,各序列技能计算!AU6,IF(各序列技能计算!AU6*1.1&gt;=65,IF(各序列技能计算!AU6*1.1&gt;=85,85,各序列技能计算!AU6*1.1),65))</f>
        <v>65</v>
      </c>
      <c r="W73" s="65"/>
      <c r="X73" s="48"/>
      <c r="Y73" s="49">
        <f>各序列技能计算!BA2</f>
        <v>0</v>
      </c>
      <c r="Z73" s="65"/>
      <c r="AA73" s="48"/>
      <c r="AB73" s="49">
        <f>各序列技能计算!BA4</f>
        <v>0</v>
      </c>
      <c r="AC73" s="65"/>
      <c r="AD73" s="48"/>
      <c r="AE73" s="49">
        <f>各序列技能计算!AO8+各序列技能计算!AZ8</f>
        <v>0</v>
      </c>
      <c r="AF73" s="65"/>
      <c r="AG73" s="48"/>
      <c r="AH73" s="90"/>
    </row>
    <row r="74" ht="20.25" spans="1:34">
      <c r="A74" s="50">
        <v>19</v>
      </c>
      <c r="B74" s="66" t="s">
        <v>599</v>
      </c>
      <c r="C74" s="67" t="s">
        <v>1229</v>
      </c>
      <c r="D74" s="68">
        <f>各序列技能计算!I14+各序列技能计算!C18*0.6</f>
        <v>0</v>
      </c>
      <c r="E74" s="69"/>
      <c r="F74" s="70"/>
      <c r="G74" s="71">
        <f>各序列技能计算!AO2</f>
        <v>0</v>
      </c>
      <c r="H74" s="72"/>
      <c r="I74" s="70"/>
      <c r="J74" s="71">
        <f>各序列技能计算!AU2</f>
        <v>0</v>
      </c>
      <c r="K74" s="72">
        <v>1.1</v>
      </c>
      <c r="L74" s="70" t="s">
        <v>1162</v>
      </c>
      <c r="M74" s="71">
        <f>IF(各序列技能计算!AO4&gt;=65,各序列技能计算!AO4,IF(各序列技能计算!AO4*1.1&gt;=50,IF(各序列技能计算!AO4*1.1&gt;=65,65,各序列技能计算!AO4*1.1),50))</f>
        <v>50</v>
      </c>
      <c r="N74" s="72"/>
      <c r="O74" s="70"/>
      <c r="P74" s="71">
        <f>各序列技能计算!AO6</f>
        <v>0</v>
      </c>
      <c r="Q74" s="72">
        <v>1.5</v>
      </c>
      <c r="R74" s="70" t="s">
        <v>1177</v>
      </c>
      <c r="S74" s="71">
        <f>IF(各序列技能计算!AU4&gt;=90,各序列技能计算!AU4,IF(各序列技能计算!AU4*1.5&gt;=70,IF(各序列技能计算!AU4*1.5&gt;=90,90,各序列技能计算!AU4*1.5),70))</f>
        <v>70</v>
      </c>
      <c r="T74" s="72"/>
      <c r="U74" s="70"/>
      <c r="V74" s="71">
        <f>各序列技能计算!AU6</f>
        <v>0</v>
      </c>
      <c r="W74" s="72"/>
      <c r="X74" s="70"/>
      <c r="Y74" s="71">
        <f>各序列技能计算!BA2</f>
        <v>0</v>
      </c>
      <c r="Z74" s="72"/>
      <c r="AA74" s="70"/>
      <c r="AB74" s="71">
        <f>各序列技能计算!BA4</f>
        <v>0</v>
      </c>
      <c r="AC74" s="72">
        <v>1.2</v>
      </c>
      <c r="AD74" s="70" t="s">
        <v>1230</v>
      </c>
      <c r="AE74" s="71">
        <f>IF((各序列技能计算!AO8+各序列技能计算!AZ8)&gt;=240,各序列技能计算!AO8+各序列技能计算!AZ8,IF((各序列技能计算!AO8+各序列技能计算!AZ8)*1.2&gt;=210,IF((各序列技能计算!AO8+各序列技能计算!AZ8)*1.2&gt;=240,240,(各序列技能计算!AO8+各序列技能计算!AZ8)*1.2),210))</f>
        <v>210</v>
      </c>
      <c r="AF74" s="72"/>
      <c r="AG74" s="70"/>
      <c r="AH74" s="89"/>
    </row>
    <row r="75" s="25" customFormat="1" ht="20.25" spans="1:34">
      <c r="A75" s="58">
        <v>20</v>
      </c>
      <c r="B75" s="59" t="s">
        <v>600</v>
      </c>
      <c r="C75" s="60" t="s">
        <v>1231</v>
      </c>
      <c r="D75" s="61">
        <f>各序列技能计算!C18*1.2</f>
        <v>0</v>
      </c>
      <c r="E75" s="62"/>
      <c r="F75" s="63"/>
      <c r="G75" s="64">
        <f>各序列技能计算!AO2</f>
        <v>0</v>
      </c>
      <c r="H75" s="65"/>
      <c r="I75" s="63"/>
      <c r="J75" s="64">
        <f>各序列技能计算!AU2</f>
        <v>0</v>
      </c>
      <c r="K75" s="65"/>
      <c r="L75" s="63"/>
      <c r="M75" s="64">
        <f>各序列技能计算!AO4</f>
        <v>0</v>
      </c>
      <c r="N75" s="65"/>
      <c r="O75" s="63"/>
      <c r="P75" s="64">
        <f>各序列技能计算!AO6</f>
        <v>0</v>
      </c>
      <c r="Q75" s="65"/>
      <c r="R75" s="63"/>
      <c r="S75" s="64">
        <f>各序列技能计算!AU4</f>
        <v>0</v>
      </c>
      <c r="T75" s="65"/>
      <c r="U75" s="63"/>
      <c r="V75" s="64">
        <f>各序列技能计算!AU6</f>
        <v>0</v>
      </c>
      <c r="W75" s="65"/>
      <c r="X75" s="63"/>
      <c r="Y75" s="64">
        <f>各序列技能计算!BA2</f>
        <v>0</v>
      </c>
      <c r="Z75" s="65"/>
      <c r="AA75" s="63"/>
      <c r="AB75" s="64">
        <f>各序列技能计算!BA4</f>
        <v>0</v>
      </c>
      <c r="AC75" s="65">
        <v>1.1</v>
      </c>
      <c r="AD75" s="63" t="s">
        <v>1232</v>
      </c>
      <c r="AE75" s="64">
        <f>IF((各序列技能计算!AO8+各序列技能计算!AZ8)&gt;=140,各序列技能计算!AO8+各序列技能计算!AZ8,IF((各序列技能计算!AO8+各序列技能计算!AZ8)*1.1&gt;=125,IF((各序列技能计算!AO8+各序列技能计算!AZ8)*1.1&gt;=140,140,(各序列技能计算!AO8+各序列技能计算!AZ8)*1.1),125))</f>
        <v>125</v>
      </c>
      <c r="AF75" s="65"/>
      <c r="AG75" s="63"/>
      <c r="AH75" s="90"/>
    </row>
    <row r="76" ht="20.25" spans="1:34">
      <c r="A76" s="50">
        <v>21</v>
      </c>
      <c r="B76" s="66" t="s">
        <v>601</v>
      </c>
      <c r="C76" s="67" t="s">
        <v>1233</v>
      </c>
      <c r="D76" s="68">
        <f>各序列技能计算!I16+各序列技能计算!O14</f>
        <v>0</v>
      </c>
      <c r="E76" s="69"/>
      <c r="F76" s="70"/>
      <c r="G76" s="71">
        <f>各序列技能计算!AO2</f>
        <v>0</v>
      </c>
      <c r="H76" s="72"/>
      <c r="I76" s="70"/>
      <c r="J76" s="71">
        <f>各序列技能计算!AU2</f>
        <v>0</v>
      </c>
      <c r="K76" s="72"/>
      <c r="L76" s="70"/>
      <c r="M76" s="71">
        <f>各序列技能计算!AO4</f>
        <v>0</v>
      </c>
      <c r="N76" s="72"/>
      <c r="O76" s="70"/>
      <c r="P76" s="71">
        <f>各序列技能计算!AO6</f>
        <v>0</v>
      </c>
      <c r="Q76" s="72"/>
      <c r="R76" s="70"/>
      <c r="S76" s="71">
        <f>各序列技能计算!AU4</f>
        <v>0</v>
      </c>
      <c r="T76" s="72">
        <v>1.2</v>
      </c>
      <c r="U76" s="70" t="s">
        <v>1188</v>
      </c>
      <c r="V76" s="71">
        <f>IF(各序列技能计算!AU6&gt;=90,各序列技能计算!AU6,IF(各序列技能计算!AU6*1.2&gt;=75,IF(各序列技能计算!AU6*1.2&gt;=90,90,各序列技能计算!AU6*1.2),75))</f>
        <v>75</v>
      </c>
      <c r="W76" s="72"/>
      <c r="X76" s="70"/>
      <c r="Y76" s="71">
        <f>各序列技能计算!BA2</f>
        <v>0</v>
      </c>
      <c r="Z76" s="72">
        <v>1.05</v>
      </c>
      <c r="AA76" s="70" t="s">
        <v>1149</v>
      </c>
      <c r="AB76" s="71">
        <f>IF(各序列技能计算!BA4&gt;=85,各序列技能计算!BA4,IF(各序列技能计算!BA4*1.05&gt;=70,IF(各序列技能计算!BA4*1.05&gt;=85,85,各序列技能计算!BA4*1.05),70))</f>
        <v>70</v>
      </c>
      <c r="AC76" s="72"/>
      <c r="AD76" s="70"/>
      <c r="AE76" s="71">
        <f>各序列技能计算!AO8+各序列技能计算!AZ8</f>
        <v>0</v>
      </c>
      <c r="AF76" s="72"/>
      <c r="AG76" s="70"/>
      <c r="AH76" s="89"/>
    </row>
    <row r="77" s="25" customFormat="1" ht="20.25" spans="1:34">
      <c r="A77" s="58">
        <v>22</v>
      </c>
      <c r="B77" s="75" t="s">
        <v>1234</v>
      </c>
      <c r="C77" s="76" t="s">
        <v>1193</v>
      </c>
      <c r="D77" s="77">
        <f>各序列技能计算!C18*0.4</f>
        <v>0</v>
      </c>
      <c r="E77" s="78"/>
      <c r="F77" s="79"/>
      <c r="G77" s="80">
        <f>各序列技能计算!AO2</f>
        <v>0</v>
      </c>
      <c r="H77" s="81"/>
      <c r="I77" s="79"/>
      <c r="J77" s="80">
        <f>各序列技能计算!AU2</f>
        <v>0</v>
      </c>
      <c r="K77" s="81"/>
      <c r="L77" s="79"/>
      <c r="M77" s="80">
        <f>各序列技能计算!AO4</f>
        <v>0</v>
      </c>
      <c r="N77" s="81"/>
      <c r="O77" s="79"/>
      <c r="P77" s="80">
        <f>各序列技能计算!AO6</f>
        <v>0</v>
      </c>
      <c r="Q77" s="81"/>
      <c r="R77" s="79"/>
      <c r="S77" s="80">
        <f>各序列技能计算!AU4</f>
        <v>0</v>
      </c>
      <c r="T77" s="81"/>
      <c r="U77" s="79"/>
      <c r="V77" s="80">
        <f>各序列技能计算!AU6</f>
        <v>0</v>
      </c>
      <c r="W77" s="81"/>
      <c r="X77" s="79"/>
      <c r="Y77" s="80">
        <f>各序列技能计算!BA2</f>
        <v>0</v>
      </c>
      <c r="Z77" s="81"/>
      <c r="AA77" s="79"/>
      <c r="AB77" s="80">
        <f>各序列技能计算!BA4</f>
        <v>0</v>
      </c>
      <c r="AC77" s="81">
        <v>1.2</v>
      </c>
      <c r="AD77" s="79" t="s">
        <v>1235</v>
      </c>
      <c r="AE77" s="80">
        <f>IF((各序列技能计算!AO8+各序列技能计算!AZ8)&gt;=360,各序列技能计算!AO8+各序列技能计算!AZ8,IF((各序列技能计算!AO8+各序列技能计算!AZ8)*1.2&gt;=320,IF((各序列技能计算!AO8+各序列技能计算!AZ8)*1.2&gt;=360,360,(各序列技能计算!AO8+各序列技能计算!AZ8)*1.2),320))</f>
        <v>320</v>
      </c>
      <c r="AF77" s="81"/>
      <c r="AG77" s="79"/>
      <c r="AH77" s="91"/>
    </row>
    <row r="78" ht="14.25"/>
  </sheetData>
  <sheetProtection sheet="1" selectLockedCells="1" objects="1"/>
  <mergeCells count="33">
    <mergeCell ref="A1:D1"/>
    <mergeCell ref="E1:G1"/>
    <mergeCell ref="H1:J1"/>
    <mergeCell ref="K1:M1"/>
    <mergeCell ref="N1:P1"/>
    <mergeCell ref="Q1:S1"/>
    <mergeCell ref="T1:V1"/>
    <mergeCell ref="W1:Y1"/>
    <mergeCell ref="Z1:AB1"/>
    <mergeCell ref="AC1:AE1"/>
    <mergeCell ref="AF1:AH1"/>
    <mergeCell ref="A27:D27"/>
    <mergeCell ref="E27:G27"/>
    <mergeCell ref="H27:J27"/>
    <mergeCell ref="K27:M27"/>
    <mergeCell ref="N27:P27"/>
    <mergeCell ref="Q27:S27"/>
    <mergeCell ref="T27:V27"/>
    <mergeCell ref="W27:Y27"/>
    <mergeCell ref="Z27:AB27"/>
    <mergeCell ref="AC27:AE27"/>
    <mergeCell ref="AF27:AH27"/>
    <mergeCell ref="A53:D53"/>
    <mergeCell ref="E53:G53"/>
    <mergeCell ref="H53:J53"/>
    <mergeCell ref="K53:M53"/>
    <mergeCell ref="N53:P53"/>
    <mergeCell ref="Q53:S53"/>
    <mergeCell ref="T53:V53"/>
    <mergeCell ref="W53:Y53"/>
    <mergeCell ref="Z53:AB53"/>
    <mergeCell ref="AC53:AE53"/>
    <mergeCell ref="AF53:AH53"/>
  </mergeCells>
  <pageMargins left="0.75" right="0.75" top="1" bottom="1" header="0.5" footer="0.5"/>
  <headerFooter/>
  <ignoredErrors>
    <ignoredError sqref="S40 J5 P16 P42" formula="1"/>
  </ignoredError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44"/>
  <sheetViews>
    <sheetView workbookViewId="0">
      <selection activeCell="C8" sqref="C8"/>
    </sheetView>
  </sheetViews>
  <sheetFormatPr defaultColWidth="9" defaultRowHeight="13.5" outlineLevelCol="3"/>
  <cols>
    <col min="1" max="1" width="12.1333333333333" customWidth="1"/>
    <col min="2" max="2" width="15.6333333333333" customWidth="1"/>
    <col min="3" max="3" width="35.8833333333333" customWidth="1"/>
  </cols>
  <sheetData>
    <row r="1" spans="1:4">
      <c r="A1" s="20" t="s">
        <v>152</v>
      </c>
      <c r="B1" s="20" t="s">
        <v>1236</v>
      </c>
      <c r="C1" s="20" t="s">
        <v>758</v>
      </c>
      <c r="D1" s="20" t="s">
        <v>1237</v>
      </c>
    </row>
    <row r="2" spans="1:4">
      <c r="A2" s="20" t="str">
        <f>B2&amp;COUNTIF($B$2:B2,B2)</f>
        <v>怪物1</v>
      </c>
      <c r="B2" s="20" t="s">
        <v>558</v>
      </c>
      <c r="C2" s="21" t="s">
        <v>1238</v>
      </c>
      <c r="D2" s="21">
        <v>10</v>
      </c>
    </row>
    <row r="3" spans="1:4">
      <c r="A3" s="20" t="str">
        <f>B3&amp;COUNTIF($B$2:B3,B3)</f>
        <v>怪物2</v>
      </c>
      <c r="B3" s="20" t="s">
        <v>558</v>
      </c>
      <c r="C3" s="21" t="s">
        <v>1239</v>
      </c>
      <c r="D3" s="21">
        <v>10</v>
      </c>
    </row>
    <row r="4" spans="1:4">
      <c r="A4" s="20" t="str">
        <f>B4&amp;COUNTIF($B$2:B4,B4)</f>
        <v>怪物3</v>
      </c>
      <c r="B4" s="20" t="s">
        <v>558</v>
      </c>
      <c r="C4" s="21" t="s">
        <v>1240</v>
      </c>
      <c r="D4" s="21">
        <v>20</v>
      </c>
    </row>
    <row r="5" spans="1:4">
      <c r="A5" s="20" t="str">
        <f>B5&amp;COUNTIF($B$2:B5,B5)</f>
        <v>机器1</v>
      </c>
      <c r="B5" s="20" t="s">
        <v>580</v>
      </c>
      <c r="C5" s="22" t="s">
        <v>1241</v>
      </c>
      <c r="D5" s="20">
        <v>40</v>
      </c>
    </row>
    <row r="6" spans="1:4">
      <c r="A6" s="20" t="str">
        <f>B6&amp;COUNTIF($B$2:B6,B6)</f>
        <v>机器2</v>
      </c>
      <c r="B6" s="20" t="s">
        <v>580</v>
      </c>
      <c r="C6" s="22" t="s">
        <v>1242</v>
      </c>
      <c r="D6" s="20">
        <v>40</v>
      </c>
    </row>
    <row r="7" spans="1:4">
      <c r="A7" s="20" t="str">
        <f>B7&amp;COUNTIF($B$2:B7,B7)</f>
        <v>机器3</v>
      </c>
      <c r="B7" s="20" t="s">
        <v>580</v>
      </c>
      <c r="C7" s="22" t="s">
        <v>1243</v>
      </c>
      <c r="D7" s="20">
        <v>95</v>
      </c>
    </row>
    <row r="8" spans="1:4">
      <c r="A8" s="20" t="str">
        <f>B8&amp;COUNTIF($B$2:B8,B8)</f>
        <v>机器4</v>
      </c>
      <c r="B8" s="20" t="s">
        <v>580</v>
      </c>
      <c r="C8" s="21" t="s">
        <v>1238</v>
      </c>
      <c r="D8" s="21">
        <v>10</v>
      </c>
    </row>
    <row r="9" spans="1:4">
      <c r="A9" s="20" t="str">
        <f>B9&amp;COUNTIF($B$2:B9,B9)</f>
        <v>机器5</v>
      </c>
      <c r="B9" s="20" t="s">
        <v>580</v>
      </c>
      <c r="C9" s="21" t="s">
        <v>1239</v>
      </c>
      <c r="D9" s="21">
        <v>10</v>
      </c>
    </row>
    <row r="10" spans="1:4">
      <c r="A10" s="20" t="str">
        <f>B10&amp;COUNTIF($B$2:B10,B10)</f>
        <v>机器6</v>
      </c>
      <c r="B10" s="20" t="s">
        <v>580</v>
      </c>
      <c r="C10" s="21" t="s">
        <v>1240</v>
      </c>
      <c r="D10" s="21">
        <v>20</v>
      </c>
    </row>
    <row r="11" spans="1:4">
      <c r="A11" s="20" t="str">
        <f>B11&amp;COUNTIF($B$2:B11,B11)</f>
        <v>幸运儿1</v>
      </c>
      <c r="B11" t="s">
        <v>1234</v>
      </c>
      <c r="C11" s="22" t="s">
        <v>1241</v>
      </c>
      <c r="D11" s="20">
        <v>40</v>
      </c>
    </row>
    <row r="12" spans="1:4">
      <c r="A12" s="20" t="str">
        <f>B12&amp;COUNTIF($B$2:B12,B12)</f>
        <v>幸运儿2</v>
      </c>
      <c r="B12" t="s">
        <v>1234</v>
      </c>
      <c r="C12" s="22" t="s">
        <v>1242</v>
      </c>
      <c r="D12" s="20">
        <v>40</v>
      </c>
    </row>
    <row r="13" spans="1:4">
      <c r="A13" s="20" t="str">
        <f>B13&amp;COUNTIF($B$2:B13,B13)</f>
        <v>幸运儿3</v>
      </c>
      <c r="B13" t="s">
        <v>1234</v>
      </c>
      <c r="C13" t="s">
        <v>56</v>
      </c>
      <c r="D13" s="23" t="s">
        <v>50</v>
      </c>
    </row>
    <row r="14" spans="1:4">
      <c r="A14" s="20" t="str">
        <f>B14&amp;COUNTIF($B$2:B14,B14)</f>
        <v>幸运儿4</v>
      </c>
      <c r="B14" t="s">
        <v>1234</v>
      </c>
      <c r="C14" s="21" t="s">
        <v>1238</v>
      </c>
      <c r="D14" s="21">
        <v>10</v>
      </c>
    </row>
    <row r="15" spans="1:4">
      <c r="A15" s="20" t="str">
        <f>B15&amp;COUNTIF($B$2:B15,B15)</f>
        <v>幸运儿5</v>
      </c>
      <c r="B15" t="s">
        <v>1234</v>
      </c>
      <c r="C15" s="21" t="s">
        <v>1239</v>
      </c>
      <c r="D15" s="21">
        <v>10</v>
      </c>
    </row>
    <row r="16" spans="1:4">
      <c r="A16" s="20" t="str">
        <f>B16&amp;COUNTIF($B$2:B16,B16)</f>
        <v>幸运儿6</v>
      </c>
      <c r="B16" t="s">
        <v>1234</v>
      </c>
      <c r="C16" s="21" t="s">
        <v>1240</v>
      </c>
      <c r="D16" s="21">
        <v>20</v>
      </c>
    </row>
    <row r="17" spans="1:4">
      <c r="A17" s="20" t="str">
        <f>B17&amp;COUNTIF($B$2:B17,B17)</f>
        <v>通识者1</v>
      </c>
      <c r="B17" s="20" t="s">
        <v>557</v>
      </c>
      <c r="C17" s="22" t="s">
        <v>140</v>
      </c>
      <c r="D17" s="20">
        <v>40</v>
      </c>
    </row>
    <row r="18" spans="1:4">
      <c r="A18" s="20" t="str">
        <f>B18&amp;COUNTIF($B$2:B18,B18)</f>
        <v>通识者2</v>
      </c>
      <c r="B18" s="20" t="s">
        <v>557</v>
      </c>
      <c r="C18" s="22" t="s">
        <v>1244</v>
      </c>
      <c r="D18" s="20">
        <v>30</v>
      </c>
    </row>
    <row r="19" spans="1:4">
      <c r="A19" s="20" t="str">
        <f>B19&amp;COUNTIF($B$2:B19,B19)</f>
        <v>通识者3</v>
      </c>
      <c r="B19" s="20" t="s">
        <v>557</v>
      </c>
      <c r="C19" s="21" t="s">
        <v>1238</v>
      </c>
      <c r="D19" s="21">
        <v>10</v>
      </c>
    </row>
    <row r="20" spans="1:4">
      <c r="A20" s="20" t="str">
        <f>B20&amp;COUNTIF($B$2:B20,B20)</f>
        <v>通识者4</v>
      </c>
      <c r="B20" s="20" t="s">
        <v>557</v>
      </c>
      <c r="C20" s="21" t="s">
        <v>1239</v>
      </c>
      <c r="D20" s="21">
        <v>10</v>
      </c>
    </row>
    <row r="21" spans="1:4">
      <c r="A21" s="20" t="str">
        <f>B21&amp;COUNTIF($B$2:B21,B21)</f>
        <v>通识者5</v>
      </c>
      <c r="B21" s="20" t="s">
        <v>557</v>
      </c>
      <c r="C21" s="21" t="s">
        <v>1240</v>
      </c>
      <c r="D21" s="21">
        <v>20</v>
      </c>
    </row>
    <row r="22" spans="1:4">
      <c r="A22" s="20" t="str">
        <f>B22&amp;COUNTIF($B$2:B22,B22)</f>
        <v>考古学家1</v>
      </c>
      <c r="B22" s="20" t="s">
        <v>579</v>
      </c>
      <c r="C22" s="22" t="s">
        <v>140</v>
      </c>
      <c r="D22" s="20">
        <v>40</v>
      </c>
    </row>
    <row r="23" spans="1:4">
      <c r="A23" s="20" t="str">
        <f>B23&amp;COUNTIF($B$2:B23,B23)</f>
        <v>考古学家2</v>
      </c>
      <c r="B23" s="20" t="s">
        <v>579</v>
      </c>
      <c r="C23" s="22" t="s">
        <v>1244</v>
      </c>
      <c r="D23" s="20">
        <v>30</v>
      </c>
    </row>
    <row r="24" spans="1:4">
      <c r="A24" s="20" t="str">
        <f>B24&amp;COUNTIF($B$2:B24,B24)</f>
        <v>考古学家3</v>
      </c>
      <c r="B24" s="20" t="s">
        <v>579</v>
      </c>
      <c r="C24" s="22" t="s">
        <v>1245</v>
      </c>
      <c r="D24" s="20">
        <v>30</v>
      </c>
    </row>
    <row r="25" spans="1:4">
      <c r="A25" s="20" t="str">
        <f>B25&amp;COUNTIF($B$2:B25,B25)</f>
        <v>考古学家4</v>
      </c>
      <c r="B25" s="20" t="s">
        <v>579</v>
      </c>
      <c r="C25" s="22" t="s">
        <v>142</v>
      </c>
      <c r="D25" s="20">
        <v>30</v>
      </c>
    </row>
    <row r="26" spans="1:4">
      <c r="A26" s="20" t="str">
        <f>B26&amp;COUNTIF($B$2:B26,B26)</f>
        <v>考古学家5</v>
      </c>
      <c r="B26" s="20" t="s">
        <v>579</v>
      </c>
      <c r="C26" s="22" t="s">
        <v>125</v>
      </c>
      <c r="D26" s="20">
        <v>30</v>
      </c>
    </row>
    <row r="27" spans="1:4">
      <c r="A27" s="20" t="str">
        <f>B27&amp;COUNTIF($B$2:B27,B27)</f>
        <v>考古学家6</v>
      </c>
      <c r="B27" s="20" t="s">
        <v>579</v>
      </c>
      <c r="C27" s="21" t="s">
        <v>1238</v>
      </c>
      <c r="D27" s="21">
        <v>10</v>
      </c>
    </row>
    <row r="28" spans="1:4">
      <c r="A28" s="20" t="str">
        <f>B28&amp;COUNTIF($B$2:B28,B28)</f>
        <v>考古学家7</v>
      </c>
      <c r="B28" s="20" t="s">
        <v>579</v>
      </c>
      <c r="C28" s="21" t="s">
        <v>1239</v>
      </c>
      <c r="D28" s="21">
        <v>10</v>
      </c>
    </row>
    <row r="29" spans="1:4">
      <c r="A29" s="20" t="str">
        <f>B29&amp;COUNTIF($B$2:B29,B29)</f>
        <v>考古学家8</v>
      </c>
      <c r="B29" s="20" t="s">
        <v>579</v>
      </c>
      <c r="C29" s="21" t="s">
        <v>1240</v>
      </c>
      <c r="D29" s="21">
        <v>20</v>
      </c>
    </row>
    <row r="30" spans="1:4">
      <c r="A30" s="20" t="str">
        <f>B30&amp;COUNTIF($B$2:B30,B30)</f>
        <v>鉴定师1</v>
      </c>
      <c r="B30" t="s">
        <v>601</v>
      </c>
      <c r="C30" s="22" t="s">
        <v>140</v>
      </c>
      <c r="D30" s="20">
        <v>40</v>
      </c>
    </row>
    <row r="31" spans="1:4">
      <c r="A31" s="20" t="str">
        <f>B31&amp;COUNTIF($B$2:B31,B31)</f>
        <v>鉴定师2</v>
      </c>
      <c r="B31" t="s">
        <v>601</v>
      </c>
      <c r="C31" s="22" t="s">
        <v>1244</v>
      </c>
      <c r="D31" s="20">
        <v>30</v>
      </c>
    </row>
    <row r="32" spans="1:4">
      <c r="A32" s="20" t="str">
        <f>B32&amp;COUNTIF($B$2:B32,B32)</f>
        <v>鉴定师3</v>
      </c>
      <c r="B32" t="s">
        <v>601</v>
      </c>
      <c r="C32" s="22" t="s">
        <v>1245</v>
      </c>
      <c r="D32" s="20">
        <v>30</v>
      </c>
    </row>
    <row r="33" spans="1:4">
      <c r="A33" s="20" t="str">
        <f>B33&amp;COUNTIF($B$2:B33,B33)</f>
        <v>鉴定师4</v>
      </c>
      <c r="B33" t="s">
        <v>601</v>
      </c>
      <c r="C33" s="22" t="s">
        <v>142</v>
      </c>
      <c r="D33" s="20">
        <v>30</v>
      </c>
    </row>
    <row r="34" spans="1:4">
      <c r="A34" s="20" t="str">
        <f>B34&amp;COUNTIF($B$2:B34,B34)</f>
        <v>鉴定师5</v>
      </c>
      <c r="B34" t="s">
        <v>601</v>
      </c>
      <c r="C34" s="22" t="s">
        <v>125</v>
      </c>
      <c r="D34" s="20">
        <v>30</v>
      </c>
    </row>
    <row r="35" spans="1:4">
      <c r="A35" s="20" t="str">
        <f>B35&amp;COUNTIF($B$2:B35,B35)</f>
        <v>鉴定师6</v>
      </c>
      <c r="B35" t="s">
        <v>601</v>
      </c>
      <c r="C35" t="s">
        <v>1246</v>
      </c>
      <c r="D35">
        <v>50</v>
      </c>
    </row>
    <row r="36" spans="1:4">
      <c r="A36" s="20" t="str">
        <f>B36&amp;COUNTIF($B$2:B36,B36)</f>
        <v>鉴定师7</v>
      </c>
      <c r="B36" t="s">
        <v>601</v>
      </c>
      <c r="C36" s="21" t="s">
        <v>1238</v>
      </c>
      <c r="D36" s="21">
        <v>10</v>
      </c>
    </row>
    <row r="37" spans="1:4">
      <c r="A37" s="20" t="str">
        <f>B37&amp;COUNTIF($B$2:B37,B37)</f>
        <v>鉴定师8</v>
      </c>
      <c r="B37" t="s">
        <v>601</v>
      </c>
      <c r="C37" s="21" t="s">
        <v>1239</v>
      </c>
      <c r="D37" s="21">
        <v>10</v>
      </c>
    </row>
    <row r="38" spans="1:4">
      <c r="A38" s="20" t="str">
        <f>B38&amp;COUNTIF($B$2:B38,B38)</f>
        <v>鉴定师9</v>
      </c>
      <c r="B38" t="s">
        <v>601</v>
      </c>
      <c r="C38" s="21" t="s">
        <v>1240</v>
      </c>
      <c r="D38" s="21">
        <v>20</v>
      </c>
    </row>
    <row r="39" spans="1:4">
      <c r="A39" s="20" t="str">
        <f>B39&amp;COUNTIF($B$2:B39,B39)</f>
        <v>猎人1</v>
      </c>
      <c r="B39" s="20" t="s">
        <v>296</v>
      </c>
      <c r="C39" s="22" t="s">
        <v>1247</v>
      </c>
      <c r="D39" s="20">
        <v>40</v>
      </c>
    </row>
    <row r="40" spans="1:4">
      <c r="A40" s="20" t="str">
        <f>B40&amp;COUNTIF($B$2:B40,B40)</f>
        <v>猎人2</v>
      </c>
      <c r="B40" s="20" t="s">
        <v>296</v>
      </c>
      <c r="C40" s="22" t="s">
        <v>106</v>
      </c>
      <c r="D40" s="20">
        <v>40</v>
      </c>
    </row>
    <row r="41" spans="1:4">
      <c r="A41" s="20" t="str">
        <f>B41&amp;COUNTIF($B$2:B41,B41)</f>
        <v>猎人3</v>
      </c>
      <c r="B41" s="20" t="s">
        <v>296</v>
      </c>
      <c r="C41" s="21" t="s">
        <v>1238</v>
      </c>
      <c r="D41" s="21">
        <v>10</v>
      </c>
    </row>
    <row r="42" spans="1:4">
      <c r="A42" s="20" t="str">
        <f>B42&amp;COUNTIF($B$2:B42,B42)</f>
        <v>猎人4</v>
      </c>
      <c r="B42" s="20" t="s">
        <v>296</v>
      </c>
      <c r="C42" s="21" t="s">
        <v>1239</v>
      </c>
      <c r="D42" s="21">
        <v>10</v>
      </c>
    </row>
    <row r="43" spans="1:4">
      <c r="A43" s="20" t="str">
        <f>B43&amp;COUNTIF($B$2:B43,B43)</f>
        <v>猎人5</v>
      </c>
      <c r="B43" s="20" t="s">
        <v>296</v>
      </c>
      <c r="C43" s="21" t="s">
        <v>1240</v>
      </c>
      <c r="D43" s="21">
        <v>20</v>
      </c>
    </row>
    <row r="44" spans="1:4">
      <c r="A44" s="20" t="str">
        <f>B44&amp;COUNTIF($B$2:B44,B44)</f>
        <v>挑衅者1</v>
      </c>
      <c r="B44" s="20" t="s">
        <v>578</v>
      </c>
      <c r="C44" s="22" t="s">
        <v>1247</v>
      </c>
      <c r="D44" s="20">
        <v>40</v>
      </c>
    </row>
    <row r="45" spans="1:4">
      <c r="A45" s="20" t="str">
        <f>B45&amp;COUNTIF($B$2:B45,B45)</f>
        <v>挑衅者2</v>
      </c>
      <c r="B45" s="20" t="s">
        <v>578</v>
      </c>
      <c r="C45" s="22" t="s">
        <v>106</v>
      </c>
      <c r="D45" s="20">
        <v>40</v>
      </c>
    </row>
    <row r="46" spans="1:4">
      <c r="A46" s="20" t="str">
        <f>B46&amp;COUNTIF($B$2:B46,B46)</f>
        <v>挑衅者3</v>
      </c>
      <c r="B46" s="20" t="s">
        <v>578</v>
      </c>
      <c r="C46" s="20" t="s">
        <v>1248</v>
      </c>
      <c r="D46" s="20">
        <v>50</v>
      </c>
    </row>
    <row r="47" spans="1:4">
      <c r="A47" s="20" t="str">
        <f>B47&amp;COUNTIF($B$2:B47,B47)</f>
        <v>挑衅者4</v>
      </c>
      <c r="B47" s="20" t="s">
        <v>578</v>
      </c>
      <c r="C47" s="21" t="s">
        <v>1238</v>
      </c>
      <c r="D47" s="21">
        <v>10</v>
      </c>
    </row>
    <row r="48" spans="1:4">
      <c r="A48" s="20" t="str">
        <f>B48&amp;COUNTIF($B$2:B48,B48)</f>
        <v>挑衅者5</v>
      </c>
      <c r="B48" s="20" t="s">
        <v>578</v>
      </c>
      <c r="C48" s="21" t="s">
        <v>1239</v>
      </c>
      <c r="D48" s="21">
        <v>10</v>
      </c>
    </row>
    <row r="49" spans="1:4">
      <c r="A49" s="20" t="str">
        <f>B49&amp;COUNTIF($B$2:B49,B49)</f>
        <v>挑衅者6</v>
      </c>
      <c r="B49" s="20" t="s">
        <v>578</v>
      </c>
      <c r="C49" s="21" t="s">
        <v>1240</v>
      </c>
      <c r="D49" s="21">
        <v>20</v>
      </c>
    </row>
    <row r="50" spans="1:4">
      <c r="A50" s="20" t="str">
        <f>B50&amp;COUNTIF($B$2:B50,B50)</f>
        <v>纵火家1</v>
      </c>
      <c r="B50" s="20" t="s">
        <v>600</v>
      </c>
      <c r="C50" s="22" t="s">
        <v>1247</v>
      </c>
      <c r="D50" s="20">
        <v>40</v>
      </c>
    </row>
    <row r="51" spans="1:4">
      <c r="A51" s="20" t="str">
        <f>B51&amp;COUNTIF($B$2:B51,B51)</f>
        <v>纵火家2</v>
      </c>
      <c r="B51" s="20" t="s">
        <v>600</v>
      </c>
      <c r="C51" s="22" t="s">
        <v>106</v>
      </c>
      <c r="D51" s="20">
        <v>40</v>
      </c>
    </row>
    <row r="52" spans="1:4">
      <c r="A52" s="20" t="str">
        <f>B52&amp;COUNTIF($B$2:B52,B52)</f>
        <v>纵火家3</v>
      </c>
      <c r="B52" s="20" t="s">
        <v>600</v>
      </c>
      <c r="C52" s="20" t="s">
        <v>1248</v>
      </c>
      <c r="D52" s="20">
        <v>50</v>
      </c>
    </row>
    <row r="53" spans="1:4">
      <c r="A53" s="20" t="str">
        <f>B53&amp;COUNTIF($B$2:B53,B53)</f>
        <v>纵火家4</v>
      </c>
      <c r="B53" s="20" t="s">
        <v>600</v>
      </c>
      <c r="C53" s="20" t="s">
        <v>1249</v>
      </c>
      <c r="D53" s="20">
        <v>50</v>
      </c>
    </row>
    <row r="54" spans="1:4">
      <c r="A54" s="20" t="str">
        <f>B54&amp;COUNTIF($B$2:B54,B54)</f>
        <v>纵火家5</v>
      </c>
      <c r="B54" s="20" t="s">
        <v>600</v>
      </c>
      <c r="C54" s="21" t="s">
        <v>1238</v>
      </c>
      <c r="D54" s="21">
        <v>10</v>
      </c>
    </row>
    <row r="55" spans="1:4">
      <c r="A55" s="20" t="str">
        <f>B55&amp;COUNTIF($B$2:B55,B55)</f>
        <v>纵火家6</v>
      </c>
      <c r="B55" s="20" t="s">
        <v>600</v>
      </c>
      <c r="C55" s="21" t="s">
        <v>1239</v>
      </c>
      <c r="D55" s="21">
        <v>10</v>
      </c>
    </row>
    <row r="56" spans="1:4">
      <c r="A56" s="20" t="str">
        <f>B56&amp;COUNTIF($B$2:B56,B56)</f>
        <v>纵火家7</v>
      </c>
      <c r="B56" s="20" t="s">
        <v>600</v>
      </c>
      <c r="C56" s="21" t="s">
        <v>1240</v>
      </c>
      <c r="D56" s="21">
        <v>20</v>
      </c>
    </row>
    <row r="57" spans="1:4">
      <c r="A57" s="20" t="str">
        <f>B57&amp;COUNTIF($B$2:B57,B57)</f>
        <v>阴谋家1</v>
      </c>
      <c r="B57" s="20" t="s">
        <v>621</v>
      </c>
      <c r="C57" s="22" t="s">
        <v>1247</v>
      </c>
      <c r="D57" s="20">
        <v>40</v>
      </c>
    </row>
    <row r="58" spans="1:4">
      <c r="A58" s="20" t="str">
        <f>B58&amp;COUNTIF($B$2:B58,B58)</f>
        <v>阴谋家2</v>
      </c>
      <c r="B58" s="20" t="s">
        <v>621</v>
      </c>
      <c r="C58" s="22" t="s">
        <v>106</v>
      </c>
      <c r="D58" s="20">
        <v>40</v>
      </c>
    </row>
    <row r="59" spans="1:4">
      <c r="A59" s="20" t="str">
        <f>B59&amp;COUNTIF($B$2:B59,B59)</f>
        <v>阴谋家3</v>
      </c>
      <c r="B59" s="20" t="s">
        <v>621</v>
      </c>
      <c r="C59" s="20" t="s">
        <v>1248</v>
      </c>
      <c r="D59" s="20">
        <v>50</v>
      </c>
    </row>
    <row r="60" spans="1:4">
      <c r="A60" s="20" t="str">
        <f>B60&amp;COUNTIF($B$2:B60,B60)</f>
        <v>阴谋家4</v>
      </c>
      <c r="B60" s="20" t="s">
        <v>621</v>
      </c>
      <c r="C60" s="20" t="s">
        <v>1249</v>
      </c>
      <c r="D60" s="20">
        <v>50</v>
      </c>
    </row>
    <row r="61" spans="1:4">
      <c r="A61" s="20" t="str">
        <f>B61&amp;COUNTIF($B$2:B61,B61)</f>
        <v>阴谋家5</v>
      </c>
      <c r="B61" s="20" t="s">
        <v>621</v>
      </c>
      <c r="C61" s="22" t="s">
        <v>76</v>
      </c>
      <c r="D61" s="20">
        <v>40</v>
      </c>
    </row>
    <row r="62" spans="1:4">
      <c r="A62" s="20" t="str">
        <f>B62&amp;COUNTIF($B$2:B62,B62)</f>
        <v>阴谋家6</v>
      </c>
      <c r="B62" s="20" t="s">
        <v>621</v>
      </c>
      <c r="C62" s="22" t="s">
        <v>105</v>
      </c>
      <c r="D62" s="20">
        <v>40</v>
      </c>
    </row>
    <row r="63" spans="1:4">
      <c r="A63" s="20" t="str">
        <f>B63&amp;COUNTIF($B$2:B63,B63)</f>
        <v>阴谋家7</v>
      </c>
      <c r="B63" s="20" t="s">
        <v>621</v>
      </c>
      <c r="C63" s="22" t="s">
        <v>84</v>
      </c>
      <c r="D63" s="20">
        <v>40</v>
      </c>
    </row>
    <row r="64" spans="1:4">
      <c r="A64" s="20" t="str">
        <f>B64&amp;COUNTIF($B$2:B64,B64)</f>
        <v>阴谋家8</v>
      </c>
      <c r="B64" s="20" t="s">
        <v>621</v>
      </c>
      <c r="C64" s="24" t="s">
        <v>1250</v>
      </c>
      <c r="D64" s="20">
        <v>50</v>
      </c>
    </row>
    <row r="65" spans="1:4">
      <c r="A65" s="20" t="str">
        <f>B65&amp;COUNTIF($B$2:B65,B65)</f>
        <v>阴谋家9</v>
      </c>
      <c r="B65" s="20" t="s">
        <v>621</v>
      </c>
      <c r="C65" s="21" t="s">
        <v>1238</v>
      </c>
      <c r="D65" s="21">
        <v>10</v>
      </c>
    </row>
    <row r="66" spans="1:4">
      <c r="A66" s="20" t="str">
        <f>B66&amp;COUNTIF($B$2:B66,B66)</f>
        <v>阴谋家10</v>
      </c>
      <c r="B66" s="20" t="s">
        <v>621</v>
      </c>
      <c r="C66" s="21" t="s">
        <v>1239</v>
      </c>
      <c r="D66" s="21">
        <v>10</v>
      </c>
    </row>
    <row r="67" spans="1:4">
      <c r="A67" s="20" t="str">
        <f>B67&amp;COUNTIF($B$2:B67,B67)</f>
        <v>阴谋家11</v>
      </c>
      <c r="B67" s="20" t="s">
        <v>621</v>
      </c>
      <c r="C67" s="21" t="s">
        <v>1240</v>
      </c>
      <c r="D67" s="21">
        <v>20</v>
      </c>
    </row>
    <row r="68" spans="1:4">
      <c r="A68" s="20" t="str">
        <f>B68&amp;COUNTIF($B$2:B68,B68)</f>
        <v>刺客1</v>
      </c>
      <c r="B68" s="20" t="s">
        <v>556</v>
      </c>
      <c r="C68" s="22" t="s">
        <v>1251</v>
      </c>
      <c r="D68" s="20">
        <v>50</v>
      </c>
    </row>
    <row r="69" spans="1:4">
      <c r="A69" s="20" t="str">
        <f>B69&amp;COUNTIF($B$2:B69,B69)</f>
        <v>刺客2</v>
      </c>
      <c r="B69" s="20" t="s">
        <v>556</v>
      </c>
      <c r="C69" s="22" t="s">
        <v>98</v>
      </c>
      <c r="D69" s="20">
        <v>40</v>
      </c>
    </row>
    <row r="70" spans="1:4">
      <c r="A70" s="20" t="str">
        <f>B70&amp;COUNTIF($B$2:B70,B70)</f>
        <v>刺客3</v>
      </c>
      <c r="B70" s="20" t="s">
        <v>556</v>
      </c>
      <c r="C70" s="22" t="s">
        <v>1252</v>
      </c>
      <c r="D70" s="20">
        <v>95</v>
      </c>
    </row>
    <row r="71" spans="1:4">
      <c r="A71" s="20" t="str">
        <f>B71&amp;COUNTIF($B$2:B71,B71)</f>
        <v>刺客4</v>
      </c>
      <c r="B71" s="20" t="s">
        <v>556</v>
      </c>
      <c r="C71" s="22" t="s">
        <v>1253</v>
      </c>
      <c r="D71" s="20">
        <v>50</v>
      </c>
    </row>
    <row r="72" spans="1:4">
      <c r="A72" s="20" t="str">
        <f>B72&amp;COUNTIF($B$2:B72,B72)</f>
        <v>刺客5</v>
      </c>
      <c r="B72" s="20" t="s">
        <v>556</v>
      </c>
      <c r="C72" s="21" t="s">
        <v>1239</v>
      </c>
      <c r="D72" s="21">
        <v>10</v>
      </c>
    </row>
    <row r="73" spans="1:4">
      <c r="A73" s="20" t="str">
        <f>B73&amp;COUNTIF($B$2:B73,B73)</f>
        <v>刺客6</v>
      </c>
      <c r="B73" s="20" t="s">
        <v>556</v>
      </c>
      <c r="C73" s="21" t="s">
        <v>1240</v>
      </c>
      <c r="D73" s="21">
        <v>20</v>
      </c>
    </row>
    <row r="74" spans="1:4">
      <c r="A74" s="20" t="str">
        <f>B74&amp;COUNTIF($B$2:B74,B74)</f>
        <v>教唆者1</v>
      </c>
      <c r="B74" s="20" t="s">
        <v>577</v>
      </c>
      <c r="C74" s="22" t="s">
        <v>1251</v>
      </c>
      <c r="D74" s="20">
        <v>50</v>
      </c>
    </row>
    <row r="75" spans="1:4">
      <c r="A75" s="20" t="str">
        <f>B75&amp;COUNTIF($B$2:B75,B75)</f>
        <v>教唆者2</v>
      </c>
      <c r="B75" s="20" t="s">
        <v>577</v>
      </c>
      <c r="C75" s="22" t="s">
        <v>98</v>
      </c>
      <c r="D75" s="20">
        <v>40</v>
      </c>
    </row>
    <row r="76" spans="1:4">
      <c r="A76" s="20" t="str">
        <f>B76&amp;COUNTIF($B$2:B76,B76)</f>
        <v>教唆者3</v>
      </c>
      <c r="B76" s="20" t="s">
        <v>577</v>
      </c>
      <c r="C76" s="22" t="s">
        <v>1252</v>
      </c>
      <c r="D76" s="20">
        <v>95</v>
      </c>
    </row>
    <row r="77" spans="1:4">
      <c r="A77" s="20" t="str">
        <f>B77&amp;COUNTIF($B$2:B77,B77)</f>
        <v>教唆者4</v>
      </c>
      <c r="B77" s="20" t="s">
        <v>577</v>
      </c>
      <c r="C77" s="22" t="s">
        <v>1253</v>
      </c>
      <c r="D77" s="20">
        <v>50</v>
      </c>
    </row>
    <row r="78" spans="1:4">
      <c r="A78" s="20" t="str">
        <f>B78&amp;COUNTIF($B$2:B78,B78)</f>
        <v>教唆者5</v>
      </c>
      <c r="B78" s="20" t="s">
        <v>577</v>
      </c>
      <c r="C78" s="20" t="s">
        <v>1254</v>
      </c>
      <c r="D78" s="20">
        <v>50</v>
      </c>
    </row>
    <row r="79" spans="1:4">
      <c r="A79" s="20" t="str">
        <f>B79&amp;COUNTIF($B$2:B79,B79)</f>
        <v>教唆者6</v>
      </c>
      <c r="B79" s="20" t="s">
        <v>577</v>
      </c>
      <c r="C79" s="22" t="s">
        <v>82</v>
      </c>
      <c r="D79" s="20">
        <v>30</v>
      </c>
    </row>
    <row r="80" spans="1:4">
      <c r="A80" s="20" t="str">
        <f>B80&amp;COUNTIF($B$2:B80,B80)</f>
        <v>教唆者7</v>
      </c>
      <c r="B80" s="20" t="s">
        <v>577</v>
      </c>
      <c r="C80" s="21" t="s">
        <v>1239</v>
      </c>
      <c r="D80" s="21">
        <v>10</v>
      </c>
    </row>
    <row r="81" spans="1:4">
      <c r="A81" s="20" t="str">
        <f>B81&amp;COUNTIF($B$2:B81,B81)</f>
        <v>教唆者8</v>
      </c>
      <c r="B81" s="20" t="s">
        <v>577</v>
      </c>
      <c r="C81" s="21" t="s">
        <v>1240</v>
      </c>
      <c r="D81" s="21">
        <v>20</v>
      </c>
    </row>
    <row r="82" spans="1:4">
      <c r="A82" s="20" t="str">
        <f>B82&amp;COUNTIF($B$2:B82,B82)</f>
        <v>女巫1</v>
      </c>
      <c r="B82" t="s">
        <v>599</v>
      </c>
      <c r="C82" s="22" t="s">
        <v>1251</v>
      </c>
      <c r="D82" s="20">
        <v>50</v>
      </c>
    </row>
    <row r="83" spans="1:4">
      <c r="A83" s="20" t="str">
        <f>B83&amp;COUNTIF($B$2:B83,B83)</f>
        <v>女巫2</v>
      </c>
      <c r="B83" t="s">
        <v>599</v>
      </c>
      <c r="C83" s="22" t="s">
        <v>98</v>
      </c>
      <c r="D83" s="20">
        <v>40</v>
      </c>
    </row>
    <row r="84" spans="1:4">
      <c r="A84" s="20" t="str">
        <f>B84&amp;COUNTIF($B$2:B84,B84)</f>
        <v>女巫3</v>
      </c>
      <c r="B84" t="s">
        <v>599</v>
      </c>
      <c r="C84" s="22" t="s">
        <v>1252</v>
      </c>
      <c r="D84" s="20">
        <v>95</v>
      </c>
    </row>
    <row r="85" spans="1:4">
      <c r="A85" s="20" t="str">
        <f>B85&amp;COUNTIF($B$2:B85,B85)</f>
        <v>女巫4</v>
      </c>
      <c r="B85" t="s">
        <v>599</v>
      </c>
      <c r="C85" s="22" t="s">
        <v>1253</v>
      </c>
      <c r="D85" s="20">
        <v>50</v>
      </c>
    </row>
    <row r="86" spans="1:4">
      <c r="A86" s="20" t="str">
        <f>B86&amp;COUNTIF($B$2:B86,B86)</f>
        <v>女巫5</v>
      </c>
      <c r="B86" t="s">
        <v>599</v>
      </c>
      <c r="C86" s="20" t="s">
        <v>1254</v>
      </c>
      <c r="D86" s="20">
        <v>50</v>
      </c>
    </row>
    <row r="87" spans="1:4">
      <c r="A87" s="20" t="str">
        <f>B87&amp;COUNTIF($B$2:B87,B87)</f>
        <v>女巫6</v>
      </c>
      <c r="B87" t="s">
        <v>599</v>
      </c>
      <c r="C87" s="22" t="s">
        <v>82</v>
      </c>
      <c r="D87" s="20">
        <v>30</v>
      </c>
    </row>
    <row r="88" spans="1:4">
      <c r="A88" s="20" t="str">
        <f>B88&amp;COUNTIF($B$2:B88,B88)</f>
        <v>女巫7</v>
      </c>
      <c r="B88" t="s">
        <v>599</v>
      </c>
      <c r="C88" t="s">
        <v>1255</v>
      </c>
      <c r="D88">
        <v>50</v>
      </c>
    </row>
    <row r="89" spans="1:4">
      <c r="A89" s="20" t="str">
        <f>B89&amp;COUNTIF($B$2:B89,B89)</f>
        <v>女巫8</v>
      </c>
      <c r="B89" t="s">
        <v>599</v>
      </c>
      <c r="C89" t="s">
        <v>1256</v>
      </c>
      <c r="D89">
        <v>50</v>
      </c>
    </row>
    <row r="90" spans="1:4">
      <c r="A90" s="20" t="str">
        <f>B90&amp;COUNTIF($B$2:B90,B90)</f>
        <v>女巫9</v>
      </c>
      <c r="B90" t="s">
        <v>599</v>
      </c>
      <c r="C90" t="s">
        <v>1257</v>
      </c>
      <c r="D90">
        <v>50</v>
      </c>
    </row>
    <row r="91" spans="1:4">
      <c r="A91" s="20" t="str">
        <f>B91&amp;COUNTIF($B$2:B91,B91)</f>
        <v>女巫10</v>
      </c>
      <c r="B91" t="s">
        <v>599</v>
      </c>
      <c r="C91" t="s">
        <v>1258</v>
      </c>
      <c r="D91">
        <v>50</v>
      </c>
    </row>
    <row r="92" spans="1:4">
      <c r="A92" s="20" t="str">
        <f>B92&amp;COUNTIF($B$2:B92,B92)</f>
        <v>女巫11</v>
      </c>
      <c r="B92" t="s">
        <v>599</v>
      </c>
      <c r="C92" s="21" t="s">
        <v>1239</v>
      </c>
      <c r="D92" s="21">
        <v>10</v>
      </c>
    </row>
    <row r="93" spans="1:4">
      <c r="A93" s="20" t="str">
        <f>B93&amp;COUNTIF($B$2:B93,B93)</f>
        <v>女巫12</v>
      </c>
      <c r="B93" t="s">
        <v>599</v>
      </c>
      <c r="C93" s="21" t="s">
        <v>1240</v>
      </c>
      <c r="D93" s="21">
        <v>20</v>
      </c>
    </row>
    <row r="94" spans="1:4">
      <c r="A94" s="20" t="str">
        <f>B94&amp;COUNTIF($B$2:B94,B94)</f>
        <v>律师1</v>
      </c>
      <c r="B94" s="20" t="s">
        <v>437</v>
      </c>
      <c r="C94" s="22" t="s">
        <v>76</v>
      </c>
      <c r="D94" s="20">
        <v>40</v>
      </c>
    </row>
    <row r="95" spans="1:4">
      <c r="A95" s="20" t="str">
        <f>B95&amp;COUNTIF($B$2:B95,B95)</f>
        <v>律师2</v>
      </c>
      <c r="B95" s="20" t="s">
        <v>437</v>
      </c>
      <c r="C95" s="22" t="s">
        <v>105</v>
      </c>
      <c r="D95" s="20">
        <v>40</v>
      </c>
    </row>
    <row r="96" spans="1:4">
      <c r="A96" s="20" t="str">
        <f>B96&amp;COUNTIF($B$2:B96,B96)</f>
        <v>律师3</v>
      </c>
      <c r="B96" s="20" t="s">
        <v>437</v>
      </c>
      <c r="C96" s="22" t="s">
        <v>136</v>
      </c>
      <c r="D96" s="20">
        <v>30</v>
      </c>
    </row>
    <row r="97" spans="1:4">
      <c r="A97" s="20" t="str">
        <f>B97&amp;COUNTIF($B$2:B97,B97)</f>
        <v>律师4</v>
      </c>
      <c r="B97" s="20" t="s">
        <v>437</v>
      </c>
      <c r="C97" s="21" t="s">
        <v>1238</v>
      </c>
      <c r="D97" s="21">
        <v>10</v>
      </c>
    </row>
    <row r="98" spans="1:4">
      <c r="A98" s="20" t="str">
        <f>B98&amp;COUNTIF($B$2:B98,B98)</f>
        <v>律师5</v>
      </c>
      <c r="B98" s="20" t="s">
        <v>437</v>
      </c>
      <c r="C98" s="21" t="s">
        <v>1239</v>
      </c>
      <c r="D98" s="21">
        <v>10</v>
      </c>
    </row>
    <row r="99" spans="1:4">
      <c r="A99" s="20" t="str">
        <f>B99&amp;COUNTIF($B$2:B99,B99)</f>
        <v>律师6</v>
      </c>
      <c r="B99" s="20" t="s">
        <v>437</v>
      </c>
      <c r="C99" s="21" t="s">
        <v>1240</v>
      </c>
      <c r="D99" s="21">
        <v>20</v>
      </c>
    </row>
    <row r="100" spans="1:4">
      <c r="A100" s="20" t="str">
        <f>B100&amp;COUNTIF($B$2:B100,B100)</f>
        <v>野蛮人1</v>
      </c>
      <c r="B100" s="20" t="s">
        <v>576</v>
      </c>
      <c r="C100" s="22" t="s">
        <v>76</v>
      </c>
      <c r="D100" s="20">
        <v>40</v>
      </c>
    </row>
    <row r="101" spans="1:4">
      <c r="A101" s="20" t="str">
        <f>B101&amp;COUNTIF($B$2:B101,B101)</f>
        <v>野蛮人2</v>
      </c>
      <c r="B101" s="20" t="s">
        <v>576</v>
      </c>
      <c r="C101" s="22" t="s">
        <v>105</v>
      </c>
      <c r="D101" s="20">
        <v>40</v>
      </c>
    </row>
    <row r="102" spans="1:4">
      <c r="A102" s="20" t="str">
        <f>B102&amp;COUNTIF($B$2:B102,B102)</f>
        <v>野蛮人3</v>
      </c>
      <c r="B102" s="20" t="s">
        <v>576</v>
      </c>
      <c r="C102" s="22" t="s">
        <v>136</v>
      </c>
      <c r="D102" s="20">
        <v>30</v>
      </c>
    </row>
    <row r="103" spans="1:4">
      <c r="A103" s="20" t="str">
        <f>B103&amp;COUNTIF($B$2:B103,B103)</f>
        <v>野蛮人4</v>
      </c>
      <c r="B103" s="20" t="s">
        <v>576</v>
      </c>
      <c r="C103" s="22" t="s">
        <v>108</v>
      </c>
      <c r="D103" s="20">
        <v>40</v>
      </c>
    </row>
    <row r="104" spans="1:4">
      <c r="A104" s="20" t="str">
        <f>B104&amp;COUNTIF($B$2:B104,B104)</f>
        <v>野蛮人5</v>
      </c>
      <c r="B104" s="20" t="s">
        <v>576</v>
      </c>
      <c r="C104" s="21" t="s">
        <v>1238</v>
      </c>
      <c r="D104" s="21">
        <v>10</v>
      </c>
    </row>
    <row r="105" spans="1:4">
      <c r="A105" s="20" t="str">
        <f>B105&amp;COUNTIF($B$2:B105,B105)</f>
        <v>野蛮人6</v>
      </c>
      <c r="B105" s="20" t="s">
        <v>576</v>
      </c>
      <c r="C105" s="21" t="s">
        <v>1239</v>
      </c>
      <c r="D105" s="21">
        <v>10</v>
      </c>
    </row>
    <row r="106" spans="1:4">
      <c r="A106" s="20" t="str">
        <f>B106&amp;COUNTIF($B$2:B106,B106)</f>
        <v>野蛮人7</v>
      </c>
      <c r="B106" s="20" t="s">
        <v>576</v>
      </c>
      <c r="C106" s="21" t="s">
        <v>1240</v>
      </c>
      <c r="D106" s="21">
        <v>20</v>
      </c>
    </row>
    <row r="107" spans="1:4">
      <c r="A107" s="20" t="str">
        <f>B107&amp;COUNTIF($B$2:B107,B107)</f>
        <v>贿赂者1</v>
      </c>
      <c r="B107" s="20" t="s">
        <v>598</v>
      </c>
      <c r="C107" s="22" t="s">
        <v>76</v>
      </c>
      <c r="D107" s="20">
        <v>40</v>
      </c>
    </row>
    <row r="108" spans="1:4">
      <c r="A108" s="20" t="str">
        <f>B108&amp;COUNTIF($B$2:B108,B108)</f>
        <v>贿赂者2</v>
      </c>
      <c r="B108" s="20" t="s">
        <v>598</v>
      </c>
      <c r="C108" s="22" t="s">
        <v>105</v>
      </c>
      <c r="D108" s="20">
        <v>40</v>
      </c>
    </row>
    <row r="109" spans="1:4">
      <c r="A109" s="20" t="str">
        <f>B109&amp;COUNTIF($B$2:B109,B109)</f>
        <v>贿赂者3</v>
      </c>
      <c r="B109" s="20" t="s">
        <v>598</v>
      </c>
      <c r="C109" s="22" t="s">
        <v>136</v>
      </c>
      <c r="D109" s="20">
        <v>30</v>
      </c>
    </row>
    <row r="110" spans="1:4">
      <c r="A110" s="20" t="str">
        <f>B110&amp;COUNTIF($B$2:B110,B110)</f>
        <v>贿赂者4</v>
      </c>
      <c r="B110" s="20" t="s">
        <v>598</v>
      </c>
      <c r="C110" s="22" t="s">
        <v>108</v>
      </c>
      <c r="D110" s="20">
        <v>40</v>
      </c>
    </row>
    <row r="111" spans="1:4">
      <c r="A111" s="20" t="str">
        <f>B111&amp;COUNTIF($B$2:B111,B111)</f>
        <v>贿赂者5</v>
      </c>
      <c r="B111" s="20" t="s">
        <v>598</v>
      </c>
      <c r="C111" s="20" t="s">
        <v>1259</v>
      </c>
      <c r="D111" s="20">
        <v>50</v>
      </c>
    </row>
    <row r="112" spans="1:4">
      <c r="A112" s="20" t="str">
        <f>B112&amp;COUNTIF($B$2:B112,B112)</f>
        <v>贿赂者6</v>
      </c>
      <c r="B112" s="20" t="s">
        <v>598</v>
      </c>
      <c r="C112" s="21" t="s">
        <v>1238</v>
      </c>
      <c r="D112" s="21">
        <v>10</v>
      </c>
    </row>
    <row r="113" spans="1:4">
      <c r="A113" s="20" t="str">
        <f>B113&amp;COUNTIF($B$2:B113,B113)</f>
        <v>贿赂者7</v>
      </c>
      <c r="B113" s="20" t="s">
        <v>598</v>
      </c>
      <c r="C113" s="21" t="s">
        <v>1239</v>
      </c>
      <c r="D113" s="21">
        <v>10</v>
      </c>
    </row>
    <row r="114" spans="1:4">
      <c r="A114" s="20" t="str">
        <f>B114&amp;COUNTIF($B$2:B114,B114)</f>
        <v>贿赂者8</v>
      </c>
      <c r="B114" s="20" t="s">
        <v>598</v>
      </c>
      <c r="C114" s="21" t="s">
        <v>1240</v>
      </c>
      <c r="D114" s="21">
        <v>20</v>
      </c>
    </row>
    <row r="115" spans="1:4">
      <c r="A115" s="20" t="str">
        <f>B115&amp;COUNTIF($B$2:B115,B115)</f>
        <v>仲裁人1</v>
      </c>
      <c r="B115" s="20" t="s">
        <v>555</v>
      </c>
      <c r="C115" s="20" t="s">
        <v>1260</v>
      </c>
      <c r="D115" s="20">
        <v>50</v>
      </c>
    </row>
    <row r="116" spans="1:4">
      <c r="A116" s="20" t="str">
        <f>B116&amp;COUNTIF($B$2:B116,B116)</f>
        <v>仲裁人2</v>
      </c>
      <c r="B116" s="20" t="s">
        <v>555</v>
      </c>
      <c r="C116" s="21" t="s">
        <v>1238</v>
      </c>
      <c r="D116" s="21">
        <v>10</v>
      </c>
    </row>
    <row r="117" spans="1:4">
      <c r="A117" s="20" t="str">
        <f>B117&amp;COUNTIF($B$2:B117,B117)</f>
        <v>仲裁人3</v>
      </c>
      <c r="B117" s="20" t="s">
        <v>555</v>
      </c>
      <c r="C117" s="21" t="s">
        <v>1239</v>
      </c>
      <c r="D117" s="21">
        <v>10</v>
      </c>
    </row>
    <row r="118" spans="1:4">
      <c r="A118" s="20" t="str">
        <f>B118&amp;COUNTIF($B$2:B118,B118)</f>
        <v>仲裁人4</v>
      </c>
      <c r="B118" s="20" t="s">
        <v>555</v>
      </c>
      <c r="C118" s="21" t="s">
        <v>1240</v>
      </c>
      <c r="D118" s="21">
        <v>20</v>
      </c>
    </row>
    <row r="119" spans="1:4">
      <c r="A119" s="20" t="str">
        <f>B119&amp;COUNTIF($B$2:B119,B119)</f>
        <v>治安官1</v>
      </c>
      <c r="B119" s="20" t="s">
        <v>575</v>
      </c>
      <c r="C119" s="20" t="s">
        <v>1260</v>
      </c>
      <c r="D119" s="20">
        <v>50</v>
      </c>
    </row>
    <row r="120" spans="1:4">
      <c r="A120" s="20" t="str">
        <f>B120&amp;COUNTIF($B$2:B120,B120)</f>
        <v>治安官2</v>
      </c>
      <c r="B120" s="20" t="s">
        <v>575</v>
      </c>
      <c r="C120" s="20" t="s">
        <v>1261</v>
      </c>
      <c r="D120" s="20">
        <v>50</v>
      </c>
    </row>
    <row r="121" spans="1:4">
      <c r="A121" s="20" t="str">
        <f>B121&amp;COUNTIF($B$2:B121,B121)</f>
        <v>治安官3</v>
      </c>
      <c r="B121" s="20" t="s">
        <v>575</v>
      </c>
      <c r="C121" s="20" t="s">
        <v>1262</v>
      </c>
      <c r="D121" s="20">
        <v>50</v>
      </c>
    </row>
    <row r="122" spans="1:4">
      <c r="A122" s="20" t="str">
        <f>B122&amp;COUNTIF($B$2:B122,B122)</f>
        <v>治安官4</v>
      </c>
      <c r="B122" s="20" t="s">
        <v>575</v>
      </c>
      <c r="C122" s="20" t="s">
        <v>1263</v>
      </c>
      <c r="D122" s="20">
        <v>50</v>
      </c>
    </row>
    <row r="123" spans="1:4">
      <c r="A123" s="20" t="str">
        <f>B123&amp;COUNTIF($B$2:B123,B123)</f>
        <v>治安官5</v>
      </c>
      <c r="B123" s="20" t="s">
        <v>575</v>
      </c>
      <c r="C123" s="21" t="s">
        <v>1238</v>
      </c>
      <c r="D123" s="21">
        <v>10</v>
      </c>
    </row>
    <row r="124" spans="1:4">
      <c r="A124" s="20" t="str">
        <f>B124&amp;COUNTIF($B$2:B124,B124)</f>
        <v>治安官6</v>
      </c>
      <c r="B124" s="20" t="s">
        <v>575</v>
      </c>
      <c r="C124" s="21" t="s">
        <v>1239</v>
      </c>
      <c r="D124" s="21">
        <v>10</v>
      </c>
    </row>
    <row r="125" spans="1:4">
      <c r="A125" s="20" t="str">
        <f>B125&amp;COUNTIF($B$2:B125,B125)</f>
        <v>治安官7</v>
      </c>
      <c r="B125" s="20" t="s">
        <v>575</v>
      </c>
      <c r="C125" s="21" t="s">
        <v>1240</v>
      </c>
      <c r="D125" s="21">
        <v>20</v>
      </c>
    </row>
    <row r="126" spans="1:4">
      <c r="A126" s="20" t="str">
        <f>B126&amp;COUNTIF($B$2:B126,B126)</f>
        <v>审讯官1</v>
      </c>
      <c r="B126" t="s">
        <v>597</v>
      </c>
      <c r="C126" s="20" t="s">
        <v>1260</v>
      </c>
      <c r="D126" s="20">
        <v>50</v>
      </c>
    </row>
    <row r="127" spans="1:4">
      <c r="A127" s="20" t="str">
        <f>B127&amp;COUNTIF($B$2:B127,B127)</f>
        <v>审讯官2</v>
      </c>
      <c r="B127" t="s">
        <v>597</v>
      </c>
      <c r="C127" s="20" t="s">
        <v>1261</v>
      </c>
      <c r="D127" s="20">
        <v>50</v>
      </c>
    </row>
    <row r="128" spans="1:4">
      <c r="A128" s="20" t="str">
        <f>B128&amp;COUNTIF($B$2:B128,B128)</f>
        <v>审讯官3</v>
      </c>
      <c r="B128" t="s">
        <v>597</v>
      </c>
      <c r="C128" s="20" t="s">
        <v>1262</v>
      </c>
      <c r="D128" s="20">
        <v>50</v>
      </c>
    </row>
    <row r="129" spans="1:4">
      <c r="A129" s="20" t="str">
        <f>B129&amp;COUNTIF($B$2:B129,B129)</f>
        <v>审讯官4</v>
      </c>
      <c r="B129" t="s">
        <v>597</v>
      </c>
      <c r="C129" s="20" t="s">
        <v>1263</v>
      </c>
      <c r="D129" s="20">
        <v>50</v>
      </c>
    </row>
    <row r="130" spans="1:4">
      <c r="A130" s="20" t="str">
        <f>B130&amp;COUNTIF($B$2:B130,B130)</f>
        <v>审讯官5</v>
      </c>
      <c r="B130" t="s">
        <v>597</v>
      </c>
      <c r="C130" t="s">
        <v>1264</v>
      </c>
      <c r="D130">
        <v>50</v>
      </c>
    </row>
    <row r="131" spans="1:4">
      <c r="A131" s="20" t="str">
        <f>B131&amp;COUNTIF($B$2:B131,B131)</f>
        <v>审讯官6</v>
      </c>
      <c r="B131" t="s">
        <v>597</v>
      </c>
      <c r="C131" t="s">
        <v>1265</v>
      </c>
      <c r="D131">
        <v>50</v>
      </c>
    </row>
    <row r="132" spans="1:4">
      <c r="A132" s="20" t="str">
        <f>B132&amp;COUNTIF($B$2:B132,B132)</f>
        <v>审讯官7</v>
      </c>
      <c r="B132" t="s">
        <v>597</v>
      </c>
      <c r="C132" s="21" t="s">
        <v>1238</v>
      </c>
      <c r="D132" s="21">
        <v>10</v>
      </c>
    </row>
    <row r="133" spans="1:4">
      <c r="A133" s="20" t="str">
        <f>B133&amp;COUNTIF($B$2:B133,B133)</f>
        <v>审讯官8</v>
      </c>
      <c r="B133" t="s">
        <v>597</v>
      </c>
      <c r="C133" s="21" t="s">
        <v>1239</v>
      </c>
      <c r="D133" s="21">
        <v>10</v>
      </c>
    </row>
    <row r="134" spans="1:4">
      <c r="A134" s="20" t="str">
        <f>B134&amp;COUNTIF($B$2:B134,B134)</f>
        <v>审讯官9</v>
      </c>
      <c r="B134" t="s">
        <v>597</v>
      </c>
      <c r="C134" s="21" t="s">
        <v>1240</v>
      </c>
      <c r="D134" s="21">
        <v>20</v>
      </c>
    </row>
    <row r="135" spans="1:4">
      <c r="A135" s="20" t="str">
        <f>B135&amp;COUNTIF($B$2:B135,B135)</f>
        <v>药师1</v>
      </c>
      <c r="B135" s="20" t="s">
        <v>554</v>
      </c>
      <c r="C135" s="22" t="s">
        <v>141</v>
      </c>
      <c r="D135" s="20">
        <v>30</v>
      </c>
    </row>
    <row r="136" spans="1:4">
      <c r="A136" s="20" t="str">
        <f>B136&amp;COUNTIF($B$2:B136,B136)</f>
        <v>药师2</v>
      </c>
      <c r="B136" s="20" t="s">
        <v>554</v>
      </c>
      <c r="C136" s="22" t="s">
        <v>779</v>
      </c>
      <c r="D136" s="20">
        <v>30</v>
      </c>
    </row>
    <row r="137" spans="1:4">
      <c r="A137" s="20" t="str">
        <f>B137&amp;COUNTIF($B$2:B137,B137)</f>
        <v>药师3</v>
      </c>
      <c r="B137" s="20" t="s">
        <v>554</v>
      </c>
      <c r="C137" s="22" t="s">
        <v>1239</v>
      </c>
      <c r="D137" s="20">
        <v>50</v>
      </c>
    </row>
    <row r="138" spans="1:4">
      <c r="A138" s="20" t="str">
        <f>B138&amp;COUNTIF($B$2:B138,B138)</f>
        <v>药师4</v>
      </c>
      <c r="B138" s="20" t="s">
        <v>554</v>
      </c>
      <c r="C138" s="21" t="s">
        <v>1238</v>
      </c>
      <c r="D138" s="21">
        <v>10</v>
      </c>
    </row>
    <row r="139" spans="1:4">
      <c r="A139" s="20" t="str">
        <f>B139&amp;COUNTIF($B$2:B139,B139)</f>
        <v>药师5</v>
      </c>
      <c r="B139" s="20" t="s">
        <v>554</v>
      </c>
      <c r="C139" s="21" t="s">
        <v>1240</v>
      </c>
      <c r="D139" s="21">
        <v>20</v>
      </c>
    </row>
    <row r="140" spans="1:4">
      <c r="A140" s="20" t="str">
        <f>B140&amp;COUNTIF($B$2:B140,B140)</f>
        <v>驯兽师1</v>
      </c>
      <c r="B140" s="20" t="s">
        <v>574</v>
      </c>
      <c r="C140" s="22" t="s">
        <v>141</v>
      </c>
      <c r="D140" s="20">
        <v>30</v>
      </c>
    </row>
    <row r="141" spans="1:4">
      <c r="A141" s="20" t="str">
        <f>B141&amp;COUNTIF($B$2:B141,B141)</f>
        <v>驯兽师2</v>
      </c>
      <c r="B141" s="20" t="s">
        <v>574</v>
      </c>
      <c r="C141" s="22" t="s">
        <v>779</v>
      </c>
      <c r="D141" s="20">
        <v>30</v>
      </c>
    </row>
    <row r="142" spans="1:4">
      <c r="A142" s="20" t="str">
        <f>B142&amp;COUNTIF($B$2:B142,B142)</f>
        <v>驯兽师3</v>
      </c>
      <c r="B142" s="20" t="s">
        <v>574</v>
      </c>
      <c r="C142" s="22" t="s">
        <v>1239</v>
      </c>
      <c r="D142" s="20">
        <v>50</v>
      </c>
    </row>
    <row r="143" spans="1:4">
      <c r="A143" s="20" t="str">
        <f>B143&amp;COUNTIF($B$2:B143,B143)</f>
        <v>驯兽师4</v>
      </c>
      <c r="B143" s="20" t="s">
        <v>574</v>
      </c>
      <c r="C143" s="22" t="s">
        <v>1266</v>
      </c>
      <c r="D143" s="20">
        <v>40</v>
      </c>
    </row>
    <row r="144" spans="1:4">
      <c r="A144" s="20" t="str">
        <f>B144&amp;COUNTIF($B$2:B144,B144)</f>
        <v>驯兽师5</v>
      </c>
      <c r="B144" s="20" t="s">
        <v>574</v>
      </c>
      <c r="C144" s="22" t="s">
        <v>784</v>
      </c>
      <c r="D144" s="20">
        <v>30</v>
      </c>
    </row>
    <row r="145" spans="1:4">
      <c r="A145" s="20" t="str">
        <f>B145&amp;COUNTIF($B$2:B145,B145)</f>
        <v>驯兽师6</v>
      </c>
      <c r="B145" s="20" t="s">
        <v>574</v>
      </c>
      <c r="C145" s="22" t="s">
        <v>1267</v>
      </c>
      <c r="D145" s="20">
        <v>50</v>
      </c>
    </row>
    <row r="146" spans="1:4">
      <c r="A146" s="20" t="str">
        <f>B146&amp;COUNTIF($B$2:B146,B146)</f>
        <v>驯兽师7</v>
      </c>
      <c r="B146" s="20" t="s">
        <v>574</v>
      </c>
      <c r="C146" s="21" t="s">
        <v>1238</v>
      </c>
      <c r="D146" s="21">
        <v>10</v>
      </c>
    </row>
    <row r="147" spans="1:4">
      <c r="A147" s="20" t="str">
        <f>B147&amp;COUNTIF($B$2:B147,B147)</f>
        <v>驯兽师8</v>
      </c>
      <c r="B147" s="20" t="s">
        <v>574</v>
      </c>
      <c r="C147" s="21" t="s">
        <v>1240</v>
      </c>
      <c r="D147" s="21">
        <v>20</v>
      </c>
    </row>
    <row r="148" spans="1:4">
      <c r="A148" s="20" t="str">
        <f>B148&amp;COUNTIF($B$2:B148,B148)</f>
        <v>吸血鬼1</v>
      </c>
      <c r="B148" t="s">
        <v>596</v>
      </c>
      <c r="C148" s="22" t="s">
        <v>141</v>
      </c>
      <c r="D148" s="20">
        <v>30</v>
      </c>
    </row>
    <row r="149" spans="1:4">
      <c r="A149" s="20" t="str">
        <f>B149&amp;COUNTIF($B$2:B149,B149)</f>
        <v>吸血鬼2</v>
      </c>
      <c r="B149" t="s">
        <v>596</v>
      </c>
      <c r="C149" s="22" t="s">
        <v>779</v>
      </c>
      <c r="D149" s="20">
        <v>30</v>
      </c>
    </row>
    <row r="150" spans="1:4">
      <c r="A150" s="20" t="str">
        <f>B150&amp;COUNTIF($B$2:B150,B150)</f>
        <v>吸血鬼3</v>
      </c>
      <c r="B150" t="s">
        <v>596</v>
      </c>
      <c r="C150" s="22" t="s">
        <v>1239</v>
      </c>
      <c r="D150" s="20">
        <v>50</v>
      </c>
    </row>
    <row r="151" spans="1:4">
      <c r="A151" s="20" t="str">
        <f>B151&amp;COUNTIF($B$2:B151,B151)</f>
        <v>吸血鬼4</v>
      </c>
      <c r="B151" t="s">
        <v>596</v>
      </c>
      <c r="C151" s="22" t="s">
        <v>1266</v>
      </c>
      <c r="D151" s="20">
        <v>40</v>
      </c>
    </row>
    <row r="152" spans="1:4">
      <c r="A152" s="20" t="str">
        <f>B152&amp;COUNTIF($B$2:B152,B152)</f>
        <v>吸血鬼5</v>
      </c>
      <c r="B152" t="s">
        <v>596</v>
      </c>
      <c r="C152" s="22" t="s">
        <v>784</v>
      </c>
      <c r="D152" s="20">
        <v>30</v>
      </c>
    </row>
    <row r="153" spans="1:4">
      <c r="A153" s="20" t="str">
        <f>B153&amp;COUNTIF($B$2:B153,B153)</f>
        <v>吸血鬼6</v>
      </c>
      <c r="B153" t="s">
        <v>596</v>
      </c>
      <c r="C153" s="22" t="s">
        <v>1267</v>
      </c>
      <c r="D153" s="20">
        <v>50</v>
      </c>
    </row>
    <row r="154" spans="1:4">
      <c r="A154" s="20" t="str">
        <f>B154&amp;COUNTIF($B$2:B154,B154)</f>
        <v>吸血鬼7</v>
      </c>
      <c r="B154" t="s">
        <v>596</v>
      </c>
      <c r="C154" t="s">
        <v>1268</v>
      </c>
      <c r="D154">
        <v>50</v>
      </c>
    </row>
    <row r="155" spans="1:4">
      <c r="A155" s="20" t="str">
        <f>B155&amp;COUNTIF($B$2:B155,B155)</f>
        <v>吸血鬼8</v>
      </c>
      <c r="B155" t="s">
        <v>596</v>
      </c>
      <c r="C155" t="s">
        <v>1269</v>
      </c>
      <c r="D155">
        <v>50</v>
      </c>
    </row>
    <row r="156" spans="1:4">
      <c r="A156" s="20" t="str">
        <f>B156&amp;COUNTIF($B$2:B156,B156)</f>
        <v>吸血鬼9</v>
      </c>
      <c r="B156" t="s">
        <v>596</v>
      </c>
      <c r="C156" s="21" t="s">
        <v>1238</v>
      </c>
      <c r="D156" s="21">
        <v>10</v>
      </c>
    </row>
    <row r="157" spans="1:4">
      <c r="A157" s="20" t="str">
        <f>B157&amp;COUNTIF($B$2:B157,B157)</f>
        <v>吸血鬼10</v>
      </c>
      <c r="B157" t="s">
        <v>596</v>
      </c>
      <c r="C157" s="21" t="s">
        <v>1240</v>
      </c>
      <c r="D157" s="21">
        <v>20</v>
      </c>
    </row>
    <row r="158" spans="1:4">
      <c r="A158" s="20" t="str">
        <f>B158&amp;COUNTIF($B$2:B158,B158)</f>
        <v>耕种者1</v>
      </c>
      <c r="B158" s="20" t="s">
        <v>553</v>
      </c>
      <c r="C158" s="22" t="s">
        <v>142</v>
      </c>
      <c r="D158" s="20">
        <v>30</v>
      </c>
    </row>
    <row r="159" spans="1:4">
      <c r="A159" s="20" t="str">
        <f>B159&amp;COUNTIF($B$2:B159,B159)</f>
        <v>耕种者2</v>
      </c>
      <c r="B159" s="20" t="s">
        <v>553</v>
      </c>
      <c r="C159" s="22" t="s">
        <v>790</v>
      </c>
      <c r="D159" s="20">
        <v>30</v>
      </c>
    </row>
    <row r="160" spans="1:4">
      <c r="A160" s="20" t="str">
        <f>B160&amp;COUNTIF($B$2:B160,B160)</f>
        <v>耕种者3</v>
      </c>
      <c r="B160" s="20" t="s">
        <v>553</v>
      </c>
      <c r="C160" s="21" t="s">
        <v>1238</v>
      </c>
      <c r="D160" s="21">
        <v>10</v>
      </c>
    </row>
    <row r="161" spans="1:4">
      <c r="A161" s="20" t="str">
        <f>B161&amp;COUNTIF($B$2:B161,B161)</f>
        <v>耕种者4</v>
      </c>
      <c r="B161" s="20" t="s">
        <v>553</v>
      </c>
      <c r="C161" s="21" t="s">
        <v>1239</v>
      </c>
      <c r="D161" s="21">
        <v>10</v>
      </c>
    </row>
    <row r="162" spans="1:4">
      <c r="A162" s="20" t="str">
        <f>B162&amp;COUNTIF($B$2:B162,B162)</f>
        <v>耕种者5</v>
      </c>
      <c r="B162" s="20" t="s">
        <v>553</v>
      </c>
      <c r="C162" s="21" t="s">
        <v>1240</v>
      </c>
      <c r="D162" s="21">
        <v>20</v>
      </c>
    </row>
    <row r="163" spans="1:4">
      <c r="A163" s="20" t="str">
        <f>B163&amp;COUNTIF($B$2:B163,B163)</f>
        <v>医师1</v>
      </c>
      <c r="B163" s="20" t="s">
        <v>573</v>
      </c>
      <c r="C163" s="22" t="s">
        <v>142</v>
      </c>
      <c r="D163" s="20">
        <v>30</v>
      </c>
    </row>
    <row r="164" spans="1:4">
      <c r="A164" s="20" t="str">
        <f>B164&amp;COUNTIF($B$2:B164,B164)</f>
        <v>医师2</v>
      </c>
      <c r="B164" s="20" t="s">
        <v>573</v>
      </c>
      <c r="C164" s="22" t="s">
        <v>790</v>
      </c>
      <c r="D164" s="20">
        <v>30</v>
      </c>
    </row>
    <row r="165" spans="1:4">
      <c r="A165" s="20" t="str">
        <f>B165&amp;COUNTIF($B$2:B165,B165)</f>
        <v>医师3</v>
      </c>
      <c r="B165" s="20" t="s">
        <v>573</v>
      </c>
      <c r="C165" s="20" t="s">
        <v>1270</v>
      </c>
      <c r="D165" s="20">
        <v>50</v>
      </c>
    </row>
    <row r="166" spans="1:4">
      <c r="A166" s="20" t="str">
        <f>B166&amp;COUNTIF($B$2:B166,B166)</f>
        <v>医师4</v>
      </c>
      <c r="B166" s="20" t="s">
        <v>573</v>
      </c>
      <c r="C166" s="20" t="s">
        <v>1271</v>
      </c>
      <c r="D166" s="20">
        <v>50</v>
      </c>
    </row>
    <row r="167" spans="1:4">
      <c r="A167" s="20" t="str">
        <f>B167&amp;COUNTIF($B$2:B167,B167)</f>
        <v>医师5</v>
      </c>
      <c r="B167" s="20" t="s">
        <v>573</v>
      </c>
      <c r="C167" s="22" t="s">
        <v>141</v>
      </c>
      <c r="D167" s="20">
        <v>30</v>
      </c>
    </row>
    <row r="168" spans="1:4">
      <c r="A168" s="20" t="str">
        <f>B168&amp;COUNTIF($B$2:B168,B168)</f>
        <v>医师6</v>
      </c>
      <c r="B168" s="20" t="s">
        <v>573</v>
      </c>
      <c r="C168" s="22" t="s">
        <v>123</v>
      </c>
      <c r="D168" s="20">
        <v>40</v>
      </c>
    </row>
    <row r="169" spans="1:4">
      <c r="A169" s="20" t="str">
        <f>B169&amp;COUNTIF($B$2:B169,B169)</f>
        <v>医师7</v>
      </c>
      <c r="B169" s="20" t="s">
        <v>573</v>
      </c>
      <c r="C169" s="22" t="s">
        <v>779</v>
      </c>
      <c r="D169" s="20">
        <v>30</v>
      </c>
    </row>
    <row r="170" spans="1:4">
      <c r="A170" s="20" t="str">
        <f>B170&amp;COUNTIF($B$2:B170,B170)</f>
        <v>医师8</v>
      </c>
      <c r="B170" s="20" t="s">
        <v>573</v>
      </c>
      <c r="C170" s="21" t="s">
        <v>1238</v>
      </c>
      <c r="D170" s="21">
        <v>10</v>
      </c>
    </row>
    <row r="171" spans="1:4">
      <c r="A171" s="20" t="str">
        <f>B171&amp;COUNTIF($B$2:B171,B171)</f>
        <v>医师9</v>
      </c>
      <c r="B171" s="20" t="s">
        <v>573</v>
      </c>
      <c r="C171" s="21" t="s">
        <v>1239</v>
      </c>
      <c r="D171" s="21">
        <v>10</v>
      </c>
    </row>
    <row r="172" spans="1:4">
      <c r="A172" s="20" t="str">
        <f>B172&amp;COUNTIF($B$2:B172,B172)</f>
        <v>医师10</v>
      </c>
      <c r="B172" s="20" t="s">
        <v>573</v>
      </c>
      <c r="C172" s="21" t="s">
        <v>1240</v>
      </c>
      <c r="D172" s="21">
        <v>20</v>
      </c>
    </row>
    <row r="173" spans="1:4">
      <c r="A173" s="20" t="str">
        <f>B173&amp;COUNTIF($B$2:B173,B173)</f>
        <v>丰收祭司1</v>
      </c>
      <c r="B173" s="20" t="s">
        <v>595</v>
      </c>
      <c r="C173" s="22" t="s">
        <v>142</v>
      </c>
      <c r="D173" s="20">
        <v>30</v>
      </c>
    </row>
    <row r="174" spans="1:4">
      <c r="A174" s="20" t="str">
        <f>B174&amp;COUNTIF($B$2:B174,B174)</f>
        <v>丰收祭司2</v>
      </c>
      <c r="B174" s="20" t="s">
        <v>595</v>
      </c>
      <c r="C174" s="22" t="s">
        <v>790</v>
      </c>
      <c r="D174" s="20">
        <v>30</v>
      </c>
    </row>
    <row r="175" spans="1:4">
      <c r="A175" s="20" t="str">
        <f>B175&amp;COUNTIF($B$2:B175,B175)</f>
        <v>丰收祭司3</v>
      </c>
      <c r="B175" s="20" t="s">
        <v>595</v>
      </c>
      <c r="C175" s="20" t="s">
        <v>1270</v>
      </c>
      <c r="D175" s="20">
        <v>50</v>
      </c>
    </row>
    <row r="176" spans="1:4">
      <c r="A176" s="20" t="str">
        <f>B176&amp;COUNTIF($B$2:B176,B176)</f>
        <v>丰收祭司4</v>
      </c>
      <c r="B176" s="20" t="s">
        <v>595</v>
      </c>
      <c r="C176" s="20" t="s">
        <v>1271</v>
      </c>
      <c r="D176" s="20">
        <v>50</v>
      </c>
    </row>
    <row r="177" spans="1:4">
      <c r="A177" s="20" t="str">
        <f>B177&amp;COUNTIF($B$2:B177,B177)</f>
        <v>丰收祭司5</v>
      </c>
      <c r="B177" s="20" t="s">
        <v>595</v>
      </c>
      <c r="C177" s="22" t="s">
        <v>141</v>
      </c>
      <c r="D177" s="20">
        <v>30</v>
      </c>
    </row>
    <row r="178" spans="1:4">
      <c r="A178" s="20" t="str">
        <f>B178&amp;COUNTIF($B$2:B178,B178)</f>
        <v>丰收祭司6</v>
      </c>
      <c r="B178" s="20" t="s">
        <v>595</v>
      </c>
      <c r="C178" s="22" t="s">
        <v>123</v>
      </c>
      <c r="D178" s="20">
        <v>40</v>
      </c>
    </row>
    <row r="179" spans="1:4">
      <c r="A179" s="20" t="str">
        <f>B179&amp;COUNTIF($B$2:B179,B179)</f>
        <v>丰收祭司7</v>
      </c>
      <c r="B179" s="20" t="s">
        <v>595</v>
      </c>
      <c r="C179" s="22" t="s">
        <v>779</v>
      </c>
      <c r="D179" s="20">
        <v>30</v>
      </c>
    </row>
    <row r="180" spans="1:4">
      <c r="A180" s="20" t="str">
        <f>B180&amp;COUNTIF($B$2:B180,B180)</f>
        <v>丰收祭司8</v>
      </c>
      <c r="B180" s="20" t="s">
        <v>595</v>
      </c>
      <c r="C180" s="20" t="s">
        <v>1272</v>
      </c>
      <c r="D180" s="20">
        <v>50</v>
      </c>
    </row>
    <row r="181" spans="1:4">
      <c r="A181" s="20" t="str">
        <f>B181&amp;COUNTIF($B$2:B181,B181)</f>
        <v>丰收祭司9</v>
      </c>
      <c r="B181" s="20" t="s">
        <v>595</v>
      </c>
      <c r="C181" s="22" t="s">
        <v>765</v>
      </c>
      <c r="D181" s="20">
        <v>30</v>
      </c>
    </row>
    <row r="182" spans="1:4">
      <c r="A182" s="20" t="str">
        <f>B182&amp;COUNTIF($B$2:B182,B182)</f>
        <v>丰收祭司10</v>
      </c>
      <c r="B182" s="20" t="s">
        <v>595</v>
      </c>
      <c r="C182" s="21" t="s">
        <v>1238</v>
      </c>
      <c r="D182" s="21">
        <v>10</v>
      </c>
    </row>
    <row r="183" spans="1:4">
      <c r="A183" s="20" t="str">
        <f>B183&amp;COUNTIF($B$2:B183,B183)</f>
        <v>丰收祭司11</v>
      </c>
      <c r="B183" s="20" t="s">
        <v>595</v>
      </c>
      <c r="C183" s="21" t="s">
        <v>1239</v>
      </c>
      <c r="D183" s="21">
        <v>10</v>
      </c>
    </row>
    <row r="184" spans="1:4">
      <c r="A184" s="20" t="str">
        <f>B184&amp;COUNTIF($B$2:B184,B184)</f>
        <v>丰收祭司12</v>
      </c>
      <c r="B184" s="20" t="s">
        <v>595</v>
      </c>
      <c r="C184" s="21" t="s">
        <v>1240</v>
      </c>
      <c r="D184" s="21">
        <v>20</v>
      </c>
    </row>
    <row r="185" spans="1:4">
      <c r="A185" s="20" t="str">
        <f>B185&amp;COUNTIF($B$2:B185,B185)</f>
        <v>阅读者1</v>
      </c>
      <c r="B185" s="20" t="s">
        <v>552</v>
      </c>
      <c r="C185" s="22" t="s">
        <v>137</v>
      </c>
      <c r="D185" s="20">
        <v>30</v>
      </c>
    </row>
    <row r="186" spans="1:4">
      <c r="A186" s="20" t="str">
        <f>B186&amp;COUNTIF($B$2:B186,B186)</f>
        <v>阅读者2</v>
      </c>
      <c r="B186" s="20" t="s">
        <v>552</v>
      </c>
      <c r="C186" s="21" t="s">
        <v>1238</v>
      </c>
      <c r="D186" s="21">
        <v>10</v>
      </c>
    </row>
    <row r="187" spans="1:4">
      <c r="A187" s="20" t="str">
        <f>B187&amp;COUNTIF($B$2:B187,B187)</f>
        <v>阅读者3</v>
      </c>
      <c r="B187" s="20" t="s">
        <v>552</v>
      </c>
      <c r="C187" s="21" t="s">
        <v>1239</v>
      </c>
      <c r="D187" s="21">
        <v>10</v>
      </c>
    </row>
    <row r="188" spans="1:4">
      <c r="A188" s="20" t="str">
        <f>B188&amp;COUNTIF($B$2:B188,B188)</f>
        <v>阅读者4</v>
      </c>
      <c r="B188" s="20" t="s">
        <v>552</v>
      </c>
      <c r="C188" s="21" t="s">
        <v>1240</v>
      </c>
      <c r="D188" s="21">
        <v>20</v>
      </c>
    </row>
    <row r="189" spans="1:4">
      <c r="A189" s="20" t="str">
        <f>B189&amp;COUNTIF($B$2:B189,B189)</f>
        <v>推理学员1</v>
      </c>
      <c r="B189" s="20" t="s">
        <v>572</v>
      </c>
      <c r="C189" s="22" t="s">
        <v>137</v>
      </c>
      <c r="D189" s="20">
        <v>30</v>
      </c>
    </row>
    <row r="190" spans="1:4">
      <c r="A190" s="20" t="str">
        <f>B190&amp;COUNTIF($B$2:B190,B190)</f>
        <v>推理学员2</v>
      </c>
      <c r="B190" s="20" t="s">
        <v>572</v>
      </c>
      <c r="C190" s="22" t="s">
        <v>96</v>
      </c>
      <c r="D190" s="20">
        <v>40</v>
      </c>
    </row>
    <row r="191" spans="1:4">
      <c r="A191" s="20" t="str">
        <f>B191&amp;COUNTIF($B$2:B191,B191)</f>
        <v>推理学员3</v>
      </c>
      <c r="B191" s="20" t="s">
        <v>572</v>
      </c>
      <c r="C191" s="22" t="s">
        <v>1239</v>
      </c>
      <c r="D191" s="20">
        <v>50</v>
      </c>
    </row>
    <row r="192" spans="1:4">
      <c r="A192" s="20" t="str">
        <f>B192&amp;COUNTIF($B$2:B192,B192)</f>
        <v>推理学员4</v>
      </c>
      <c r="B192" s="20" t="s">
        <v>572</v>
      </c>
      <c r="C192" s="22" t="s">
        <v>82</v>
      </c>
      <c r="D192" s="20">
        <v>30</v>
      </c>
    </row>
    <row r="193" spans="1:4">
      <c r="A193" s="20" t="str">
        <f>B193&amp;COUNTIF($B$2:B193,B193)</f>
        <v>推理学员5</v>
      </c>
      <c r="B193" s="20" t="s">
        <v>572</v>
      </c>
      <c r="C193" s="21" t="s">
        <v>1238</v>
      </c>
      <c r="D193" s="21">
        <v>10</v>
      </c>
    </row>
    <row r="194" spans="1:4">
      <c r="A194" s="20" t="str">
        <f>B194&amp;COUNTIF($B$2:B194,B194)</f>
        <v>推理学员6</v>
      </c>
      <c r="B194" s="20" t="s">
        <v>572</v>
      </c>
      <c r="C194" s="21" t="s">
        <v>1240</v>
      </c>
      <c r="D194" s="21">
        <v>20</v>
      </c>
    </row>
    <row r="195" spans="1:4">
      <c r="A195" s="20" t="str">
        <f>B195&amp;COUNTIF($B$2:B195,B195)</f>
        <v>侦探1</v>
      </c>
      <c r="B195" t="s">
        <v>594</v>
      </c>
      <c r="C195" s="22" t="s">
        <v>137</v>
      </c>
      <c r="D195" s="20">
        <v>30</v>
      </c>
    </row>
    <row r="196" spans="1:4">
      <c r="A196" s="20" t="str">
        <f>B196&amp;COUNTIF($B$2:B196,B196)</f>
        <v>侦探2</v>
      </c>
      <c r="B196" t="s">
        <v>594</v>
      </c>
      <c r="C196" s="22" t="s">
        <v>96</v>
      </c>
      <c r="D196" s="20">
        <v>40</v>
      </c>
    </row>
    <row r="197" spans="1:4">
      <c r="A197" s="20" t="str">
        <f>B197&amp;COUNTIF($B$2:B197,B197)</f>
        <v>侦探3</v>
      </c>
      <c r="B197" t="s">
        <v>594</v>
      </c>
      <c r="C197" s="22" t="s">
        <v>1239</v>
      </c>
      <c r="D197" s="20">
        <v>50</v>
      </c>
    </row>
    <row r="198" spans="1:4">
      <c r="A198" s="20" t="str">
        <f>B198&amp;COUNTIF($B$2:B198,B198)</f>
        <v>侦探4</v>
      </c>
      <c r="B198" t="s">
        <v>594</v>
      </c>
      <c r="C198" s="22" t="s">
        <v>82</v>
      </c>
      <c r="D198" s="20">
        <v>30</v>
      </c>
    </row>
    <row r="199" spans="1:4">
      <c r="A199" s="20" t="str">
        <f>B199&amp;COUNTIF($B$2:B199,B199)</f>
        <v>侦探5</v>
      </c>
      <c r="B199" t="s">
        <v>594</v>
      </c>
      <c r="C199" t="s">
        <v>1273</v>
      </c>
      <c r="D199">
        <v>50</v>
      </c>
    </row>
    <row r="200" spans="1:4">
      <c r="A200" s="20" t="str">
        <f>B200&amp;COUNTIF($B$2:B200,B200)</f>
        <v>侦探6</v>
      </c>
      <c r="B200" t="s">
        <v>594</v>
      </c>
      <c r="C200" t="s">
        <v>1274</v>
      </c>
      <c r="D200">
        <v>50</v>
      </c>
    </row>
    <row r="201" spans="1:4">
      <c r="A201" s="20" t="str">
        <f>B201&amp;COUNTIF($B$2:B201,B201)</f>
        <v>侦探7</v>
      </c>
      <c r="B201" t="s">
        <v>594</v>
      </c>
      <c r="C201" s="21" t="s">
        <v>1238</v>
      </c>
      <c r="D201" s="21">
        <v>10</v>
      </c>
    </row>
    <row r="202" spans="1:4">
      <c r="A202" s="20" t="str">
        <f>B202&amp;COUNTIF($B$2:B202,B202)</f>
        <v>侦探8</v>
      </c>
      <c r="B202" t="s">
        <v>594</v>
      </c>
      <c r="C202" s="21" t="s">
        <v>1240</v>
      </c>
      <c r="D202" s="21">
        <v>20</v>
      </c>
    </row>
    <row r="203" spans="1:4">
      <c r="A203" s="20" t="str">
        <f>B203&amp;COUNTIF($B$2:B203,B203)</f>
        <v>战士1</v>
      </c>
      <c r="B203" s="20" t="s">
        <v>551</v>
      </c>
      <c r="C203" s="22" t="s">
        <v>108</v>
      </c>
      <c r="D203" s="20">
        <v>40</v>
      </c>
    </row>
    <row r="204" spans="1:4">
      <c r="A204" s="20" t="str">
        <f>B204&amp;COUNTIF($B$2:B204,B204)</f>
        <v>战士2</v>
      </c>
      <c r="B204" s="20" t="s">
        <v>551</v>
      </c>
      <c r="C204" s="22" t="s">
        <v>1275</v>
      </c>
      <c r="D204" s="20">
        <v>40</v>
      </c>
    </row>
    <row r="205" spans="1:4">
      <c r="A205" s="20" t="str">
        <f>B205&amp;COUNTIF($B$2:B205,B205)</f>
        <v>战士3</v>
      </c>
      <c r="B205" s="20" t="s">
        <v>551</v>
      </c>
      <c r="C205" s="21" t="s">
        <v>1238</v>
      </c>
      <c r="D205" s="21">
        <v>10</v>
      </c>
    </row>
    <row r="206" spans="1:4">
      <c r="A206" s="20" t="str">
        <f>B206&amp;COUNTIF($B$2:B206,B206)</f>
        <v>战士4</v>
      </c>
      <c r="B206" s="20" t="s">
        <v>551</v>
      </c>
      <c r="C206" s="21" t="s">
        <v>1239</v>
      </c>
      <c r="D206" s="21">
        <v>10</v>
      </c>
    </row>
    <row r="207" spans="1:4">
      <c r="A207" s="20" t="str">
        <f>B207&amp;COUNTIF($B$2:B207,B207)</f>
        <v>战士5</v>
      </c>
      <c r="B207" s="20" t="s">
        <v>551</v>
      </c>
      <c r="C207" s="21" t="s">
        <v>1240</v>
      </c>
      <c r="D207" s="21">
        <v>20</v>
      </c>
    </row>
    <row r="208" spans="1:4">
      <c r="A208" s="20" t="str">
        <f>B208&amp;COUNTIF($B$2:B208,B208)</f>
        <v>格斗家1</v>
      </c>
      <c r="B208" s="20" t="s">
        <v>571</v>
      </c>
      <c r="C208" s="22" t="s">
        <v>108</v>
      </c>
      <c r="D208" s="20">
        <v>40</v>
      </c>
    </row>
    <row r="209" spans="1:4">
      <c r="A209" s="20" t="str">
        <f>B209&amp;COUNTIF($B$2:B209,B209)</f>
        <v>格斗家2</v>
      </c>
      <c r="B209" s="20" t="s">
        <v>571</v>
      </c>
      <c r="C209" s="22" t="s">
        <v>1275</v>
      </c>
      <c r="D209" s="20">
        <v>40</v>
      </c>
    </row>
    <row r="210" spans="1:4">
      <c r="A210" s="20" t="str">
        <f>B210&amp;COUNTIF($B$2:B210,B210)</f>
        <v>格斗家3</v>
      </c>
      <c r="B210" s="20" t="s">
        <v>571</v>
      </c>
      <c r="C210" s="22" t="s">
        <v>99</v>
      </c>
      <c r="D210" s="20">
        <f>INT(人物卡!AE13/2)</f>
        <v>0</v>
      </c>
    </row>
    <row r="211" spans="1:4">
      <c r="A211" s="20" t="str">
        <f>B211&amp;COUNTIF($B$2:B211,B211)</f>
        <v>格斗家4</v>
      </c>
      <c r="B211" s="20" t="s">
        <v>571</v>
      </c>
      <c r="C211" s="20" t="s">
        <v>1276</v>
      </c>
      <c r="D211" s="20">
        <v>50</v>
      </c>
    </row>
    <row r="212" spans="1:4">
      <c r="A212" s="20" t="str">
        <f>B212&amp;COUNTIF($B$2:B212,B212)</f>
        <v>格斗家5</v>
      </c>
      <c r="B212" s="20" t="s">
        <v>571</v>
      </c>
      <c r="C212" s="21" t="s">
        <v>1238</v>
      </c>
      <c r="D212" s="21">
        <v>10</v>
      </c>
    </row>
    <row r="213" spans="1:4">
      <c r="A213" s="20" t="str">
        <f>B213&amp;COUNTIF($B$2:B213,B213)</f>
        <v>格斗家6</v>
      </c>
      <c r="B213" s="20" t="s">
        <v>571</v>
      </c>
      <c r="C213" s="21" t="s">
        <v>1239</v>
      </c>
      <c r="D213" s="21">
        <v>10</v>
      </c>
    </row>
    <row r="214" spans="1:4">
      <c r="A214" s="20" t="str">
        <f>B214&amp;COUNTIF($B$2:B214,B214)</f>
        <v>格斗家7</v>
      </c>
      <c r="B214" s="20" t="s">
        <v>571</v>
      </c>
      <c r="C214" s="21" t="s">
        <v>1240</v>
      </c>
      <c r="D214" s="21">
        <v>20</v>
      </c>
    </row>
    <row r="215" spans="1:4">
      <c r="A215" s="20" t="str">
        <f>B215&amp;COUNTIF($B$2:B215,B215)</f>
        <v>武器大师1</v>
      </c>
      <c r="B215" t="s">
        <v>593</v>
      </c>
      <c r="C215" s="22" t="s">
        <v>108</v>
      </c>
      <c r="D215" s="20">
        <v>40</v>
      </c>
    </row>
    <row r="216" spans="1:4">
      <c r="A216" s="20" t="str">
        <f>B216&amp;COUNTIF($B$2:B216,B216)</f>
        <v>武器大师2</v>
      </c>
      <c r="B216" t="s">
        <v>593</v>
      </c>
      <c r="C216" s="22" t="s">
        <v>1275</v>
      </c>
      <c r="D216" s="20">
        <v>40</v>
      </c>
    </row>
    <row r="217" spans="1:4">
      <c r="A217" s="20" t="str">
        <f>B217&amp;COUNTIF($B$2:B217,B217)</f>
        <v>武器大师3</v>
      </c>
      <c r="B217" t="s">
        <v>593</v>
      </c>
      <c r="C217" s="22" t="s">
        <v>99</v>
      </c>
      <c r="D217" s="20">
        <f>INT(人物卡!AE13/2)</f>
        <v>0</v>
      </c>
    </row>
    <row r="218" spans="1:4">
      <c r="A218" s="20" t="str">
        <f>B218&amp;COUNTIF($B$2:B218,B218)</f>
        <v>武器大师4</v>
      </c>
      <c r="B218" t="s">
        <v>593</v>
      </c>
      <c r="C218" s="20" t="s">
        <v>1276</v>
      </c>
      <c r="D218" s="20">
        <v>50</v>
      </c>
    </row>
    <row r="219" spans="1:4">
      <c r="A219" s="20" t="str">
        <f>B219&amp;COUNTIF($B$2:B219,B219)</f>
        <v>武器大师5</v>
      </c>
      <c r="B219" t="s">
        <v>593</v>
      </c>
      <c r="C219" t="s">
        <v>1277</v>
      </c>
      <c r="D219">
        <v>50</v>
      </c>
    </row>
    <row r="220" spans="1:4">
      <c r="A220" s="20" t="str">
        <f>B220&amp;COUNTIF($B$2:B220,B220)</f>
        <v>武器大师6</v>
      </c>
      <c r="B220" t="s">
        <v>593</v>
      </c>
      <c r="C220" s="21" t="s">
        <v>1238</v>
      </c>
      <c r="D220" s="21">
        <v>10</v>
      </c>
    </row>
    <row r="221" spans="1:4">
      <c r="A221" s="20" t="str">
        <f>B221&amp;COUNTIF($B$2:B221,B221)</f>
        <v>武器大师7</v>
      </c>
      <c r="B221" t="s">
        <v>593</v>
      </c>
      <c r="C221" s="21" t="s">
        <v>1239</v>
      </c>
      <c r="D221" s="21">
        <v>10</v>
      </c>
    </row>
    <row r="222" spans="1:4">
      <c r="A222" s="20" t="str">
        <f>B222&amp;COUNTIF($B$2:B222,B222)</f>
        <v>武器大师8</v>
      </c>
      <c r="B222" t="s">
        <v>593</v>
      </c>
      <c r="C222" s="21" t="s">
        <v>1240</v>
      </c>
      <c r="D222" s="21">
        <v>20</v>
      </c>
    </row>
    <row r="223" spans="1:4">
      <c r="A223" s="20" t="str">
        <f>B223&amp;COUNTIF($B$2:B223,B223)</f>
        <v>歌颂者1</v>
      </c>
      <c r="B223" s="20" t="s">
        <v>550</v>
      </c>
      <c r="C223" s="20" t="s">
        <v>1278</v>
      </c>
      <c r="D223" s="20">
        <v>50</v>
      </c>
    </row>
    <row r="224" spans="1:4">
      <c r="A224" s="20" t="str">
        <f>B224&amp;COUNTIF($B$2:B224,B224)</f>
        <v>歌颂者2</v>
      </c>
      <c r="B224" s="20" t="s">
        <v>550</v>
      </c>
      <c r="C224" s="21" t="s">
        <v>1238</v>
      </c>
      <c r="D224" s="21">
        <v>10</v>
      </c>
    </row>
    <row r="225" spans="1:4">
      <c r="A225" s="20" t="str">
        <f>B225&amp;COUNTIF($B$2:B225,B225)</f>
        <v>歌颂者3</v>
      </c>
      <c r="B225" s="20" t="s">
        <v>550</v>
      </c>
      <c r="C225" s="21" t="s">
        <v>1239</v>
      </c>
      <c r="D225" s="21">
        <v>10</v>
      </c>
    </row>
    <row r="226" spans="1:4">
      <c r="A226" s="20" t="str">
        <f>B226&amp;COUNTIF($B$2:B226,B226)</f>
        <v>歌颂者4</v>
      </c>
      <c r="B226" s="20" t="s">
        <v>550</v>
      </c>
      <c r="C226" s="21" t="s">
        <v>1240</v>
      </c>
      <c r="D226" s="21">
        <v>20</v>
      </c>
    </row>
    <row r="227" spans="1:4">
      <c r="A227" s="20" t="str">
        <f>B227&amp;COUNTIF($B$2:B227,B227)</f>
        <v>祈光人1</v>
      </c>
      <c r="B227" s="20" t="s">
        <v>570</v>
      </c>
      <c r="C227" s="20" t="s">
        <v>1278</v>
      </c>
      <c r="D227" s="20">
        <v>50</v>
      </c>
    </row>
    <row r="228" spans="1:4">
      <c r="A228" s="20" t="str">
        <f>B228&amp;COUNTIF($B$2:B228,B228)</f>
        <v>祈光人2</v>
      </c>
      <c r="B228" s="20" t="s">
        <v>570</v>
      </c>
      <c r="C228" s="20" t="s">
        <v>1279</v>
      </c>
      <c r="D228" s="20">
        <v>50</v>
      </c>
    </row>
    <row r="229" spans="1:4">
      <c r="A229" s="20" t="str">
        <f>B229&amp;COUNTIF($B$2:B229,B229)</f>
        <v>祈光人3</v>
      </c>
      <c r="B229" s="20" t="s">
        <v>570</v>
      </c>
      <c r="C229" s="21" t="s">
        <v>1238</v>
      </c>
      <c r="D229" s="21">
        <v>10</v>
      </c>
    </row>
    <row r="230" spans="1:4">
      <c r="A230" s="20" t="str">
        <f>B230&amp;COUNTIF($B$2:B230,B230)</f>
        <v>祈光人4</v>
      </c>
      <c r="B230" s="20" t="s">
        <v>570</v>
      </c>
      <c r="C230" s="21" t="s">
        <v>1239</v>
      </c>
      <c r="D230" s="21">
        <v>10</v>
      </c>
    </row>
    <row r="231" spans="1:4">
      <c r="A231" s="20" t="str">
        <f>B231&amp;COUNTIF($B$2:B231,B231)</f>
        <v>祈光人5</v>
      </c>
      <c r="B231" s="20" t="s">
        <v>570</v>
      </c>
      <c r="C231" s="21" t="s">
        <v>1240</v>
      </c>
      <c r="D231" s="21">
        <v>20</v>
      </c>
    </row>
    <row r="232" spans="1:4">
      <c r="A232" s="20" t="str">
        <f>B232&amp;COUNTIF($B$2:B232,B232)</f>
        <v>太阳神官1</v>
      </c>
      <c r="B232" t="s">
        <v>592</v>
      </c>
      <c r="C232" s="20" t="s">
        <v>1278</v>
      </c>
      <c r="D232" s="20">
        <v>50</v>
      </c>
    </row>
    <row r="233" spans="1:4">
      <c r="A233" s="20" t="str">
        <f>B233&amp;COUNTIF($B$2:B233,B233)</f>
        <v>太阳神官2</v>
      </c>
      <c r="B233" t="s">
        <v>592</v>
      </c>
      <c r="C233" s="20" t="s">
        <v>1279</v>
      </c>
      <c r="D233" s="20">
        <v>50</v>
      </c>
    </row>
    <row r="234" spans="1:4">
      <c r="A234" s="20" t="str">
        <f>B234&amp;COUNTIF($B$2:B234,B234)</f>
        <v>太阳神官3</v>
      </c>
      <c r="B234" t="s">
        <v>592</v>
      </c>
      <c r="C234" t="s">
        <v>1280</v>
      </c>
      <c r="D234">
        <v>50</v>
      </c>
    </row>
    <row r="235" spans="1:4">
      <c r="A235" s="20" t="str">
        <f>B235&amp;COUNTIF($B$2:B235,B235)</f>
        <v>太阳神官4</v>
      </c>
      <c r="B235" t="s">
        <v>592</v>
      </c>
      <c r="C235" s="21" t="s">
        <v>1238</v>
      </c>
      <c r="D235" s="21">
        <v>10</v>
      </c>
    </row>
    <row r="236" spans="1:4">
      <c r="A236" s="20" t="str">
        <f>B236&amp;COUNTIF($B$2:B236,B236)</f>
        <v>太阳神官5</v>
      </c>
      <c r="B236" t="s">
        <v>592</v>
      </c>
      <c r="C236" s="21" t="s">
        <v>1239</v>
      </c>
      <c r="D236" s="21">
        <v>10</v>
      </c>
    </row>
    <row r="237" spans="1:4">
      <c r="A237" s="20" t="str">
        <f>B237&amp;COUNTIF($B$2:B237,B237)</f>
        <v>太阳神官6</v>
      </c>
      <c r="B237" t="s">
        <v>592</v>
      </c>
      <c r="C237" s="21" t="s">
        <v>1240</v>
      </c>
      <c r="D237" s="21">
        <v>20</v>
      </c>
    </row>
    <row r="238" spans="1:4">
      <c r="A238" s="20" t="str">
        <f>B238&amp;COUNTIF($B$2:B238,B238)</f>
        <v>偷盗者1</v>
      </c>
      <c r="B238" s="20" t="s">
        <v>549</v>
      </c>
      <c r="C238" s="22" t="s">
        <v>94</v>
      </c>
      <c r="D238" s="20">
        <v>40</v>
      </c>
    </row>
    <row r="239" spans="1:4">
      <c r="A239" s="20" t="str">
        <f>B239&amp;COUNTIF($B$2:B239,B239)</f>
        <v>偷盗者2</v>
      </c>
      <c r="B239" s="20" t="s">
        <v>549</v>
      </c>
      <c r="C239" s="22" t="s">
        <v>108</v>
      </c>
      <c r="D239" s="20">
        <v>40</v>
      </c>
    </row>
    <row r="240" spans="1:4">
      <c r="A240" s="20" t="str">
        <f>B240&amp;COUNTIF($B$2:B240,B240)</f>
        <v>偷盗者3</v>
      </c>
      <c r="B240" s="20" t="s">
        <v>549</v>
      </c>
      <c r="C240" s="22" t="s">
        <v>1238</v>
      </c>
      <c r="D240" s="20">
        <v>95</v>
      </c>
    </row>
    <row r="241" spans="1:4">
      <c r="A241" s="20" t="str">
        <f>B241&amp;COUNTIF($B$2:B241,B241)</f>
        <v>偷盗者4</v>
      </c>
      <c r="B241" s="20" t="s">
        <v>549</v>
      </c>
      <c r="C241" s="21" t="s">
        <v>1239</v>
      </c>
      <c r="D241" s="21">
        <v>10</v>
      </c>
    </row>
    <row r="242" spans="1:4">
      <c r="A242" s="20" t="str">
        <f>B242&amp;COUNTIF($B$2:B242,B242)</f>
        <v>偷盗者5</v>
      </c>
      <c r="B242" s="20" t="s">
        <v>549</v>
      </c>
      <c r="C242" s="21" t="s">
        <v>1240</v>
      </c>
      <c r="D242" s="21">
        <v>20</v>
      </c>
    </row>
    <row r="243" spans="1:4">
      <c r="A243" s="20" t="str">
        <f>B243&amp;COUNTIF($B$2:B243,B243)</f>
        <v>诈骗师1</v>
      </c>
      <c r="B243" s="20" t="s">
        <v>569</v>
      </c>
      <c r="C243" s="22" t="s">
        <v>94</v>
      </c>
      <c r="D243" s="20">
        <v>40</v>
      </c>
    </row>
    <row r="244" spans="1:4">
      <c r="A244" s="20" t="str">
        <f>B244&amp;COUNTIF($B$2:B244,B244)</f>
        <v>诈骗师2</v>
      </c>
      <c r="B244" s="20" t="s">
        <v>569</v>
      </c>
      <c r="C244" s="22" t="s">
        <v>108</v>
      </c>
      <c r="D244" s="20">
        <v>40</v>
      </c>
    </row>
    <row r="245" spans="1:4">
      <c r="A245" s="20" t="str">
        <f>B245&amp;COUNTIF($B$2:B245,B245)</f>
        <v>诈骗师3</v>
      </c>
      <c r="B245" s="20" t="s">
        <v>569</v>
      </c>
      <c r="C245" s="22" t="s">
        <v>1238</v>
      </c>
      <c r="D245" s="20">
        <v>95</v>
      </c>
    </row>
    <row r="246" spans="1:4">
      <c r="A246" s="20" t="str">
        <f>B246&amp;COUNTIF($B$2:B246,B246)</f>
        <v>诈骗师4</v>
      </c>
      <c r="B246" s="20" t="s">
        <v>569</v>
      </c>
      <c r="C246" s="22" t="s">
        <v>105</v>
      </c>
      <c r="D246" s="22">
        <v>40</v>
      </c>
    </row>
    <row r="247" spans="1:4">
      <c r="A247" s="20" t="str">
        <f>B247&amp;COUNTIF($B$2:B247,B247)</f>
        <v>诈骗师5</v>
      </c>
      <c r="B247" s="20" t="s">
        <v>569</v>
      </c>
      <c r="C247" s="22" t="s">
        <v>91</v>
      </c>
      <c r="D247" s="22">
        <v>40</v>
      </c>
    </row>
    <row r="248" spans="1:4">
      <c r="A248" s="20" t="str">
        <f>B248&amp;COUNTIF($B$2:B248,B248)</f>
        <v>诈骗师6</v>
      </c>
      <c r="B248" s="20" t="s">
        <v>569</v>
      </c>
      <c r="C248" s="22" t="s">
        <v>1281</v>
      </c>
      <c r="D248" s="22">
        <v>50</v>
      </c>
    </row>
    <row r="249" spans="1:4">
      <c r="A249" s="20" t="str">
        <f>B249&amp;COUNTIF($B$2:B249,B249)</f>
        <v>诈骗师7</v>
      </c>
      <c r="B249" s="20" t="s">
        <v>569</v>
      </c>
      <c r="C249" s="21" t="s">
        <v>1239</v>
      </c>
      <c r="D249" s="21">
        <v>10</v>
      </c>
    </row>
    <row r="250" spans="1:4">
      <c r="A250" s="20" t="str">
        <f>B250&amp;COUNTIF($B$2:B250,B250)</f>
        <v>诈骗师8</v>
      </c>
      <c r="B250" s="20" t="s">
        <v>569</v>
      </c>
      <c r="C250" s="21" t="s">
        <v>1240</v>
      </c>
      <c r="D250" s="21">
        <v>20</v>
      </c>
    </row>
    <row r="251" spans="1:4">
      <c r="A251" s="20" t="str">
        <f>B251&amp;COUNTIF($B$2:B251,B251)</f>
        <v>解密学者1</v>
      </c>
      <c r="B251" s="20" t="s">
        <v>591</v>
      </c>
      <c r="C251" s="22" t="s">
        <v>94</v>
      </c>
      <c r="D251" s="20">
        <v>40</v>
      </c>
    </row>
    <row r="252" spans="1:4">
      <c r="A252" s="20" t="str">
        <f>B252&amp;COUNTIF($B$2:B252,B252)</f>
        <v>解密学者2</v>
      </c>
      <c r="B252" s="20" t="s">
        <v>591</v>
      </c>
      <c r="C252" s="22" t="s">
        <v>108</v>
      </c>
      <c r="D252" s="20">
        <v>40</v>
      </c>
    </row>
    <row r="253" spans="1:4">
      <c r="A253" s="20" t="str">
        <f>B253&amp;COUNTIF($B$2:B253,B253)</f>
        <v>解密学者3</v>
      </c>
      <c r="B253" s="20" t="s">
        <v>591</v>
      </c>
      <c r="C253" s="22" t="s">
        <v>1238</v>
      </c>
      <c r="D253" s="20">
        <v>95</v>
      </c>
    </row>
    <row r="254" spans="1:4">
      <c r="A254" s="20" t="str">
        <f>B254&amp;COUNTIF($B$2:B254,B254)</f>
        <v>解密学者4</v>
      </c>
      <c r="B254" s="20" t="s">
        <v>591</v>
      </c>
      <c r="C254" s="22" t="s">
        <v>105</v>
      </c>
      <c r="D254" s="22">
        <v>40</v>
      </c>
    </row>
    <row r="255" spans="1:4">
      <c r="A255" s="20" t="str">
        <f>B255&amp;COUNTIF($B$2:B255,B255)</f>
        <v>解密学者5</v>
      </c>
      <c r="B255" s="20" t="s">
        <v>591</v>
      </c>
      <c r="C255" s="22" t="s">
        <v>91</v>
      </c>
      <c r="D255" s="22">
        <v>40</v>
      </c>
    </row>
    <row r="256" spans="1:4">
      <c r="A256" s="20" t="str">
        <f>B256&amp;COUNTIF($B$2:B256,B256)</f>
        <v>解密学者6</v>
      </c>
      <c r="B256" s="20" t="s">
        <v>591</v>
      </c>
      <c r="C256" s="22" t="s">
        <v>1281</v>
      </c>
      <c r="D256" s="22">
        <v>50</v>
      </c>
    </row>
    <row r="257" spans="1:4">
      <c r="A257" s="20" t="str">
        <f>B257&amp;COUNTIF($B$2:B257,B257)</f>
        <v>解密学者7</v>
      </c>
      <c r="B257" s="20" t="s">
        <v>591</v>
      </c>
      <c r="C257" s="20" t="s">
        <v>1282</v>
      </c>
      <c r="D257" s="20">
        <v>30</v>
      </c>
    </row>
    <row r="258" spans="1:4">
      <c r="A258" s="20" t="str">
        <f>B258&amp;COUNTIF($B$2:B258,B258)</f>
        <v>解密学者8</v>
      </c>
      <c r="B258" s="20" t="s">
        <v>591</v>
      </c>
      <c r="C258" s="20" t="s">
        <v>1239</v>
      </c>
      <c r="D258" s="20">
        <v>50</v>
      </c>
    </row>
    <row r="259" spans="1:4">
      <c r="A259" s="20" t="str">
        <f>B259&amp;COUNTIF($B$2:B259,B259)</f>
        <v>解密学者9</v>
      </c>
      <c r="B259" s="20" t="s">
        <v>591</v>
      </c>
      <c r="C259" s="21" t="s">
        <v>1240</v>
      </c>
      <c r="D259" s="21">
        <v>20</v>
      </c>
    </row>
    <row r="260" spans="1:4">
      <c r="A260" s="20" t="str">
        <f>B260&amp;COUNTIF($B$2:B260,B260)</f>
        <v>学徒1</v>
      </c>
      <c r="B260" s="20" t="s">
        <v>548</v>
      </c>
      <c r="C260" s="20" t="s">
        <v>1283</v>
      </c>
      <c r="D260" s="20">
        <v>50</v>
      </c>
    </row>
    <row r="261" spans="1:4">
      <c r="A261" s="20" t="str">
        <f>B261&amp;COUNTIF($B$2:B261,B261)</f>
        <v>学徒2</v>
      </c>
      <c r="B261" s="20" t="s">
        <v>548</v>
      </c>
      <c r="C261" s="21" t="s">
        <v>1238</v>
      </c>
      <c r="D261" s="21">
        <v>10</v>
      </c>
    </row>
    <row r="262" spans="1:4">
      <c r="A262" s="20" t="str">
        <f>B262&amp;COUNTIF($B$2:B262,B262)</f>
        <v>学徒3</v>
      </c>
      <c r="B262" s="20" t="s">
        <v>548</v>
      </c>
      <c r="C262" s="21" t="s">
        <v>1239</v>
      </c>
      <c r="D262" s="21">
        <v>10</v>
      </c>
    </row>
    <row r="263" spans="1:4">
      <c r="A263" s="20" t="str">
        <f>B263&amp;COUNTIF($B$2:B263,B263)</f>
        <v>学徒4</v>
      </c>
      <c r="B263" s="20" t="s">
        <v>548</v>
      </c>
      <c r="C263" s="21" t="s">
        <v>1240</v>
      </c>
      <c r="D263" s="21">
        <v>20</v>
      </c>
    </row>
    <row r="264" spans="1:4">
      <c r="A264" s="20" t="str">
        <f>B264&amp;COUNTIF($B$2:B264,B264)</f>
        <v>戏法大师1</v>
      </c>
      <c r="B264" s="20" t="s">
        <v>568</v>
      </c>
      <c r="C264" s="20" t="s">
        <v>1283</v>
      </c>
      <c r="D264" s="20">
        <v>50</v>
      </c>
    </row>
    <row r="265" spans="1:4">
      <c r="A265" s="20" t="str">
        <f>B265&amp;COUNTIF($B$2:B265,B265)</f>
        <v>戏法大师2</v>
      </c>
      <c r="B265" s="20" t="s">
        <v>568</v>
      </c>
      <c r="C265" s="20" t="s">
        <v>1284</v>
      </c>
      <c r="D265" s="20">
        <v>50</v>
      </c>
    </row>
    <row r="266" spans="1:4">
      <c r="A266" s="20" t="str">
        <f>B266&amp;COUNTIF($B$2:B266,B266)</f>
        <v>戏法大师3</v>
      </c>
      <c r="B266" s="20" t="s">
        <v>568</v>
      </c>
      <c r="C266" s="21" t="s">
        <v>1238</v>
      </c>
      <c r="D266" s="21">
        <v>10</v>
      </c>
    </row>
    <row r="267" spans="1:4">
      <c r="A267" s="20" t="str">
        <f>B267&amp;COUNTIF($B$2:B267,B267)</f>
        <v>戏法大师4</v>
      </c>
      <c r="B267" s="20" t="s">
        <v>568</v>
      </c>
      <c r="C267" s="21" t="s">
        <v>1239</v>
      </c>
      <c r="D267" s="21">
        <v>10</v>
      </c>
    </row>
    <row r="268" spans="1:4">
      <c r="A268" s="20" t="str">
        <f>B268&amp;COUNTIF($B$2:B268,B268)</f>
        <v>戏法大师5</v>
      </c>
      <c r="B268" s="20" t="s">
        <v>568</v>
      </c>
      <c r="C268" s="21" t="s">
        <v>1240</v>
      </c>
      <c r="D268" s="21">
        <v>20</v>
      </c>
    </row>
    <row r="269" spans="1:4">
      <c r="A269" s="20" t="str">
        <f>B269&amp;COUNTIF($B$2:B269,B269)</f>
        <v>占星人1</v>
      </c>
      <c r="B269" t="s">
        <v>590</v>
      </c>
      <c r="C269" s="20" t="s">
        <v>1283</v>
      </c>
      <c r="D269" s="20">
        <v>50</v>
      </c>
    </row>
    <row r="270" spans="1:4">
      <c r="A270" s="20" t="str">
        <f>B270&amp;COUNTIF($B$2:B270,B270)</f>
        <v>占星人2</v>
      </c>
      <c r="B270" t="s">
        <v>590</v>
      </c>
      <c r="C270" s="20" t="s">
        <v>1284</v>
      </c>
      <c r="D270" s="20">
        <v>50</v>
      </c>
    </row>
    <row r="271" spans="1:4">
      <c r="A271" s="20" t="str">
        <f>B271&amp;COUNTIF($B$2:B271,B271)</f>
        <v>占星人3</v>
      </c>
      <c r="B271" t="s">
        <v>590</v>
      </c>
      <c r="C271" s="21" t="s">
        <v>1238</v>
      </c>
      <c r="D271" s="21">
        <v>10</v>
      </c>
    </row>
    <row r="272" spans="1:4">
      <c r="A272" s="20" t="str">
        <f>B272&amp;COUNTIF($B$2:B272,B272)</f>
        <v>占星人4</v>
      </c>
      <c r="B272" t="s">
        <v>590</v>
      </c>
      <c r="C272" s="21" t="s">
        <v>1239</v>
      </c>
      <c r="D272" s="21">
        <v>10</v>
      </c>
    </row>
    <row r="273" spans="1:4">
      <c r="A273" s="20" t="str">
        <f>B273&amp;COUNTIF($B$2:B273,B273)</f>
        <v>占星人5</v>
      </c>
      <c r="B273" t="s">
        <v>590</v>
      </c>
      <c r="C273" s="21" t="s">
        <v>1240</v>
      </c>
      <c r="D273" s="21">
        <v>20</v>
      </c>
    </row>
    <row r="274" spans="1:4">
      <c r="A274" s="20" t="str">
        <f>B274&amp;COUNTIF($B$2:B274,B274)</f>
        <v>占卜家1</v>
      </c>
      <c r="B274" s="20" t="s">
        <v>547</v>
      </c>
      <c r="C274" s="20" t="s">
        <v>1239</v>
      </c>
      <c r="D274" s="20">
        <v>50</v>
      </c>
    </row>
    <row r="275" spans="1:4">
      <c r="A275" s="20" t="str">
        <f>B275&amp;COUNTIF($B$2:B275,B275)</f>
        <v>占卜家2</v>
      </c>
      <c r="B275" s="20" t="s">
        <v>547</v>
      </c>
      <c r="C275" s="21" t="s">
        <v>1238</v>
      </c>
      <c r="D275" s="21">
        <v>10</v>
      </c>
    </row>
    <row r="276" spans="1:4">
      <c r="A276" s="20" t="str">
        <f>B276&amp;COUNTIF($B$2:B276,B276)</f>
        <v>占卜家3</v>
      </c>
      <c r="B276" s="20" t="s">
        <v>547</v>
      </c>
      <c r="C276" s="21" t="s">
        <v>1240</v>
      </c>
      <c r="D276" s="21">
        <v>20</v>
      </c>
    </row>
    <row r="277" spans="1:4">
      <c r="A277" s="20" t="str">
        <f>B277&amp;COUNTIF($B$2:B277,B277)</f>
        <v>小丑1</v>
      </c>
      <c r="B277" s="20" t="s">
        <v>567</v>
      </c>
      <c r="C277" s="20" t="s">
        <v>1239</v>
      </c>
      <c r="D277" s="20">
        <v>50</v>
      </c>
    </row>
    <row r="278" spans="1:4">
      <c r="A278" s="20" t="str">
        <f>B278&amp;COUNTIF($B$2:B278,B278)</f>
        <v>小丑2</v>
      </c>
      <c r="B278" s="20" t="s">
        <v>567</v>
      </c>
      <c r="C278" s="20" t="s">
        <v>1243</v>
      </c>
      <c r="D278" s="20">
        <v>95</v>
      </c>
    </row>
    <row r="279" spans="1:4">
      <c r="A279" s="20" t="str">
        <f>B279&amp;COUNTIF($B$2:B279,B279)</f>
        <v>小丑3</v>
      </c>
      <c r="B279" s="20" t="s">
        <v>567</v>
      </c>
      <c r="C279" s="21" t="s">
        <v>1238</v>
      </c>
      <c r="D279" s="21">
        <v>10</v>
      </c>
    </row>
    <row r="280" spans="1:4">
      <c r="A280" s="20" t="str">
        <f>B280&amp;COUNTIF($B$2:B280,B280)</f>
        <v>小丑4</v>
      </c>
      <c r="B280" s="20" t="s">
        <v>567</v>
      </c>
      <c r="C280" s="21" t="s">
        <v>1240</v>
      </c>
      <c r="D280" s="21">
        <v>20</v>
      </c>
    </row>
    <row r="281" spans="1:4">
      <c r="A281" s="20" t="str">
        <f>B281&amp;COUNTIF($B$2:B281,B281)</f>
        <v>魔术师1</v>
      </c>
      <c r="B281" s="20" t="s">
        <v>589</v>
      </c>
      <c r="C281" s="20" t="s">
        <v>1239</v>
      </c>
      <c r="D281" s="20">
        <v>50</v>
      </c>
    </row>
    <row r="282" spans="1:4">
      <c r="A282" s="20" t="str">
        <f>B282&amp;COUNTIF($B$2:B282,B282)</f>
        <v>魔术师2</v>
      </c>
      <c r="B282" s="20" t="s">
        <v>589</v>
      </c>
      <c r="C282" s="20" t="s">
        <v>1243</v>
      </c>
      <c r="D282" s="20">
        <v>95</v>
      </c>
    </row>
    <row r="283" spans="1:4">
      <c r="A283" s="20" t="str">
        <f>B283&amp;COUNTIF($B$2:B283,B283)</f>
        <v>魔术师3</v>
      </c>
      <c r="B283" s="20" t="s">
        <v>589</v>
      </c>
      <c r="C283" s="20" t="s">
        <v>1285</v>
      </c>
      <c r="D283" s="20">
        <v>50</v>
      </c>
    </row>
    <row r="284" spans="1:4">
      <c r="A284" s="20" t="str">
        <f>B284&amp;COUNTIF($B$2:B284,B284)</f>
        <v>魔术师4</v>
      </c>
      <c r="B284" s="20" t="s">
        <v>589</v>
      </c>
      <c r="C284" s="20" t="s">
        <v>1286</v>
      </c>
      <c r="D284" s="20">
        <v>50</v>
      </c>
    </row>
    <row r="285" spans="1:4">
      <c r="A285" s="20" t="str">
        <f>B285&amp;COUNTIF($B$2:B285,B285)</f>
        <v>魔术师5</v>
      </c>
      <c r="B285" s="20" t="s">
        <v>589</v>
      </c>
      <c r="C285" s="20" t="s">
        <v>1287</v>
      </c>
      <c r="D285" s="20">
        <v>50</v>
      </c>
    </row>
    <row r="286" spans="1:4">
      <c r="A286" s="20" t="str">
        <f>B286&amp;COUNTIF($B$2:B286,B286)</f>
        <v>魔术师6</v>
      </c>
      <c r="B286" s="20" t="s">
        <v>589</v>
      </c>
      <c r="C286" s="20" t="s">
        <v>1288</v>
      </c>
      <c r="D286" s="20">
        <v>50</v>
      </c>
    </row>
    <row r="287" spans="1:4">
      <c r="A287" s="20" t="str">
        <f>B287&amp;COUNTIF($B$2:B287,B287)</f>
        <v>魔术师7</v>
      </c>
      <c r="B287" s="20" t="s">
        <v>589</v>
      </c>
      <c r="C287" s="20" t="s">
        <v>1281</v>
      </c>
      <c r="D287" s="20">
        <v>50</v>
      </c>
    </row>
    <row r="288" spans="1:4">
      <c r="A288" s="20" t="str">
        <f>B288&amp;COUNTIF($B$2:B288,B288)</f>
        <v>魔术师8</v>
      </c>
      <c r="B288" s="20" t="s">
        <v>589</v>
      </c>
      <c r="C288" s="21" t="s">
        <v>1238</v>
      </c>
      <c r="D288" s="21">
        <v>10</v>
      </c>
    </row>
    <row r="289" spans="1:4">
      <c r="A289" s="20" t="str">
        <f>B289&amp;COUNTIF($B$2:B289,B289)</f>
        <v>魔术师9</v>
      </c>
      <c r="B289" s="20" t="s">
        <v>589</v>
      </c>
      <c r="C289" s="21" t="s">
        <v>1240</v>
      </c>
      <c r="D289" s="21">
        <v>20</v>
      </c>
    </row>
    <row r="290" spans="1:4">
      <c r="A290" s="20" t="str">
        <f>B290&amp;COUNTIF($B$2:B290,B290)</f>
        <v>窥秘人1</v>
      </c>
      <c r="B290" s="20" t="s">
        <v>546</v>
      </c>
      <c r="C290" s="20" t="s">
        <v>1239</v>
      </c>
      <c r="D290" s="20">
        <v>50</v>
      </c>
    </row>
    <row r="291" spans="1:4">
      <c r="A291" s="20" t="str">
        <f>B291&amp;COUNTIF($B$2:B291,B291)</f>
        <v>窥秘人2</v>
      </c>
      <c r="B291" s="20" t="s">
        <v>546</v>
      </c>
      <c r="C291" s="21" t="s">
        <v>1238</v>
      </c>
      <c r="D291" s="21">
        <v>10</v>
      </c>
    </row>
    <row r="292" spans="1:4">
      <c r="A292" s="20" t="str">
        <f>B292&amp;COUNTIF($B$2:B292,B292)</f>
        <v>窥秘人3</v>
      </c>
      <c r="B292" s="20" t="s">
        <v>546</v>
      </c>
      <c r="C292" s="21" t="s">
        <v>1240</v>
      </c>
      <c r="D292" s="21">
        <v>20</v>
      </c>
    </row>
    <row r="293" spans="1:4">
      <c r="A293" s="20" t="str">
        <f>B293&amp;COUNTIF($B$2:B293,B293)</f>
        <v>格斗学者1</v>
      </c>
      <c r="B293" s="20" t="s">
        <v>566</v>
      </c>
      <c r="C293" s="20" t="s">
        <v>1239</v>
      </c>
      <c r="D293" s="20">
        <v>50</v>
      </c>
    </row>
    <row r="294" spans="1:4">
      <c r="A294" s="20" t="str">
        <f>B294&amp;COUNTIF($B$2:B294,B294)</f>
        <v>格斗学者2</v>
      </c>
      <c r="B294" s="20" t="s">
        <v>566</v>
      </c>
      <c r="C294" s="22" t="s">
        <v>108</v>
      </c>
      <c r="D294" s="20">
        <v>40</v>
      </c>
    </row>
    <row r="295" spans="1:4">
      <c r="A295" s="20" t="str">
        <f>B295&amp;COUNTIF($B$2:B295,B295)</f>
        <v>格斗学者3</v>
      </c>
      <c r="B295" s="20" t="s">
        <v>566</v>
      </c>
      <c r="C295" s="22" t="s">
        <v>142</v>
      </c>
      <c r="D295" s="20">
        <v>30</v>
      </c>
    </row>
    <row r="296" spans="1:4">
      <c r="A296" s="20" t="str">
        <f>B296&amp;COUNTIF($B$2:B296,B296)</f>
        <v>格斗学者4</v>
      </c>
      <c r="B296" s="20" t="s">
        <v>566</v>
      </c>
      <c r="C296" s="22" t="s">
        <v>137</v>
      </c>
      <c r="D296" s="20">
        <v>30</v>
      </c>
    </row>
    <row r="297" spans="1:4">
      <c r="A297" s="20" t="str">
        <f>B297&amp;COUNTIF($B$2:B297,B297)</f>
        <v>格斗学者5</v>
      </c>
      <c r="B297" s="20" t="s">
        <v>566</v>
      </c>
      <c r="C297" s="22" t="s">
        <v>1289</v>
      </c>
      <c r="D297" s="20">
        <v>30</v>
      </c>
    </row>
    <row r="298" spans="1:4">
      <c r="A298" s="20" t="str">
        <f>B298&amp;COUNTIF($B$2:B298,B298)</f>
        <v>格斗学者6</v>
      </c>
      <c r="B298" s="20" t="s">
        <v>566</v>
      </c>
      <c r="C298" s="21" t="s">
        <v>1238</v>
      </c>
      <c r="D298" s="21">
        <v>10</v>
      </c>
    </row>
    <row r="299" spans="1:4">
      <c r="A299" s="20" t="str">
        <f>B299&amp;COUNTIF($B$2:B299,B299)</f>
        <v>格斗学者7</v>
      </c>
      <c r="B299" s="20" t="s">
        <v>566</v>
      </c>
      <c r="C299" s="21" t="s">
        <v>1240</v>
      </c>
      <c r="D299" s="21">
        <v>20</v>
      </c>
    </row>
    <row r="300" spans="1:4">
      <c r="A300" s="20" t="str">
        <f>B300&amp;COUNTIF($B$2:B300,B300)</f>
        <v>巫师1</v>
      </c>
      <c r="B300" t="s">
        <v>588</v>
      </c>
      <c r="C300" s="20" t="s">
        <v>1239</v>
      </c>
      <c r="D300" s="20">
        <v>50</v>
      </c>
    </row>
    <row r="301" spans="1:4">
      <c r="A301" s="20" t="str">
        <f>B301&amp;COUNTIF($B$2:B301,B301)</f>
        <v>巫师2</v>
      </c>
      <c r="B301" t="s">
        <v>588</v>
      </c>
      <c r="C301" s="22" t="s">
        <v>108</v>
      </c>
      <c r="D301" s="20">
        <v>40</v>
      </c>
    </row>
    <row r="302" spans="1:4">
      <c r="A302" s="20" t="str">
        <f>B302&amp;COUNTIF($B$2:B302,B302)</f>
        <v>巫师3</v>
      </c>
      <c r="B302" t="s">
        <v>588</v>
      </c>
      <c r="C302" s="22" t="s">
        <v>142</v>
      </c>
      <c r="D302" s="20">
        <v>30</v>
      </c>
    </row>
    <row r="303" spans="1:4">
      <c r="A303" s="20" t="str">
        <f>B303&amp;COUNTIF($B$2:B303,B303)</f>
        <v>巫师4</v>
      </c>
      <c r="B303" t="s">
        <v>588</v>
      </c>
      <c r="C303" s="22" t="s">
        <v>137</v>
      </c>
      <c r="D303" s="20">
        <v>30</v>
      </c>
    </row>
    <row r="304" spans="1:4">
      <c r="A304" s="20" t="str">
        <f>B304&amp;COUNTIF($B$2:B304,B304)</f>
        <v>巫师5</v>
      </c>
      <c r="B304" t="s">
        <v>588</v>
      </c>
      <c r="C304" s="22" t="s">
        <v>1289</v>
      </c>
      <c r="D304" s="20">
        <v>30</v>
      </c>
    </row>
    <row r="305" spans="1:4">
      <c r="A305" s="20" t="str">
        <f>B305&amp;COUNTIF($B$2:B305,B305)</f>
        <v>巫师6</v>
      </c>
      <c r="B305" t="s">
        <v>588</v>
      </c>
      <c r="C305" t="s">
        <v>1290</v>
      </c>
      <c r="D305">
        <v>95</v>
      </c>
    </row>
    <row r="306" spans="1:4">
      <c r="A306" s="20" t="str">
        <f>B306&amp;COUNTIF($B$2:B306,B306)</f>
        <v>巫师7</v>
      </c>
      <c r="B306" t="s">
        <v>588</v>
      </c>
      <c r="C306" t="s">
        <v>1291</v>
      </c>
      <c r="D306">
        <v>50</v>
      </c>
    </row>
    <row r="307" spans="1:4">
      <c r="A307" s="20" t="str">
        <f>B307&amp;COUNTIF($B$2:B307,B307)</f>
        <v>巫师8</v>
      </c>
      <c r="B307" t="s">
        <v>588</v>
      </c>
      <c r="C307" s="21" t="s">
        <v>1238</v>
      </c>
      <c r="D307" s="21">
        <v>10</v>
      </c>
    </row>
    <row r="308" spans="1:4">
      <c r="A308" s="20" t="str">
        <f>B308&amp;COUNTIF($B$2:B308,B308)</f>
        <v>巫师9</v>
      </c>
      <c r="B308" t="s">
        <v>588</v>
      </c>
      <c r="C308" s="21" t="s">
        <v>1240</v>
      </c>
      <c r="D308" s="21">
        <v>20</v>
      </c>
    </row>
    <row r="309" spans="1:4">
      <c r="A309" s="20" t="str">
        <f>B309&amp;COUNTIF($B$2:B309,B309)</f>
        <v>罪犯1</v>
      </c>
      <c r="B309" s="20" t="s">
        <v>545</v>
      </c>
      <c r="C309" s="22" t="s">
        <v>108</v>
      </c>
      <c r="D309" s="20">
        <v>40</v>
      </c>
    </row>
    <row r="310" spans="1:4">
      <c r="A310" s="20" t="str">
        <f>B310&amp;COUNTIF($B$2:B310,B310)</f>
        <v>罪犯2</v>
      </c>
      <c r="B310" s="20" t="s">
        <v>545</v>
      </c>
      <c r="C310" s="22" t="s">
        <v>1292</v>
      </c>
      <c r="D310" s="20">
        <v>40</v>
      </c>
    </row>
    <row r="311" spans="1:4">
      <c r="A311" s="20" t="str">
        <f>B311&amp;COUNTIF($B$2:B311,B311)</f>
        <v>罪犯3</v>
      </c>
      <c r="B311" s="20" t="s">
        <v>545</v>
      </c>
      <c r="C311" s="22" t="s">
        <v>1293</v>
      </c>
      <c r="D311" s="20">
        <v>40</v>
      </c>
    </row>
    <row r="312" spans="1:4">
      <c r="A312" s="20" t="str">
        <f>B312&amp;COUNTIF($B$2:B312,B312)</f>
        <v>罪犯4</v>
      </c>
      <c r="B312" s="20" t="s">
        <v>545</v>
      </c>
      <c r="C312" s="21" t="s">
        <v>1238</v>
      </c>
      <c r="D312" s="21">
        <v>10</v>
      </c>
    </row>
    <row r="313" spans="1:4">
      <c r="A313" s="20" t="str">
        <f>B313&amp;COUNTIF($B$2:B313,B313)</f>
        <v>罪犯5</v>
      </c>
      <c r="B313" s="20" t="s">
        <v>545</v>
      </c>
      <c r="C313" s="21" t="s">
        <v>1239</v>
      </c>
      <c r="D313" s="21">
        <v>10</v>
      </c>
    </row>
    <row r="314" spans="1:4">
      <c r="A314" s="20" t="str">
        <f>B314&amp;COUNTIF($B$2:B314,B314)</f>
        <v>罪犯6</v>
      </c>
      <c r="B314" s="20" t="s">
        <v>545</v>
      </c>
      <c r="C314" s="21" t="s">
        <v>1240</v>
      </c>
      <c r="D314" s="21">
        <v>20</v>
      </c>
    </row>
    <row r="315" spans="1:4">
      <c r="A315" s="20" t="str">
        <f>B315&amp;COUNTIF($B$2:B315,B315)</f>
        <v>折翼天使1</v>
      </c>
      <c r="B315" s="20" t="s">
        <v>565</v>
      </c>
      <c r="C315" s="22" t="s">
        <v>108</v>
      </c>
      <c r="D315" s="20">
        <v>40</v>
      </c>
    </row>
    <row r="316" spans="1:4">
      <c r="A316" s="20" t="str">
        <f>B316&amp;COUNTIF($B$2:B316,B316)</f>
        <v>折翼天使2</v>
      </c>
      <c r="B316" s="20" t="s">
        <v>565</v>
      </c>
      <c r="C316" s="22" t="s">
        <v>1292</v>
      </c>
      <c r="D316" s="20">
        <v>40</v>
      </c>
    </row>
    <row r="317" spans="1:4">
      <c r="A317" s="20" t="str">
        <f>B317&amp;COUNTIF($B$2:B317,B317)</f>
        <v>折翼天使3</v>
      </c>
      <c r="B317" s="20" t="s">
        <v>565</v>
      </c>
      <c r="C317" s="22" t="s">
        <v>1293</v>
      </c>
      <c r="D317" s="20">
        <v>40</v>
      </c>
    </row>
    <row r="318" spans="1:4">
      <c r="A318" s="20" t="str">
        <f>B318&amp;COUNTIF($B$2:B318,B318)</f>
        <v>折翼天使4</v>
      </c>
      <c r="B318" s="20" t="s">
        <v>565</v>
      </c>
      <c r="C318" s="20" t="s">
        <v>1294</v>
      </c>
      <c r="D318" s="20">
        <v>50</v>
      </c>
    </row>
    <row r="319" spans="1:4">
      <c r="A319" s="20" t="str">
        <f>B319&amp;COUNTIF($B$2:B319,B319)</f>
        <v>折翼天使5</v>
      </c>
      <c r="B319" s="20" t="s">
        <v>565</v>
      </c>
      <c r="C319" s="21" t="s">
        <v>1238</v>
      </c>
      <c r="D319" s="21">
        <v>10</v>
      </c>
    </row>
    <row r="320" spans="1:4">
      <c r="A320" s="20" t="str">
        <f>B320&amp;COUNTIF($B$2:B320,B320)</f>
        <v>折翼天使6</v>
      </c>
      <c r="B320" s="20" t="s">
        <v>565</v>
      </c>
      <c r="C320" s="21" t="s">
        <v>1239</v>
      </c>
      <c r="D320" s="21">
        <v>10</v>
      </c>
    </row>
    <row r="321" spans="1:4">
      <c r="A321" s="20" t="str">
        <f>B321&amp;COUNTIF($B$2:B321,B321)</f>
        <v>折翼天使7</v>
      </c>
      <c r="B321" s="20" t="s">
        <v>565</v>
      </c>
      <c r="C321" s="21" t="s">
        <v>1240</v>
      </c>
      <c r="D321" s="21">
        <v>20</v>
      </c>
    </row>
    <row r="322" spans="1:4">
      <c r="A322" s="20" t="str">
        <f>B322&amp;COUNTIF($B$2:B322,B322)</f>
        <v>连环杀手1</v>
      </c>
      <c r="B322" t="s">
        <v>587</v>
      </c>
      <c r="C322" s="22" t="s">
        <v>108</v>
      </c>
      <c r="D322" s="20">
        <v>40</v>
      </c>
    </row>
    <row r="323" spans="1:4">
      <c r="A323" s="20" t="str">
        <f>B323&amp;COUNTIF($B$2:B323,B323)</f>
        <v>连环杀手2</v>
      </c>
      <c r="B323" t="s">
        <v>587</v>
      </c>
      <c r="C323" s="22" t="s">
        <v>1292</v>
      </c>
      <c r="D323" s="20">
        <v>40</v>
      </c>
    </row>
    <row r="324" spans="1:4">
      <c r="A324" s="20" t="str">
        <f>B324&amp;COUNTIF($B$2:B324,B324)</f>
        <v>连环杀手3</v>
      </c>
      <c r="B324" t="s">
        <v>587</v>
      </c>
      <c r="C324" s="22" t="s">
        <v>1293</v>
      </c>
      <c r="D324" s="20">
        <v>40</v>
      </c>
    </row>
    <row r="325" spans="1:4">
      <c r="A325" s="20" t="str">
        <f>B325&amp;COUNTIF($B$2:B325,B325)</f>
        <v>连环杀手4</v>
      </c>
      <c r="B325" t="s">
        <v>587</v>
      </c>
      <c r="C325" s="20" t="s">
        <v>1294</v>
      </c>
      <c r="D325" s="20">
        <v>50</v>
      </c>
    </row>
    <row r="326" spans="1:4">
      <c r="A326" s="20" t="str">
        <f>B326&amp;COUNTIF($B$2:B326,B326)</f>
        <v>连环杀手5</v>
      </c>
      <c r="B326" t="s">
        <v>587</v>
      </c>
      <c r="C326" t="s">
        <v>1295</v>
      </c>
      <c r="D326">
        <v>50</v>
      </c>
    </row>
    <row r="327" spans="1:4">
      <c r="A327" s="20" t="str">
        <f>B327&amp;COUNTIF($B$2:B327,B327)</f>
        <v>连环杀手6</v>
      </c>
      <c r="B327" t="s">
        <v>587</v>
      </c>
      <c r="C327" t="s">
        <v>1296</v>
      </c>
      <c r="D327">
        <v>40</v>
      </c>
    </row>
    <row r="328" spans="1:4">
      <c r="A328" s="20" t="str">
        <f>B328&amp;COUNTIF($B$2:B328,B328)</f>
        <v>连环杀手7</v>
      </c>
      <c r="B328" t="s">
        <v>587</v>
      </c>
      <c r="C328" t="s">
        <v>106</v>
      </c>
      <c r="D328">
        <v>40</v>
      </c>
    </row>
    <row r="329" spans="1:4">
      <c r="A329" s="20" t="str">
        <f>B329&amp;COUNTIF($B$2:B329,B329)</f>
        <v>连环杀手8</v>
      </c>
      <c r="B329" t="s">
        <v>587</v>
      </c>
      <c r="C329" s="21" t="s">
        <v>1238</v>
      </c>
      <c r="D329" s="21">
        <v>10</v>
      </c>
    </row>
    <row r="330" spans="1:4">
      <c r="A330" s="20" t="str">
        <f>B330&amp;COUNTIF($B$2:B330,B330)</f>
        <v>连环杀手9</v>
      </c>
      <c r="B330" t="s">
        <v>587</v>
      </c>
      <c r="C330" s="21" t="s">
        <v>1239</v>
      </c>
      <c r="D330" s="21">
        <v>10</v>
      </c>
    </row>
    <row r="331" spans="1:4">
      <c r="A331" s="20" t="str">
        <f>B331&amp;COUNTIF($B$2:B331,B331)</f>
        <v>连环杀手10</v>
      </c>
      <c r="B331" t="s">
        <v>587</v>
      </c>
      <c r="C331" s="21" t="s">
        <v>1240</v>
      </c>
      <c r="D331" s="21">
        <v>20</v>
      </c>
    </row>
    <row r="332" spans="1:4">
      <c r="A332" s="20" t="str">
        <f>B332&amp;COUNTIF($B$2:B332,B332)</f>
        <v>囚犯1</v>
      </c>
      <c r="B332" s="20" t="s">
        <v>544</v>
      </c>
      <c r="C332" s="20" t="s">
        <v>1297</v>
      </c>
      <c r="D332" s="20">
        <v>40</v>
      </c>
    </row>
    <row r="333" spans="1:4">
      <c r="A333" s="20" t="str">
        <f>B333&amp;COUNTIF($B$2:B333,B333)</f>
        <v>囚犯2</v>
      </c>
      <c r="B333" s="20" t="s">
        <v>544</v>
      </c>
      <c r="C333" s="20" t="s">
        <v>1238</v>
      </c>
      <c r="D333" s="20">
        <v>95</v>
      </c>
    </row>
    <row r="334" spans="1:4">
      <c r="A334" s="20" t="str">
        <f>B334&amp;COUNTIF($B$2:B334,B334)</f>
        <v>囚犯3</v>
      </c>
      <c r="B334" s="20" t="s">
        <v>544</v>
      </c>
      <c r="C334" s="20" t="s">
        <v>1298</v>
      </c>
      <c r="D334" s="20">
        <v>50</v>
      </c>
    </row>
    <row r="335" spans="1:4">
      <c r="A335" s="20" t="str">
        <f>B335&amp;COUNTIF($B$2:B335,B335)</f>
        <v>囚犯4</v>
      </c>
      <c r="B335" s="20" t="s">
        <v>544</v>
      </c>
      <c r="C335" s="21" t="s">
        <v>1239</v>
      </c>
      <c r="D335" s="21">
        <v>10</v>
      </c>
    </row>
    <row r="336" spans="1:4">
      <c r="A336" s="20" t="str">
        <f>B336&amp;COUNTIF($B$2:B336,B336)</f>
        <v>囚犯5</v>
      </c>
      <c r="B336" s="20" t="s">
        <v>544</v>
      </c>
      <c r="C336" s="21" t="s">
        <v>1240</v>
      </c>
      <c r="D336" s="21">
        <v>20</v>
      </c>
    </row>
    <row r="337" spans="1:4">
      <c r="A337" s="20" t="str">
        <f>B337&amp;COUNTIF($B$2:B337,B337)</f>
        <v>疯子1</v>
      </c>
      <c r="B337" s="20" t="s">
        <v>564</v>
      </c>
      <c r="C337" s="20" t="s">
        <v>1297</v>
      </c>
      <c r="D337" s="20">
        <v>40</v>
      </c>
    </row>
    <row r="338" spans="1:4">
      <c r="A338" s="20" t="str">
        <f>B338&amp;COUNTIF($B$2:B338,B338)</f>
        <v>疯子2</v>
      </c>
      <c r="B338" s="20" t="s">
        <v>564</v>
      </c>
      <c r="C338" s="20" t="s">
        <v>1238</v>
      </c>
      <c r="D338" s="20">
        <v>95</v>
      </c>
    </row>
    <row r="339" spans="1:4">
      <c r="A339" s="20" t="str">
        <f>B339&amp;COUNTIF($B$2:B339,B339)</f>
        <v>疯子3</v>
      </c>
      <c r="B339" s="20" t="s">
        <v>564</v>
      </c>
      <c r="C339" s="20" t="s">
        <v>1298</v>
      </c>
      <c r="D339" s="20">
        <v>50</v>
      </c>
    </row>
    <row r="340" spans="1:4">
      <c r="A340" s="20" t="str">
        <f>B340&amp;COUNTIF($B$2:B340,B340)</f>
        <v>疯子4</v>
      </c>
      <c r="B340" s="20" t="s">
        <v>564</v>
      </c>
      <c r="C340" s="20" t="s">
        <v>1299</v>
      </c>
      <c r="D340" s="20">
        <v>50</v>
      </c>
    </row>
    <row r="341" spans="1:4">
      <c r="A341" s="20" t="str">
        <f>B341&amp;COUNTIF($B$2:B341,B341)</f>
        <v>疯子5</v>
      </c>
      <c r="B341" s="20" t="s">
        <v>564</v>
      </c>
      <c r="C341" s="21" t="s">
        <v>1239</v>
      </c>
      <c r="D341" s="21">
        <v>10</v>
      </c>
    </row>
    <row r="342" spans="1:4">
      <c r="A342" s="20" t="str">
        <f>B342&amp;COUNTIF($B$2:B342,B342)</f>
        <v>疯子6</v>
      </c>
      <c r="B342" s="20" t="s">
        <v>564</v>
      </c>
      <c r="C342" s="21" t="s">
        <v>1240</v>
      </c>
      <c r="D342" s="21">
        <v>20</v>
      </c>
    </row>
    <row r="343" spans="1:4">
      <c r="A343" s="20" t="str">
        <f>B343&amp;COUNTIF($B$2:B343,B343)</f>
        <v>狼人1</v>
      </c>
      <c r="B343" t="s">
        <v>586</v>
      </c>
      <c r="C343" s="20" t="s">
        <v>1297</v>
      </c>
      <c r="D343" s="20">
        <v>40</v>
      </c>
    </row>
    <row r="344" spans="1:4">
      <c r="A344" s="20" t="str">
        <f>B344&amp;COUNTIF($B$2:B344,B344)</f>
        <v>狼人2</v>
      </c>
      <c r="B344" t="s">
        <v>586</v>
      </c>
      <c r="C344" s="20" t="s">
        <v>1238</v>
      </c>
      <c r="D344" s="20">
        <v>95</v>
      </c>
    </row>
    <row r="345" spans="1:4">
      <c r="A345" s="20" t="str">
        <f>B345&amp;COUNTIF($B$2:B345,B345)</f>
        <v>狼人3</v>
      </c>
      <c r="B345" t="s">
        <v>586</v>
      </c>
      <c r="C345" s="20" t="s">
        <v>1298</v>
      </c>
      <c r="D345" s="20">
        <v>50</v>
      </c>
    </row>
    <row r="346" spans="1:4">
      <c r="A346" s="20" t="str">
        <f>B346&amp;COUNTIF($B$2:B346,B346)</f>
        <v>狼人4</v>
      </c>
      <c r="B346" t="s">
        <v>586</v>
      </c>
      <c r="C346" s="20" t="s">
        <v>1299</v>
      </c>
      <c r="D346" s="20">
        <v>50</v>
      </c>
    </row>
    <row r="347" spans="1:4">
      <c r="A347" s="20" t="str">
        <f>B347&amp;COUNTIF($B$2:B347,B347)</f>
        <v>狼人5</v>
      </c>
      <c r="B347" t="s">
        <v>586</v>
      </c>
      <c r="C347" t="s">
        <v>1300</v>
      </c>
      <c r="D347">
        <v>50</v>
      </c>
    </row>
    <row r="348" spans="1:4">
      <c r="A348" s="20" t="str">
        <f>B348&amp;COUNTIF($B$2:B348,B348)</f>
        <v>狼人6</v>
      </c>
      <c r="B348" t="s">
        <v>586</v>
      </c>
      <c r="C348" t="s">
        <v>1301</v>
      </c>
      <c r="D348">
        <v>50</v>
      </c>
    </row>
    <row r="349" spans="1:4">
      <c r="A349" s="20" t="str">
        <f>B349&amp;COUNTIF($B$2:B349,B349)</f>
        <v>狼人7</v>
      </c>
      <c r="B349" t="s">
        <v>586</v>
      </c>
      <c r="C349" s="21" t="s">
        <v>1239</v>
      </c>
      <c r="D349" s="21">
        <v>10</v>
      </c>
    </row>
    <row r="350" spans="1:4">
      <c r="A350" s="20" t="str">
        <f>B350&amp;COUNTIF($B$2:B350,B350)</f>
        <v>狼人8</v>
      </c>
      <c r="B350" t="s">
        <v>586</v>
      </c>
      <c r="C350" s="21" t="s">
        <v>1240</v>
      </c>
      <c r="D350" s="21">
        <v>20</v>
      </c>
    </row>
    <row r="351" spans="1:4">
      <c r="A351" s="20" t="str">
        <f>B351&amp;COUNTIF($B$2:B351,B351)</f>
        <v>不眠者1</v>
      </c>
      <c r="B351" s="20" t="s">
        <v>543</v>
      </c>
      <c r="C351" s="20" t="s">
        <v>1238</v>
      </c>
      <c r="D351" s="20">
        <v>95</v>
      </c>
    </row>
    <row r="352" spans="1:4">
      <c r="A352" s="20" t="str">
        <f>B352&amp;COUNTIF($B$2:B352,B352)</f>
        <v>不眠者2</v>
      </c>
      <c r="B352" s="20" t="s">
        <v>543</v>
      </c>
      <c r="C352" s="22" t="s">
        <v>108</v>
      </c>
      <c r="D352" s="20">
        <v>40</v>
      </c>
    </row>
    <row r="353" spans="1:4">
      <c r="A353" s="20" t="str">
        <f>B353&amp;COUNTIF($B$2:B353,B353)</f>
        <v>不眠者3</v>
      </c>
      <c r="B353" s="20" t="s">
        <v>543</v>
      </c>
      <c r="C353" s="21" t="s">
        <v>1239</v>
      </c>
      <c r="D353" s="21">
        <v>10</v>
      </c>
    </row>
    <row r="354" spans="1:4">
      <c r="A354" s="20" t="str">
        <f>B354&amp;COUNTIF($B$2:B354,B354)</f>
        <v>不眠者4</v>
      </c>
      <c r="B354" s="20" t="s">
        <v>543</v>
      </c>
      <c r="C354" s="21" t="s">
        <v>1240</v>
      </c>
      <c r="D354" s="21">
        <v>20</v>
      </c>
    </row>
    <row r="355" spans="1:4">
      <c r="A355" s="20" t="str">
        <f>B355&amp;COUNTIF($B$2:B355,B355)</f>
        <v>午夜诗人1</v>
      </c>
      <c r="B355" s="20" t="s">
        <v>563</v>
      </c>
      <c r="C355" s="20" t="s">
        <v>1238</v>
      </c>
      <c r="D355" s="20">
        <v>95</v>
      </c>
    </row>
    <row r="356" spans="1:4">
      <c r="A356" s="20" t="str">
        <f>B356&amp;COUNTIF($B$2:B356,B356)</f>
        <v>午夜诗人2</v>
      </c>
      <c r="B356" s="20" t="s">
        <v>563</v>
      </c>
      <c r="C356" s="22" t="s">
        <v>108</v>
      </c>
      <c r="D356" s="20">
        <v>40</v>
      </c>
    </row>
    <row r="357" spans="1:4">
      <c r="A357" s="20" t="str">
        <f>B357&amp;COUNTIF($B$2:B357,B357)</f>
        <v>午夜诗人3</v>
      </c>
      <c r="B357" s="20" t="s">
        <v>563</v>
      </c>
      <c r="C357" s="20" t="s">
        <v>1302</v>
      </c>
      <c r="D357" s="20">
        <v>50</v>
      </c>
    </row>
    <row r="358" spans="1:4">
      <c r="A358" s="20" t="str">
        <f>B358&amp;COUNTIF($B$2:B358,B358)</f>
        <v>午夜诗人4</v>
      </c>
      <c r="B358" s="20" t="s">
        <v>563</v>
      </c>
      <c r="C358" s="21" t="s">
        <v>1239</v>
      </c>
      <c r="D358" s="21">
        <v>10</v>
      </c>
    </row>
    <row r="359" spans="1:4">
      <c r="A359" s="20" t="str">
        <f>B359&amp;COUNTIF($B$2:B359,B359)</f>
        <v>午夜诗人5</v>
      </c>
      <c r="B359" s="20" t="s">
        <v>563</v>
      </c>
      <c r="C359" s="21" t="s">
        <v>1240</v>
      </c>
      <c r="D359" s="21">
        <v>20</v>
      </c>
    </row>
    <row r="360" spans="1:4">
      <c r="A360" s="20" t="str">
        <f>B360&amp;COUNTIF($B$2:B360,B360)</f>
        <v>梦魇1</v>
      </c>
      <c r="B360" s="20" t="s">
        <v>585</v>
      </c>
      <c r="C360" s="20" t="s">
        <v>1238</v>
      </c>
      <c r="D360" s="20">
        <v>95</v>
      </c>
    </row>
    <row r="361" spans="1:4">
      <c r="A361" s="20" t="str">
        <f>B361&amp;COUNTIF($B$2:B361,B361)</f>
        <v>梦魇2</v>
      </c>
      <c r="B361" s="20" t="s">
        <v>585</v>
      </c>
      <c r="C361" s="22" t="s">
        <v>108</v>
      </c>
      <c r="D361" s="20">
        <v>40</v>
      </c>
    </row>
    <row r="362" spans="1:4">
      <c r="A362" s="20" t="str">
        <f>B362&amp;COUNTIF($B$2:B362,B362)</f>
        <v>梦魇3</v>
      </c>
      <c r="B362" s="20" t="s">
        <v>585</v>
      </c>
      <c r="C362" s="20" t="s">
        <v>1302</v>
      </c>
      <c r="D362" s="20">
        <v>50</v>
      </c>
    </row>
    <row r="363" spans="1:4">
      <c r="A363" s="20" t="str">
        <f>B363&amp;COUNTIF($B$2:B363,B363)</f>
        <v>梦魇4</v>
      </c>
      <c r="B363" s="20" t="s">
        <v>585</v>
      </c>
      <c r="C363" s="20" t="s">
        <v>1303</v>
      </c>
      <c r="D363" s="20">
        <v>50</v>
      </c>
    </row>
    <row r="364" spans="1:4">
      <c r="A364" s="20" t="str">
        <f>B364&amp;COUNTIF($B$2:B364,B364)</f>
        <v>梦魇5</v>
      </c>
      <c r="B364" s="20" t="s">
        <v>585</v>
      </c>
      <c r="C364" s="21" t="s">
        <v>1239</v>
      </c>
      <c r="D364" s="21">
        <v>10</v>
      </c>
    </row>
    <row r="365" spans="1:4">
      <c r="A365" s="20" t="str">
        <f>B365&amp;COUNTIF($B$2:B365,B365)</f>
        <v>梦魇6</v>
      </c>
      <c r="B365" s="20" t="s">
        <v>585</v>
      </c>
      <c r="C365" s="21" t="s">
        <v>1240</v>
      </c>
      <c r="D365" s="21">
        <v>20</v>
      </c>
    </row>
    <row r="366" spans="1:4">
      <c r="A366" s="20" t="str">
        <f>B366&amp;COUNTIF($B$2:B366,B366)</f>
        <v>秘祈人1</v>
      </c>
      <c r="B366" s="20" t="s">
        <v>542</v>
      </c>
      <c r="C366" s="20" t="s">
        <v>1239</v>
      </c>
      <c r="D366" s="20">
        <v>50</v>
      </c>
    </row>
    <row r="367" spans="1:4">
      <c r="A367" s="20" t="str">
        <f>B367&amp;COUNTIF($B$2:B367,B367)</f>
        <v>秘祈人2</v>
      </c>
      <c r="B367" s="20" t="s">
        <v>542</v>
      </c>
      <c r="C367" s="21" t="s">
        <v>1238</v>
      </c>
      <c r="D367" s="21">
        <v>10</v>
      </c>
    </row>
    <row r="368" spans="1:4">
      <c r="A368" s="20" t="str">
        <f>B368&amp;COUNTIF($B$2:B368,B368)</f>
        <v>秘祈人3</v>
      </c>
      <c r="B368" s="20" t="s">
        <v>542</v>
      </c>
      <c r="C368" s="21" t="s">
        <v>1240</v>
      </c>
      <c r="D368" s="21">
        <v>20</v>
      </c>
    </row>
    <row r="369" spans="1:4">
      <c r="A369" s="20" t="str">
        <f>B369&amp;COUNTIF($B$2:B369,B369)</f>
        <v>倾听者1</v>
      </c>
      <c r="B369" s="20" t="s">
        <v>562</v>
      </c>
      <c r="C369" s="20" t="s">
        <v>1239</v>
      </c>
      <c r="D369" s="20">
        <v>50</v>
      </c>
    </row>
    <row r="370" spans="1:4">
      <c r="A370" s="20" t="str">
        <f>B370&amp;COUNTIF($B$2:B370,B370)</f>
        <v>倾听者2</v>
      </c>
      <c r="B370" s="20" t="s">
        <v>562</v>
      </c>
      <c r="C370" s="20" t="s">
        <v>1240</v>
      </c>
      <c r="D370" s="20">
        <v>50</v>
      </c>
    </row>
    <row r="371" spans="1:4">
      <c r="A371" s="20" t="str">
        <f>B371&amp;COUNTIF($B$2:B371,B371)</f>
        <v>倾听者3</v>
      </c>
      <c r="B371" s="20" t="s">
        <v>562</v>
      </c>
      <c r="C371" s="21" t="s">
        <v>1238</v>
      </c>
      <c r="D371" s="21">
        <v>10</v>
      </c>
    </row>
    <row r="372" spans="1:4">
      <c r="A372" s="20" t="str">
        <f>B372&amp;COUNTIF($B$2:B372,B372)</f>
        <v>隐修士1</v>
      </c>
      <c r="B372" t="s">
        <v>584</v>
      </c>
      <c r="C372" s="20" t="s">
        <v>1239</v>
      </c>
      <c r="D372">
        <v>50</v>
      </c>
    </row>
    <row r="373" spans="1:4">
      <c r="A373" s="20" t="str">
        <f>B373&amp;COUNTIF($B$2:B373,B373)</f>
        <v>隐修士2</v>
      </c>
      <c r="B373" t="s">
        <v>584</v>
      </c>
      <c r="C373" s="20" t="s">
        <v>1240</v>
      </c>
      <c r="D373">
        <v>50</v>
      </c>
    </row>
    <row r="374" spans="1:4">
      <c r="A374" s="20" t="str">
        <f>B374&amp;COUNTIF($B$2:B374,B374)</f>
        <v>隐修士3</v>
      </c>
      <c r="B374" t="s">
        <v>584</v>
      </c>
      <c r="C374" t="s">
        <v>1304</v>
      </c>
      <c r="D374">
        <v>50</v>
      </c>
    </row>
    <row r="375" spans="1:4">
      <c r="A375" s="20" t="str">
        <f>B375&amp;COUNTIF($B$2:B375,B375)</f>
        <v>隐修士4</v>
      </c>
      <c r="B375" t="s">
        <v>584</v>
      </c>
      <c r="C375" s="21" t="s">
        <v>1238</v>
      </c>
      <c r="D375" s="21">
        <v>10</v>
      </c>
    </row>
    <row r="376" spans="1:4">
      <c r="A376" s="20" t="str">
        <f>B376&amp;COUNTIF($B$2:B376,B376)</f>
        <v>收尸人1</v>
      </c>
      <c r="B376" s="20" t="s">
        <v>541</v>
      </c>
      <c r="C376" s="20" t="s">
        <v>1239</v>
      </c>
      <c r="D376" s="20">
        <v>50</v>
      </c>
    </row>
    <row r="377" spans="1:4">
      <c r="A377" s="20" t="str">
        <f>B377&amp;COUNTIF($B$2:B377,B377)</f>
        <v>收尸人2</v>
      </c>
      <c r="B377" s="20" t="s">
        <v>541</v>
      </c>
      <c r="C377" s="21" t="s">
        <v>1238</v>
      </c>
      <c r="D377" s="21">
        <v>10</v>
      </c>
    </row>
    <row r="378" spans="1:4">
      <c r="A378" s="20" t="str">
        <f>B378&amp;COUNTIF($B$2:B378,B378)</f>
        <v>收尸人3</v>
      </c>
      <c r="B378" s="20" t="s">
        <v>541</v>
      </c>
      <c r="C378" s="21" t="s">
        <v>1240</v>
      </c>
      <c r="D378" s="21">
        <v>20</v>
      </c>
    </row>
    <row r="379" spans="1:4">
      <c r="A379" s="20" t="str">
        <f>B379&amp;COUNTIF($B$2:B379,B379)</f>
        <v>掘墓人1</v>
      </c>
      <c r="B379" s="20" t="s">
        <v>561</v>
      </c>
      <c r="C379" s="20" t="s">
        <v>1239</v>
      </c>
      <c r="D379" s="20">
        <v>50</v>
      </c>
    </row>
    <row r="380" spans="1:4">
      <c r="A380" s="20" t="str">
        <f>B380&amp;COUNTIF($B$2:B380,B380)</f>
        <v>掘墓人2</v>
      </c>
      <c r="B380" s="20" t="s">
        <v>561</v>
      </c>
      <c r="C380" s="20" t="s">
        <v>1305</v>
      </c>
      <c r="D380" s="20">
        <v>50</v>
      </c>
    </row>
    <row r="381" spans="1:4">
      <c r="A381" s="20" t="str">
        <f>B381&amp;COUNTIF($B$2:B381,B381)</f>
        <v>掘墓人3</v>
      </c>
      <c r="B381" s="20" t="s">
        <v>561</v>
      </c>
      <c r="C381" s="20" t="s">
        <v>1306</v>
      </c>
      <c r="D381" s="20">
        <v>50</v>
      </c>
    </row>
    <row r="382" spans="1:4">
      <c r="A382" s="20" t="str">
        <f>B382&amp;COUNTIF($B$2:B382,B382)</f>
        <v>掘墓人4</v>
      </c>
      <c r="B382" s="20" t="s">
        <v>561</v>
      </c>
      <c r="C382" s="21" t="s">
        <v>1238</v>
      </c>
      <c r="D382" s="21">
        <v>10</v>
      </c>
    </row>
    <row r="383" spans="1:4">
      <c r="A383" s="20" t="str">
        <f>B383&amp;COUNTIF($B$2:B383,B383)</f>
        <v>掘墓人5</v>
      </c>
      <c r="B383" s="20" t="s">
        <v>561</v>
      </c>
      <c r="C383" s="21" t="s">
        <v>1240</v>
      </c>
      <c r="D383" s="21">
        <v>20</v>
      </c>
    </row>
    <row r="384" spans="1:4">
      <c r="A384" s="20" t="str">
        <f>B384&amp;COUNTIF($B$2:B384,B384)</f>
        <v>通灵者1</v>
      </c>
      <c r="B384" t="s">
        <v>583</v>
      </c>
      <c r="C384" s="20" t="s">
        <v>1239</v>
      </c>
      <c r="D384" s="20">
        <v>50</v>
      </c>
    </row>
    <row r="385" spans="1:4">
      <c r="A385" s="20" t="str">
        <f>B385&amp;COUNTIF($B$2:B385,B385)</f>
        <v>通灵者2</v>
      </c>
      <c r="B385" t="s">
        <v>583</v>
      </c>
      <c r="C385" s="20" t="s">
        <v>1305</v>
      </c>
      <c r="D385" s="20">
        <v>50</v>
      </c>
    </row>
    <row r="386" spans="1:4">
      <c r="A386" s="20" t="str">
        <f>B386&amp;COUNTIF($B$2:B386,B386)</f>
        <v>通灵者3</v>
      </c>
      <c r="B386" t="s">
        <v>583</v>
      </c>
      <c r="C386" s="20" t="s">
        <v>1306</v>
      </c>
      <c r="D386" s="20">
        <v>50</v>
      </c>
    </row>
    <row r="387" spans="1:4">
      <c r="A387" s="20" t="str">
        <f>B387&amp;COUNTIF($B$2:B387,B387)</f>
        <v>通灵者4</v>
      </c>
      <c r="B387" t="s">
        <v>583</v>
      </c>
      <c r="C387" s="21" t="s">
        <v>1238</v>
      </c>
      <c r="D387" s="21">
        <v>10</v>
      </c>
    </row>
    <row r="388" spans="1:4">
      <c r="A388" s="20" t="str">
        <f>B388&amp;COUNTIF($B$2:B388,B388)</f>
        <v>通灵者5</v>
      </c>
      <c r="B388" t="s">
        <v>583</v>
      </c>
      <c r="C388" s="21" t="s">
        <v>1240</v>
      </c>
      <c r="D388" s="21">
        <v>20</v>
      </c>
    </row>
    <row r="389" spans="1:4">
      <c r="A389" s="20" t="str">
        <f>B389&amp;COUNTIF($B$2:B389,B389)</f>
        <v>水手1</v>
      </c>
      <c r="B389" s="20" t="s">
        <v>540</v>
      </c>
      <c r="C389" s="22" t="s">
        <v>102</v>
      </c>
      <c r="D389" s="20">
        <v>40</v>
      </c>
    </row>
    <row r="390" spans="1:4">
      <c r="A390" s="20" t="str">
        <f>B390&amp;COUNTIF($B$2:B390,B390)</f>
        <v>水手2</v>
      </c>
      <c r="B390" s="20" t="s">
        <v>540</v>
      </c>
      <c r="C390" s="22" t="s">
        <v>1307</v>
      </c>
      <c r="D390" s="20">
        <v>40</v>
      </c>
    </row>
    <row r="391" spans="1:4">
      <c r="A391" s="20" t="str">
        <f>B391&amp;COUNTIF($B$2:B391,B391)</f>
        <v>水手3</v>
      </c>
      <c r="B391" s="20" t="s">
        <v>540</v>
      </c>
      <c r="C391" s="22" t="s">
        <v>110</v>
      </c>
      <c r="D391" s="20">
        <v>40</v>
      </c>
    </row>
    <row r="392" spans="1:4">
      <c r="A392" s="20" t="str">
        <f>B392&amp;COUNTIF($B$2:B392,B392)</f>
        <v>水手4</v>
      </c>
      <c r="B392" s="20" t="s">
        <v>540</v>
      </c>
      <c r="C392" s="22" t="s">
        <v>1308</v>
      </c>
      <c r="D392" s="20">
        <v>50</v>
      </c>
    </row>
    <row r="393" spans="1:4">
      <c r="A393" s="20" t="str">
        <f>B393&amp;COUNTIF($B$2:B393,B393)</f>
        <v>水手5</v>
      </c>
      <c r="B393" s="20" t="s">
        <v>540</v>
      </c>
      <c r="C393" s="22" t="s">
        <v>1238</v>
      </c>
      <c r="D393" s="20">
        <v>95</v>
      </c>
    </row>
    <row r="394" spans="1:4">
      <c r="A394" s="20" t="str">
        <f>B394&amp;COUNTIF($B$2:B394,B394)</f>
        <v>水手6</v>
      </c>
      <c r="B394" s="20" t="s">
        <v>540</v>
      </c>
      <c r="C394" s="21" t="s">
        <v>1239</v>
      </c>
      <c r="D394" s="21">
        <v>10</v>
      </c>
    </row>
    <row r="395" spans="1:4">
      <c r="A395" s="20" t="str">
        <f>B395&amp;COUNTIF($B$2:B395,B395)</f>
        <v>水手7</v>
      </c>
      <c r="B395" s="20" t="s">
        <v>540</v>
      </c>
      <c r="C395" s="21" t="s">
        <v>1240</v>
      </c>
      <c r="D395" s="21">
        <v>20</v>
      </c>
    </row>
    <row r="396" spans="1:4">
      <c r="A396" s="20" t="str">
        <f>B396&amp;COUNTIF($B$2:B396,B396)</f>
        <v>暴怒之民1</v>
      </c>
      <c r="B396" s="20" t="s">
        <v>560</v>
      </c>
      <c r="C396" s="22" t="s">
        <v>102</v>
      </c>
      <c r="D396" s="20">
        <v>40</v>
      </c>
    </row>
    <row r="397" spans="1:4">
      <c r="A397" s="20" t="str">
        <f>B397&amp;COUNTIF($B$2:B397,B397)</f>
        <v>暴怒之民2</v>
      </c>
      <c r="B397" s="20" t="s">
        <v>560</v>
      </c>
      <c r="C397" s="22" t="s">
        <v>1307</v>
      </c>
      <c r="D397" s="20">
        <v>40</v>
      </c>
    </row>
    <row r="398" spans="1:4">
      <c r="A398" s="20" t="str">
        <f>B398&amp;COUNTIF($B$2:B398,B398)</f>
        <v>暴怒之民3</v>
      </c>
      <c r="B398" s="20" t="s">
        <v>560</v>
      </c>
      <c r="C398" s="22" t="s">
        <v>110</v>
      </c>
      <c r="D398" s="20">
        <v>40</v>
      </c>
    </row>
    <row r="399" spans="1:4">
      <c r="A399" s="20" t="str">
        <f>B399&amp;COUNTIF($B$2:B399,B399)</f>
        <v>暴怒之民4</v>
      </c>
      <c r="B399" s="20" t="s">
        <v>560</v>
      </c>
      <c r="C399" s="22" t="s">
        <v>1308</v>
      </c>
      <c r="D399" s="20">
        <v>50</v>
      </c>
    </row>
    <row r="400" spans="1:4">
      <c r="A400" s="20" t="str">
        <f>B400&amp;COUNTIF($B$2:B400,B400)</f>
        <v>暴怒之民5</v>
      </c>
      <c r="B400" s="20" t="s">
        <v>560</v>
      </c>
      <c r="C400" s="22" t="s">
        <v>1238</v>
      </c>
      <c r="D400" s="20">
        <v>95</v>
      </c>
    </row>
    <row r="401" spans="1:4">
      <c r="A401" s="20" t="str">
        <f>B401&amp;COUNTIF($B$2:B401,B401)</f>
        <v>暴怒之民6</v>
      </c>
      <c r="B401" s="20" t="s">
        <v>560</v>
      </c>
      <c r="C401" s="20" t="s">
        <v>1309</v>
      </c>
      <c r="D401" s="20">
        <v>50</v>
      </c>
    </row>
    <row r="402" spans="1:4">
      <c r="A402" s="20" t="str">
        <f>B402&amp;COUNTIF($B$2:B402,B402)</f>
        <v>暴怒之民7</v>
      </c>
      <c r="B402" s="20" t="s">
        <v>560</v>
      </c>
      <c r="C402" s="21" t="s">
        <v>1239</v>
      </c>
      <c r="D402" s="21">
        <v>10</v>
      </c>
    </row>
    <row r="403" spans="1:4">
      <c r="A403" s="20" t="str">
        <f>B403&amp;COUNTIF($B$2:B403,B403)</f>
        <v>暴怒之民8</v>
      </c>
      <c r="B403" s="20" t="s">
        <v>560</v>
      </c>
      <c r="C403" s="21" t="s">
        <v>1240</v>
      </c>
      <c r="D403" s="21">
        <v>20</v>
      </c>
    </row>
    <row r="404" spans="1:4">
      <c r="A404" s="20" t="str">
        <f>B404&amp;COUNTIF($B$2:B404,B404)</f>
        <v>航海家1</v>
      </c>
      <c r="B404" s="20" t="s">
        <v>582</v>
      </c>
      <c r="C404" s="22" t="s">
        <v>102</v>
      </c>
      <c r="D404" s="20">
        <v>40</v>
      </c>
    </row>
    <row r="405" spans="1:4">
      <c r="A405" s="20" t="str">
        <f>B405&amp;COUNTIF($B$2:B405,B405)</f>
        <v>航海家2</v>
      </c>
      <c r="B405" s="20" t="s">
        <v>582</v>
      </c>
      <c r="C405" s="22" t="s">
        <v>1307</v>
      </c>
      <c r="D405" s="20">
        <v>40</v>
      </c>
    </row>
    <row r="406" spans="1:4">
      <c r="A406" s="20" t="str">
        <f>B406&amp;COUNTIF($B$2:B406,B406)</f>
        <v>航海家3</v>
      </c>
      <c r="B406" s="20" t="s">
        <v>582</v>
      </c>
      <c r="C406" s="22" t="s">
        <v>110</v>
      </c>
      <c r="D406" s="20">
        <v>40</v>
      </c>
    </row>
    <row r="407" spans="1:4">
      <c r="A407" s="20" t="str">
        <f>B407&amp;COUNTIF($B$2:B407,B407)</f>
        <v>航海家4</v>
      </c>
      <c r="B407" s="20" t="s">
        <v>582</v>
      </c>
      <c r="C407" s="22" t="s">
        <v>1308</v>
      </c>
      <c r="D407" s="20">
        <v>50</v>
      </c>
    </row>
    <row r="408" spans="1:4">
      <c r="A408" s="20" t="str">
        <f>B408&amp;COUNTIF($B$2:B408,B408)</f>
        <v>航海家5</v>
      </c>
      <c r="B408" s="20" t="s">
        <v>582</v>
      </c>
      <c r="C408" s="22" t="s">
        <v>1238</v>
      </c>
      <c r="D408" s="20">
        <v>95</v>
      </c>
    </row>
    <row r="409" spans="1:4">
      <c r="A409" s="20" t="str">
        <f>B409&amp;COUNTIF($B$2:B409,B409)</f>
        <v>航海家6</v>
      </c>
      <c r="B409" s="20" t="s">
        <v>582</v>
      </c>
      <c r="C409" s="20" t="s">
        <v>1309</v>
      </c>
      <c r="D409" s="20">
        <v>50</v>
      </c>
    </row>
    <row r="410" spans="1:4">
      <c r="A410" s="20" t="str">
        <f>B410&amp;COUNTIF($B$2:B410,B410)</f>
        <v>航海家7</v>
      </c>
      <c r="B410" s="20" t="s">
        <v>582</v>
      </c>
      <c r="C410" s="20" t="s">
        <v>143</v>
      </c>
      <c r="D410" s="20">
        <v>30</v>
      </c>
    </row>
    <row r="411" spans="1:4">
      <c r="A411" s="20" t="str">
        <f>B411&amp;COUNTIF($B$2:B411,B411)</f>
        <v>航海家8</v>
      </c>
      <c r="B411" s="20" t="s">
        <v>582</v>
      </c>
      <c r="C411" s="20" t="s">
        <v>1310</v>
      </c>
      <c r="D411" s="20">
        <v>50</v>
      </c>
    </row>
    <row r="412" spans="1:4">
      <c r="A412" s="20" t="str">
        <f>B412&amp;COUNTIF($B$2:B412,B412)</f>
        <v>航海家9</v>
      </c>
      <c r="B412" s="20" t="s">
        <v>582</v>
      </c>
      <c r="C412" s="21" t="s">
        <v>1239</v>
      </c>
      <c r="D412" s="21">
        <v>10</v>
      </c>
    </row>
    <row r="413" spans="1:4">
      <c r="A413" s="20" t="str">
        <f>B413&amp;COUNTIF($B$2:B413,B413)</f>
        <v>航海家10</v>
      </c>
      <c r="B413" s="20" t="s">
        <v>582</v>
      </c>
      <c r="C413" s="21" t="s">
        <v>1240</v>
      </c>
      <c r="D413" s="21">
        <v>20</v>
      </c>
    </row>
    <row r="414" spans="1:4">
      <c r="A414" s="20" t="str">
        <f>B414&amp;COUNTIF($B$2:B414,B414)</f>
        <v>风眷者1</v>
      </c>
      <c r="B414" s="20" t="s">
        <v>604</v>
      </c>
      <c r="C414" s="22" t="s">
        <v>102</v>
      </c>
      <c r="D414" s="20">
        <v>40</v>
      </c>
    </row>
    <row r="415" spans="1:4">
      <c r="A415" s="20" t="str">
        <f>B415&amp;COUNTIF($B$2:B415,B415)</f>
        <v>风眷者2</v>
      </c>
      <c r="B415" s="20" t="s">
        <v>604</v>
      </c>
      <c r="C415" s="22" t="s">
        <v>1307</v>
      </c>
      <c r="D415" s="20">
        <v>40</v>
      </c>
    </row>
    <row r="416" spans="1:4">
      <c r="A416" s="20" t="str">
        <f>B416&amp;COUNTIF($B$2:B416,B416)</f>
        <v>风眷者3</v>
      </c>
      <c r="B416" s="20" t="s">
        <v>604</v>
      </c>
      <c r="C416" s="22" t="s">
        <v>110</v>
      </c>
      <c r="D416" s="20">
        <v>40</v>
      </c>
    </row>
    <row r="417" spans="1:4">
      <c r="A417" s="20" t="str">
        <f>B417&amp;COUNTIF($B$2:B417,B417)</f>
        <v>风眷者4</v>
      </c>
      <c r="B417" s="20" t="s">
        <v>604</v>
      </c>
      <c r="C417" s="22" t="s">
        <v>1308</v>
      </c>
      <c r="D417" s="20">
        <v>50</v>
      </c>
    </row>
    <row r="418" spans="1:4">
      <c r="A418" s="20" t="str">
        <f>B418&amp;COUNTIF($B$2:B418,B418)</f>
        <v>风眷者5</v>
      </c>
      <c r="B418" s="20" t="s">
        <v>604</v>
      </c>
      <c r="C418" s="22" t="s">
        <v>1238</v>
      </c>
      <c r="D418" s="20">
        <v>95</v>
      </c>
    </row>
    <row r="419" spans="1:4">
      <c r="A419" s="20" t="str">
        <f>B419&amp;COUNTIF($B$2:B419,B419)</f>
        <v>风眷者6</v>
      </c>
      <c r="B419" s="20" t="s">
        <v>604</v>
      </c>
      <c r="C419" s="20" t="s">
        <v>1309</v>
      </c>
      <c r="D419" s="20">
        <v>50</v>
      </c>
    </row>
    <row r="420" spans="1:4">
      <c r="A420" s="20" t="str">
        <f>B420&amp;COUNTIF($B$2:B420,B420)</f>
        <v>风眷者7</v>
      </c>
      <c r="B420" s="20" t="s">
        <v>604</v>
      </c>
      <c r="C420" s="20" t="s">
        <v>143</v>
      </c>
      <c r="D420" s="20">
        <v>30</v>
      </c>
    </row>
    <row r="421" spans="1:4">
      <c r="A421" s="20" t="str">
        <f>B421&amp;COUNTIF($B$2:B421,B421)</f>
        <v>风眷者8</v>
      </c>
      <c r="B421" s="20" t="s">
        <v>604</v>
      </c>
      <c r="C421" s="20" t="s">
        <v>1310</v>
      </c>
      <c r="D421" s="20">
        <v>50</v>
      </c>
    </row>
    <row r="422" spans="1:4">
      <c r="A422" s="20" t="str">
        <f>B422&amp;COUNTIF($B$2:B422,B422)</f>
        <v>风眷者9</v>
      </c>
      <c r="B422" s="20" t="s">
        <v>604</v>
      </c>
      <c r="C422" s="20" t="s">
        <v>1311</v>
      </c>
      <c r="D422" s="20">
        <v>50</v>
      </c>
    </row>
    <row r="423" spans="1:4">
      <c r="A423" s="20" t="str">
        <f>B423&amp;COUNTIF($B$2:B423,B423)</f>
        <v>风眷者10</v>
      </c>
      <c r="B423" s="20" t="s">
        <v>604</v>
      </c>
      <c r="C423" s="21" t="s">
        <v>1239</v>
      </c>
      <c r="D423" s="21">
        <v>10</v>
      </c>
    </row>
    <row r="424" spans="1:4">
      <c r="A424" s="20" t="str">
        <f>B424&amp;COUNTIF($B$2:B424,B424)</f>
        <v>风眷者11</v>
      </c>
      <c r="B424" s="20" t="s">
        <v>604</v>
      </c>
      <c r="C424" s="21" t="s">
        <v>1240</v>
      </c>
      <c r="D424" s="21">
        <v>20</v>
      </c>
    </row>
    <row r="425" spans="1:4">
      <c r="A425" s="20" t="str">
        <f>B425&amp;COUNTIF($B$2:B425,B425)</f>
        <v>观众1</v>
      </c>
      <c r="B425" t="s">
        <v>539</v>
      </c>
      <c r="C425" t="s">
        <v>1312</v>
      </c>
      <c r="D425">
        <v>50</v>
      </c>
    </row>
    <row r="426" spans="1:4">
      <c r="A426" s="20" t="str">
        <f>B426&amp;COUNTIF($B$2:B426,B426)</f>
        <v>观众2</v>
      </c>
      <c r="B426" t="s">
        <v>539</v>
      </c>
      <c r="C426" t="s">
        <v>82</v>
      </c>
      <c r="D426">
        <v>30</v>
      </c>
    </row>
    <row r="427" spans="1:4">
      <c r="A427" s="20" t="str">
        <f>B427&amp;COUNTIF($B$2:B427,B427)</f>
        <v>观众3</v>
      </c>
      <c r="B427" t="s">
        <v>539</v>
      </c>
      <c r="C427" s="21" t="s">
        <v>1238</v>
      </c>
      <c r="D427" s="21">
        <v>10</v>
      </c>
    </row>
    <row r="428" spans="1:4">
      <c r="A428" s="20" t="str">
        <f>B428&amp;COUNTIF($B$2:B428,B428)</f>
        <v>观众4</v>
      </c>
      <c r="B428" t="s">
        <v>539</v>
      </c>
      <c r="C428" s="21" t="s">
        <v>1239</v>
      </c>
      <c r="D428" s="21">
        <v>10</v>
      </c>
    </row>
    <row r="429" spans="1:4">
      <c r="A429" s="20" t="str">
        <f>B429&amp;COUNTIF($B$2:B429,B429)</f>
        <v>观众5</v>
      </c>
      <c r="B429" t="s">
        <v>539</v>
      </c>
      <c r="C429" s="21" t="s">
        <v>1240</v>
      </c>
      <c r="D429" s="21">
        <v>20</v>
      </c>
    </row>
    <row r="430" spans="1:4">
      <c r="A430" s="20" t="str">
        <f>B430&amp;COUNTIF($B$2:B430,B430)</f>
        <v>读心者1</v>
      </c>
      <c r="B430" t="s">
        <v>559</v>
      </c>
      <c r="C430" t="s">
        <v>1312</v>
      </c>
      <c r="D430">
        <v>50</v>
      </c>
    </row>
    <row r="431" spans="1:4">
      <c r="A431" s="20" t="str">
        <f>B431&amp;COUNTIF($B$2:B431,B431)</f>
        <v>读心者2</v>
      </c>
      <c r="B431" t="s">
        <v>559</v>
      </c>
      <c r="C431" t="s">
        <v>82</v>
      </c>
      <c r="D431">
        <v>30</v>
      </c>
    </row>
    <row r="432" spans="1:4">
      <c r="A432" s="20" t="str">
        <f>B432&amp;COUNTIF($B$2:B432,B432)</f>
        <v>读心者3</v>
      </c>
      <c r="B432" t="s">
        <v>559</v>
      </c>
      <c r="C432" t="s">
        <v>1313</v>
      </c>
      <c r="D432">
        <v>50</v>
      </c>
    </row>
    <row r="433" spans="1:4">
      <c r="A433" s="20" t="str">
        <f>B433&amp;COUNTIF($B$2:B433,B433)</f>
        <v>读心者4</v>
      </c>
      <c r="B433" t="s">
        <v>559</v>
      </c>
      <c r="C433" s="21" t="s">
        <v>1238</v>
      </c>
      <c r="D433" s="21">
        <v>10</v>
      </c>
    </row>
    <row r="434" spans="1:4">
      <c r="A434" s="20" t="str">
        <f>B434&amp;COUNTIF($B$2:B434,B434)</f>
        <v>读心者5</v>
      </c>
      <c r="B434" t="s">
        <v>559</v>
      </c>
      <c r="C434" s="21" t="s">
        <v>1239</v>
      </c>
      <c r="D434" s="21">
        <v>10</v>
      </c>
    </row>
    <row r="435" spans="1:4">
      <c r="A435" s="20" t="str">
        <f>B435&amp;COUNTIF($B$2:B435,B435)</f>
        <v>读心者6</v>
      </c>
      <c r="B435" t="s">
        <v>559</v>
      </c>
      <c r="C435" s="21" t="s">
        <v>1240</v>
      </c>
      <c r="D435" s="21">
        <v>20</v>
      </c>
    </row>
    <row r="436" spans="1:4">
      <c r="A436" s="20" t="str">
        <f>B436&amp;COUNTIF($B$2:B436,B436)</f>
        <v>心理医生1</v>
      </c>
      <c r="B436" t="s">
        <v>581</v>
      </c>
      <c r="C436" t="s">
        <v>1312</v>
      </c>
      <c r="D436">
        <v>50</v>
      </c>
    </row>
    <row r="437" spans="1:4">
      <c r="A437" s="20" t="str">
        <f>B437&amp;COUNTIF($B$2:B437,B437)</f>
        <v>心理医生2</v>
      </c>
      <c r="B437" t="s">
        <v>581</v>
      </c>
      <c r="C437" t="s">
        <v>82</v>
      </c>
      <c r="D437">
        <v>30</v>
      </c>
    </row>
    <row r="438" spans="1:4">
      <c r="A438" s="20" t="str">
        <f>B438&amp;COUNTIF($B$2:B438,B438)</f>
        <v>心理医生3</v>
      </c>
      <c r="B438" t="s">
        <v>581</v>
      </c>
      <c r="C438" t="s">
        <v>1313</v>
      </c>
      <c r="D438">
        <v>50</v>
      </c>
    </row>
    <row r="439" spans="1:4">
      <c r="A439" s="20" t="str">
        <f>B439&amp;COUNTIF($B$2:B439,B439)</f>
        <v>心理医生4</v>
      </c>
      <c r="B439" t="s">
        <v>581</v>
      </c>
      <c r="C439" t="s">
        <v>1238</v>
      </c>
      <c r="D439">
        <v>95</v>
      </c>
    </row>
    <row r="440" spans="1:4">
      <c r="A440" s="20" t="str">
        <f>B440&amp;COUNTIF($B$2:B440,B440)</f>
        <v>心理医生5</v>
      </c>
      <c r="B440" t="s">
        <v>581</v>
      </c>
      <c r="C440" t="s">
        <v>80</v>
      </c>
      <c r="D440">
        <v>30</v>
      </c>
    </row>
    <row r="441" spans="1:4">
      <c r="A441" s="20" t="str">
        <f>B441&amp;COUNTIF($B$2:B441,B441)</f>
        <v>心理医生6</v>
      </c>
      <c r="B441" t="s">
        <v>581</v>
      </c>
      <c r="C441" t="s">
        <v>1314</v>
      </c>
      <c r="D441">
        <v>50</v>
      </c>
    </row>
    <row r="442" spans="1:4">
      <c r="A442" s="20" t="str">
        <f>B442&amp;COUNTIF($B$2:B442,B442)</f>
        <v>心理医生7</v>
      </c>
      <c r="B442" t="s">
        <v>581</v>
      </c>
      <c r="C442" t="s">
        <v>1315</v>
      </c>
      <c r="D442">
        <v>50</v>
      </c>
    </row>
    <row r="443" spans="1:4">
      <c r="A443" s="20" t="str">
        <f>B443&amp;COUNTIF($B$2:B443,B443)</f>
        <v>心理医生8</v>
      </c>
      <c r="B443" t="s">
        <v>581</v>
      </c>
      <c r="C443" s="21" t="s">
        <v>1239</v>
      </c>
      <c r="D443" s="21">
        <v>10</v>
      </c>
    </row>
    <row r="444" spans="1:4">
      <c r="A444" s="20" t="str">
        <f>B444&amp;COUNTIF($B$2:B444,B444)</f>
        <v>心理医生9</v>
      </c>
      <c r="B444" t="s">
        <v>581</v>
      </c>
      <c r="C444" s="21" t="s">
        <v>1240</v>
      </c>
      <c r="D444" s="21">
        <v>20</v>
      </c>
    </row>
  </sheetData>
  <sheetProtection sheet="1" selectLockedCells="1" objects="1"/>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3"/>
  <sheetViews>
    <sheetView topLeftCell="A58" workbookViewId="0">
      <selection activeCell="H83" sqref="H83"/>
    </sheetView>
  </sheetViews>
  <sheetFormatPr defaultColWidth="9" defaultRowHeight="16.5" outlineLevelCol="4"/>
  <cols>
    <col min="1" max="1" width="9" style="11" customWidth="1"/>
    <col min="2" max="2" width="32.6333333333333" style="11" customWidth="1"/>
    <col min="3" max="3" width="9.25" style="12" customWidth="1"/>
    <col min="4" max="16384" width="9" style="11" customWidth="1"/>
  </cols>
  <sheetData>
    <row r="1" spans="1:5">
      <c r="A1" s="13">
        <v>1</v>
      </c>
      <c r="B1" s="13" t="s">
        <v>1315</v>
      </c>
      <c r="C1" s="14">
        <f>IF(OR(人物卡!M9&lt;=6,人物卡!AI21=5),40,IF(人物卡!AI21=1,80,IF(人物卡!AI21=2,70,IF(人物卡!AI21=3,60,50))))</f>
        <v>80</v>
      </c>
      <c r="E1" s="11" t="s">
        <v>1316</v>
      </c>
    </row>
    <row r="2" spans="1:3">
      <c r="A2" s="13">
        <v>1</v>
      </c>
      <c r="B2" s="13" t="s">
        <v>1314</v>
      </c>
      <c r="C2" s="14">
        <f>IF(OR(人物卡!M9&lt;=6,人物卡!AI21=5),60,IF(人物卡!AI21=1,100,IF(人物卡!AI21=2,90,IF(人物卡!AI21=3,80,70))))</f>
        <v>100</v>
      </c>
    </row>
    <row r="3" spans="1:3">
      <c r="A3" s="13">
        <v>1</v>
      </c>
      <c r="B3" s="15" t="s">
        <v>80</v>
      </c>
      <c r="C3" s="14" t="s">
        <v>50</v>
      </c>
    </row>
    <row r="4" spans="1:3">
      <c r="A4" s="13">
        <v>1</v>
      </c>
      <c r="B4" s="13" t="s">
        <v>1238</v>
      </c>
      <c r="C4" s="14" t="s">
        <v>50</v>
      </c>
    </row>
    <row r="5" spans="1:3">
      <c r="A5" s="13">
        <v>1</v>
      </c>
      <c r="B5" s="13" t="s">
        <v>1313</v>
      </c>
      <c r="C5" s="14">
        <f>IF(OR(人物卡!M9&lt;=7,人物卡!AI21=5),15,IF(人物卡!AI21=1,35,IF(人物卡!AI21=2,30,IF(人物卡!AI21=3,25,20))))</f>
        <v>35</v>
      </c>
    </row>
    <row r="6" spans="1:3">
      <c r="A6" s="13">
        <v>1</v>
      </c>
      <c r="B6" s="15" t="s">
        <v>82</v>
      </c>
      <c r="C6" s="14" t="s">
        <v>50</v>
      </c>
    </row>
    <row r="7" spans="1:3">
      <c r="A7" s="13">
        <v>1</v>
      </c>
      <c r="B7" s="13" t="s">
        <v>1312</v>
      </c>
      <c r="C7" s="14">
        <v>5</v>
      </c>
    </row>
    <row r="8" spans="1:3">
      <c r="A8" s="16">
        <v>2</v>
      </c>
      <c r="B8" s="16" t="s">
        <v>1311</v>
      </c>
      <c r="C8" s="14">
        <f>IF(OR(人物卡!M9&lt;=5,人物卡!AI21=5),50,IF(人物卡!AI21=1,70,IF(人物卡!AI21=2,65,IF(人物卡!AI21=3,60,55))))</f>
        <v>70</v>
      </c>
    </row>
    <row r="9" spans="1:3">
      <c r="A9" s="16">
        <v>2</v>
      </c>
      <c r="B9" s="16" t="s">
        <v>1310</v>
      </c>
      <c r="C9" s="14">
        <f>IF(OR(人物卡!M9&lt;=6,人物卡!AI21=5),10,IF(人物卡!AI21=1,50,IF(人物卡!AI21=2,40,IF(人物卡!AI21=3,30,20))))</f>
        <v>50</v>
      </c>
    </row>
    <row r="10" spans="1:3">
      <c r="A10" s="16">
        <v>2</v>
      </c>
      <c r="B10" s="17" t="s">
        <v>143</v>
      </c>
      <c r="C10" s="14" t="s">
        <v>50</v>
      </c>
    </row>
    <row r="11" spans="1:3">
      <c r="A11" s="16">
        <v>2</v>
      </c>
      <c r="B11" s="16" t="s">
        <v>1309</v>
      </c>
      <c r="C11" s="14">
        <f>IF(OR(人物卡!M9&lt;=7,人物卡!AI21=5),35,IF(人物卡!AI21=1,55,IF(人物卡!AI21=2,50,IF(人物卡!AI21=3,45,40))))</f>
        <v>55</v>
      </c>
    </row>
    <row r="12" spans="1:3">
      <c r="A12" s="16">
        <v>2</v>
      </c>
      <c r="B12" s="16" t="s">
        <v>1238</v>
      </c>
      <c r="C12" s="14" t="s">
        <v>50</v>
      </c>
    </row>
    <row r="13" spans="1:3">
      <c r="A13" s="16">
        <v>2</v>
      </c>
      <c r="B13" s="16" t="s">
        <v>1308</v>
      </c>
      <c r="C13" s="14">
        <v>5</v>
      </c>
    </row>
    <row r="14" spans="1:3">
      <c r="A14" s="16">
        <v>2</v>
      </c>
      <c r="B14" s="17" t="s">
        <v>110</v>
      </c>
      <c r="C14" s="14" t="s">
        <v>50</v>
      </c>
    </row>
    <row r="15" spans="1:3">
      <c r="A15" s="16">
        <v>2</v>
      </c>
      <c r="B15" s="17" t="s">
        <v>1307</v>
      </c>
      <c r="C15" s="14" t="s">
        <v>50</v>
      </c>
    </row>
    <row r="16" spans="1:3">
      <c r="A16" s="16">
        <v>2</v>
      </c>
      <c r="B16" s="17" t="s">
        <v>102</v>
      </c>
      <c r="C16" s="14" t="s">
        <v>50</v>
      </c>
    </row>
    <row r="17" spans="1:3">
      <c r="A17" s="16">
        <v>3</v>
      </c>
      <c r="B17" s="16" t="s">
        <v>1306</v>
      </c>
      <c r="C17" s="14">
        <f>IF(OR(人物卡!M9&lt;=7,人物卡!AI21=5),30,IF(人物卡!AI21=1,50,IF(人物卡!AI21=2,45,IF(人物卡!AI21=3,40,35))))</f>
        <v>50</v>
      </c>
    </row>
    <row r="18" spans="1:3">
      <c r="A18" s="16">
        <v>3</v>
      </c>
      <c r="B18" s="16" t="s">
        <v>1305</v>
      </c>
      <c r="C18" s="14">
        <v>5</v>
      </c>
    </row>
    <row r="19" spans="1:3">
      <c r="A19" s="16">
        <v>3</v>
      </c>
      <c r="B19" s="16" t="s">
        <v>1239</v>
      </c>
      <c r="C19" s="14">
        <f>IF(OR(人物卡!T9=3,人物卡!T9=4,人物卡!T9=8,人物卡!T9=9,人物卡!T9=11,人物卡!T9=14,人物卡!T9=16),IF(OR(人物卡!M9&lt;=8,人物卡!AI21=5),1,IF(人物卡!AI21=1,20,IF(人物卡!AI21=2,15,IF(人物卡!AI21=3,10,5)))),20)</f>
        <v>20</v>
      </c>
    </row>
    <row r="20" spans="1:3">
      <c r="A20" s="16">
        <v>4</v>
      </c>
      <c r="B20" s="16" t="s">
        <v>1240</v>
      </c>
      <c r="C20" s="14">
        <f>IF(人物卡!T9=4,IF(OR(人物卡!M9&lt;=7,人物卡!AI21=5),5,IF(人物卡!AI21=1,25,IF(人物卡!AI21=2,20,IF(人物卡!AI21=3,15,10)))),25)</f>
        <v>25</v>
      </c>
    </row>
    <row r="21" spans="1:3">
      <c r="A21" s="16">
        <v>4</v>
      </c>
      <c r="B21" s="16" t="s">
        <v>1239</v>
      </c>
      <c r="C21" s="14">
        <f>IF(OR(人物卡!T9=3,人物卡!T9=4,人物卡!T9=8,人物卡!T9=9,人物卡!T9=11,人物卡!T9=14,人物卡!T9=16),IF(OR(人物卡!M9&lt;=8,人物卡!AI21=5),1,IF(人物卡!AI21=1,20,IF(人物卡!AI21=2,15,IF(人物卡!AI21=3,10,5)))),20)</f>
        <v>20</v>
      </c>
    </row>
    <row r="22" spans="1:3">
      <c r="A22" s="16">
        <v>4</v>
      </c>
      <c r="B22" s="16" t="s">
        <v>1304</v>
      </c>
      <c r="C22" s="14">
        <f>IF(OR(人物卡!M9&lt;=6,人物卡!AI21=5),20,IF(人物卡!AI21=1,40,IF(人物卡!AI21=2,35,IF(人物卡!AI21=3,30,25))))</f>
        <v>40</v>
      </c>
    </row>
    <row r="23" spans="1:3">
      <c r="A23" s="16">
        <v>5</v>
      </c>
      <c r="B23" s="16" t="s">
        <v>1303</v>
      </c>
      <c r="C23" s="14">
        <f>IF(OR(人物卡!M9&lt;=6,人物卡!AI21=5),80,IF(人物卡!AI21=1,100,IF(人物卡!AI21=2,95,IF(人物卡!AI21=3,90,85))))</f>
        <v>100</v>
      </c>
    </row>
    <row r="24" spans="1:3">
      <c r="A24" s="16">
        <v>5</v>
      </c>
      <c r="B24" s="16" t="s">
        <v>1302</v>
      </c>
      <c r="C24" s="14">
        <f>IF(OR(人物卡!M9&lt;=7,人物卡!AI21=5),15,IF(人物卡!AI21=1,35,IF(人物卡!AI21=2,30,IF(人物卡!AI21=3,25,20))))</f>
        <v>35</v>
      </c>
    </row>
    <row r="25" spans="1:3">
      <c r="A25" s="16">
        <v>5</v>
      </c>
      <c r="B25" s="18" t="s">
        <v>108</v>
      </c>
      <c r="C25" s="14" t="s">
        <v>50</v>
      </c>
    </row>
    <row r="26" spans="1:3">
      <c r="A26" s="16">
        <v>5</v>
      </c>
      <c r="B26" s="16" t="s">
        <v>1238</v>
      </c>
      <c r="C26" s="14" t="s">
        <v>50</v>
      </c>
    </row>
    <row r="27" spans="1:3">
      <c r="A27" s="16">
        <v>6</v>
      </c>
      <c r="B27" s="16" t="s">
        <v>1299</v>
      </c>
      <c r="C27" s="14">
        <v>10</v>
      </c>
    </row>
    <row r="28" spans="1:3">
      <c r="A28" s="16">
        <v>6</v>
      </c>
      <c r="B28" s="16" t="s">
        <v>1238</v>
      </c>
      <c r="C28" s="14" t="s">
        <v>50</v>
      </c>
    </row>
    <row r="29" spans="1:3">
      <c r="A29" s="16">
        <v>6</v>
      </c>
      <c r="B29" s="16" t="s">
        <v>1297</v>
      </c>
      <c r="C29" s="14">
        <v>5</v>
      </c>
    </row>
    <row r="30" spans="1:3">
      <c r="A30" s="16">
        <v>6</v>
      </c>
      <c r="B30" s="16" t="s">
        <v>1300</v>
      </c>
      <c r="C30" s="14">
        <v>100</v>
      </c>
    </row>
    <row r="31" spans="1:3">
      <c r="A31" s="16">
        <v>6</v>
      </c>
      <c r="B31" s="16" t="s">
        <v>1301</v>
      </c>
      <c r="C31" s="14">
        <f>IF(OR(人物卡!M9&lt;=6,人物卡!AI21=5),40,IF(人物卡!AI21=1,55,IF(人物卡!AI21=2,55,IF(人物卡!AI21=3,45,45))))</f>
        <v>55</v>
      </c>
    </row>
    <row r="32" spans="1:3">
      <c r="A32" s="16">
        <v>7</v>
      </c>
      <c r="B32" s="16" t="s">
        <v>1294</v>
      </c>
      <c r="C32" s="14">
        <f>IF(OR(人物卡!M9&lt;=7,人物卡!AI21=5),10,IF(人物卡!AI21=1,30,IF(人物卡!AI21=2,25,IF(人物卡!AI21=3,20,15))))</f>
        <v>30</v>
      </c>
    </row>
    <row r="33" spans="1:3">
      <c r="A33" s="16">
        <v>7</v>
      </c>
      <c r="B33" s="18" t="s">
        <v>1293</v>
      </c>
      <c r="C33" s="14" t="s">
        <v>50</v>
      </c>
    </row>
    <row r="34" spans="1:3">
      <c r="A34" s="16">
        <v>7</v>
      </c>
      <c r="B34" s="18" t="s">
        <v>1292</v>
      </c>
      <c r="C34" s="14" t="s">
        <v>50</v>
      </c>
    </row>
    <row r="35" spans="1:3">
      <c r="A35" s="16">
        <v>7</v>
      </c>
      <c r="B35" s="18" t="s">
        <v>108</v>
      </c>
      <c r="C35" s="14" t="s">
        <v>50</v>
      </c>
    </row>
    <row r="36" spans="1:3">
      <c r="A36" s="16">
        <v>7</v>
      </c>
      <c r="B36" s="19" t="s">
        <v>1295</v>
      </c>
      <c r="C36" s="14">
        <f>50+人物卡!AW109*10</f>
        <v>50</v>
      </c>
    </row>
    <row r="37" spans="1:3">
      <c r="A37" s="16">
        <v>7</v>
      </c>
      <c r="B37" s="19" t="s">
        <v>1296</v>
      </c>
      <c r="C37" s="14">
        <v>5</v>
      </c>
    </row>
    <row r="38" spans="1:3">
      <c r="A38" s="16">
        <v>7</v>
      </c>
      <c r="B38" s="18" t="s">
        <v>106</v>
      </c>
      <c r="C38" s="14" t="s">
        <v>50</v>
      </c>
    </row>
    <row r="39" spans="1:3">
      <c r="A39" s="16">
        <v>8</v>
      </c>
      <c r="B39" s="18" t="s">
        <v>1289</v>
      </c>
      <c r="C39" s="14" t="s">
        <v>50</v>
      </c>
    </row>
    <row r="40" spans="1:3">
      <c r="A40" s="16">
        <v>8</v>
      </c>
      <c r="B40" s="18" t="s">
        <v>137</v>
      </c>
      <c r="C40" s="14" t="s">
        <v>50</v>
      </c>
    </row>
    <row r="41" spans="1:3">
      <c r="A41" s="16">
        <v>8</v>
      </c>
      <c r="B41" s="18" t="s">
        <v>142</v>
      </c>
      <c r="C41" s="14" t="s">
        <v>50</v>
      </c>
    </row>
    <row r="42" spans="1:3">
      <c r="A42" s="16">
        <v>8</v>
      </c>
      <c r="B42" s="18" t="s">
        <v>108</v>
      </c>
      <c r="C42" s="14" t="s">
        <v>50</v>
      </c>
    </row>
    <row r="43" spans="1:3">
      <c r="A43" s="16">
        <v>8</v>
      </c>
      <c r="B43" s="16" t="s">
        <v>1239</v>
      </c>
      <c r="C43" s="14">
        <f>IF(OR(人物卡!T9=3,人物卡!T9=4,人物卡!T9=8,人物卡!T9=9,人物卡!T9=11,人物卡!T9=14,人物卡!T9=16),IF(OR(人物卡!M9&lt;=8,人物卡!AI21=5),1,IF(人物卡!AI21=1,20,IF(人物卡!AI21=2,15,IF(人物卡!AI21=3,10,5)))),20)</f>
        <v>20</v>
      </c>
    </row>
    <row r="44" spans="1:3">
      <c r="A44" s="16">
        <v>8</v>
      </c>
      <c r="B44" s="16" t="s">
        <v>1290</v>
      </c>
      <c r="C44" s="14">
        <f>IF(OR(人物卡!M9&lt;=6,人物卡!AI21=5),5,IF(人物卡!AI21=1,25,IF(人物卡!AI21=2,20,IF(人物卡!AI21=3,15,10))))</f>
        <v>25</v>
      </c>
    </row>
    <row r="45" spans="1:3">
      <c r="A45" s="16">
        <v>8</v>
      </c>
      <c r="B45" s="16" t="s">
        <v>1291</v>
      </c>
      <c r="C45" s="14">
        <f>IF(OR(人物卡!M9&lt;=6,人物卡!AI21=5),30,IF(人物卡!AI21=1,50,IF(人物卡!AI21=2,45,IF(人物卡!AI21=3,40,35))))</f>
        <v>50</v>
      </c>
    </row>
    <row r="46" spans="1:3">
      <c r="A46" s="16">
        <v>9</v>
      </c>
      <c r="B46" s="16" t="s">
        <v>1281</v>
      </c>
      <c r="C46" s="14">
        <f>IF(OR(AND(人物卡!T9=11,人物卡!M9=8),AND(人物卡!T9=9,人物卡!M9=7,人物卡!AI21=1),AND(人物卡!T9=11,人物卡!M9=7,人物卡!AI21=1)),25,IF(人物卡!AI21=2,20,IF(人物卡!AI21=3,15,IF(人物卡!AI21=4,10,5))))</f>
        <v>5</v>
      </c>
    </row>
    <row r="47" spans="1:3">
      <c r="A47" s="16">
        <v>9</v>
      </c>
      <c r="B47" s="16" t="s">
        <v>1288</v>
      </c>
      <c r="C47" s="14">
        <f>IF(OR(人物卡!M9&lt;=6,人物卡!AI21=5),10,IF(人物卡!AI21=1,30,IF(人物卡!AI21=2,25,IF(人物卡!AI21=3,20,15))))</f>
        <v>30</v>
      </c>
    </row>
    <row r="48" spans="1:3">
      <c r="A48" s="16">
        <v>9</v>
      </c>
      <c r="B48" s="16" t="s">
        <v>1287</v>
      </c>
      <c r="C48" s="14">
        <f>IF(OR(人物卡!M9&lt;=6,人物卡!AI21=5),30,IF(人物卡!AI21=1,50,IF(人物卡!AI21=2,45,IF(人物卡!AI21=3,40,35))))</f>
        <v>50</v>
      </c>
    </row>
    <row r="49" spans="1:3">
      <c r="A49" s="16">
        <v>9</v>
      </c>
      <c r="B49" s="16" t="s">
        <v>1286</v>
      </c>
      <c r="C49" s="14">
        <f>IF(OR(人物卡!M9&lt;=6,人物卡!AI21=5),5,IF(人物卡!AI21=1,25,IF(人物卡!AI21=2,20,IF(人物卡!AI21=3,15,10))))</f>
        <v>25</v>
      </c>
    </row>
    <row r="50" spans="1:3">
      <c r="A50" s="16">
        <v>9</v>
      </c>
      <c r="B50" s="16" t="s">
        <v>1285</v>
      </c>
      <c r="C50" s="14">
        <f>IF(OR(人物卡!M9&lt;=6,人物卡!AI21=5),40,IF(人物卡!AI21=1,60,IF(人物卡!AI21=2,55,IF(人物卡!AI21=3,50,45))))</f>
        <v>60</v>
      </c>
    </row>
    <row r="51" spans="1:3">
      <c r="A51" s="16">
        <v>9</v>
      </c>
      <c r="B51" s="16" t="s">
        <v>1243</v>
      </c>
      <c r="C51" s="14" t="s">
        <v>50</v>
      </c>
    </row>
    <row r="52" spans="1:3">
      <c r="A52" s="16">
        <v>9</v>
      </c>
      <c r="B52" s="16" t="s">
        <v>1239</v>
      </c>
      <c r="C52" s="14">
        <f>IF(OR(人物卡!T9=3,人物卡!T9=4,人物卡!T9=8,人物卡!T9=9,人物卡!T9=11,人物卡!T9=14,人物卡!T9=16),IF(OR(人物卡!M9&lt;=8,人物卡!AI21=5),1,IF(人物卡!AI21=1,20,IF(人物卡!AI21=2,15,IF(人物卡!AI21=3,10,5)))),20)</f>
        <v>20</v>
      </c>
    </row>
    <row r="53" spans="1:3">
      <c r="A53" s="16">
        <v>10</v>
      </c>
      <c r="B53" s="16" t="s">
        <v>1284</v>
      </c>
      <c r="C53" s="14">
        <f>IF(OR(人物卡!M9&lt;=8,人物卡!AI21=5),5,IF(人物卡!AI21=1,25,IF(人物卡!AI21=2,20,IF(人物卡!AI21=3,15,10))))</f>
        <v>25</v>
      </c>
    </row>
    <row r="54" spans="1:3">
      <c r="A54" s="16">
        <v>10</v>
      </c>
      <c r="B54" s="16" t="s">
        <v>1283</v>
      </c>
      <c r="C54" s="14">
        <f>IF(OR(人物卡!M9&lt;=8,人物卡!AI21=5),5,IF(人物卡!AI21=1,25,IF(人物卡!AI21=2,20,IF(人物卡!AI21=3,15,10))))</f>
        <v>25</v>
      </c>
    </row>
    <row r="55" spans="1:3">
      <c r="A55" s="16">
        <v>11</v>
      </c>
      <c r="B55" s="16" t="s">
        <v>1239</v>
      </c>
      <c r="C55" s="14">
        <f>IF(OR(人物卡!T9=3,人物卡!T9=4,人物卡!T9=8,人物卡!T9=9,人物卡!T9=11,人物卡!T9=14,人物卡!T9=16),IF(OR(人物卡!M9&lt;=8,人物卡!AI21=5),1,IF(人物卡!AI21=1,20,IF(人物卡!AI21=2,15,IF(人物卡!AI21=3,10,5)))),20)</f>
        <v>20</v>
      </c>
    </row>
    <row r="56" spans="1:3">
      <c r="A56" s="16">
        <v>11</v>
      </c>
      <c r="B56" s="16" t="s">
        <v>1282</v>
      </c>
      <c r="C56" s="14">
        <f>IF(OR(人物卡!M9&lt;=6,人物卡!AI21=5),15,IF(人物卡!AI21=1,35,IF(人物卡!AI21=2,30,IF(人物卡!AI21=3,25,20))))</f>
        <v>35</v>
      </c>
    </row>
    <row r="57" spans="1:3">
      <c r="A57" s="16">
        <v>11</v>
      </c>
      <c r="B57" s="16" t="s">
        <v>1281</v>
      </c>
      <c r="C57" s="14">
        <f>IF(OR(AND(人物卡!T9=11,人物卡!M9=8),AND(人物卡!T9=9,人物卡!M9=7,人物卡!AI21=1),AND(人物卡!T9=11,人物卡!M9=7,人物卡!AI21=1)),25,IF(人物卡!AI21=2,20,IF(人物卡!AI21=3,15,IF(人物卡!AI21=4,10,5))))</f>
        <v>5</v>
      </c>
    </row>
    <row r="58" spans="1:3">
      <c r="A58" s="16">
        <v>11</v>
      </c>
      <c r="B58" s="18" t="s">
        <v>91</v>
      </c>
      <c r="C58" s="14" t="s">
        <v>50</v>
      </c>
    </row>
    <row r="59" spans="1:3">
      <c r="A59" s="16">
        <v>11</v>
      </c>
      <c r="B59" s="18" t="s">
        <v>105</v>
      </c>
      <c r="C59" s="14" t="s">
        <v>50</v>
      </c>
    </row>
    <row r="60" spans="1:3">
      <c r="A60" s="16">
        <v>11</v>
      </c>
      <c r="B60" s="16" t="s">
        <v>1238</v>
      </c>
      <c r="C60" s="14" t="s">
        <v>50</v>
      </c>
    </row>
    <row r="61" spans="1:3">
      <c r="A61" s="16">
        <v>11</v>
      </c>
      <c r="B61" s="18" t="s">
        <v>98</v>
      </c>
      <c r="C61" s="14" t="s">
        <v>50</v>
      </c>
    </row>
    <row r="62" spans="1:3">
      <c r="A62" s="16">
        <v>11</v>
      </c>
      <c r="B62" s="18" t="s">
        <v>94</v>
      </c>
      <c r="C62" s="12" t="s">
        <v>50</v>
      </c>
    </row>
    <row r="63" spans="1:3">
      <c r="A63" s="16">
        <v>12</v>
      </c>
      <c r="B63" s="16" t="s">
        <v>1279</v>
      </c>
      <c r="C63" s="14">
        <f>IF(OR(人物卡!M9&lt;=7,人物卡!AI21=5),30,IF(人物卡!AI21=1,50,IF(人物卡!AI21=2,45,IF(人物卡!AI21=3,40,35))))</f>
        <v>50</v>
      </c>
    </row>
    <row r="64" spans="1:5">
      <c r="A64" s="16">
        <v>12</v>
      </c>
      <c r="B64" s="16" t="s">
        <v>1278</v>
      </c>
      <c r="C64" s="12" t="str">
        <f>CONCATENATE(D64,E64)</f>
        <v>20/人</v>
      </c>
      <c r="D64" s="14">
        <f>IF(OR(人物卡!M9&lt;=8,人物卡!AI21=5),5,IF(人物卡!AI21=1,20,IF(人物卡!AI21=2,15,IF(人物卡!AI21=3,10,5))))</f>
        <v>20</v>
      </c>
      <c r="E64" s="11" t="s">
        <v>1317</v>
      </c>
    </row>
    <row r="65" spans="1:3">
      <c r="A65" s="16">
        <v>12</v>
      </c>
      <c r="B65" s="16" t="s">
        <v>1280</v>
      </c>
      <c r="C65" s="14">
        <f>IF(OR(人物卡!M9&lt;=6,人物卡!AI21=5),40,IF(人物卡!AI21=1,60,IF(人物卡!AI21=2,55,IF(人物卡!AI21=3,50,45))))</f>
        <v>60</v>
      </c>
    </row>
    <row r="66" spans="1:3">
      <c r="A66" s="16">
        <v>13</v>
      </c>
      <c r="B66" s="16" t="s">
        <v>1276</v>
      </c>
      <c r="C66" s="14">
        <f>IF(OR(人物卡!M9&lt;=7,人物卡!AI21=5),30,IF(人物卡!AI21=1,50,IF(人物卡!AI21=2,45,IF(人物卡!AI21=3,40,35))))</f>
        <v>50</v>
      </c>
    </row>
    <row r="67" spans="1:3">
      <c r="A67" s="16">
        <v>13</v>
      </c>
      <c r="B67" s="18" t="s">
        <v>99</v>
      </c>
      <c r="C67" s="14" t="s">
        <v>50</v>
      </c>
    </row>
    <row r="68" spans="1:3">
      <c r="A68" s="16">
        <v>13</v>
      </c>
      <c r="B68" s="18" t="s">
        <v>1275</v>
      </c>
      <c r="C68" s="14" t="s">
        <v>50</v>
      </c>
    </row>
    <row r="69" spans="1:3">
      <c r="A69" s="16">
        <v>13</v>
      </c>
      <c r="B69" s="18" t="s">
        <v>108</v>
      </c>
      <c r="C69" s="14" t="s">
        <v>50</v>
      </c>
    </row>
    <row r="70" spans="1:3">
      <c r="A70" s="16">
        <v>13</v>
      </c>
      <c r="B70" s="19" t="s">
        <v>1277</v>
      </c>
      <c r="C70" s="14">
        <f>IF(OR(人物卡!M9&lt;=6,人物卡!AI21=5),20,IF(人物卡!AI21=1,40,IF(人物卡!AI21=2,35,IF(人物卡!AI21=3,30,25))))</f>
        <v>40</v>
      </c>
    </row>
    <row r="71" spans="1:3">
      <c r="A71" s="16">
        <v>14</v>
      </c>
      <c r="B71" s="18" t="s">
        <v>82</v>
      </c>
      <c r="C71" s="14" t="s">
        <v>50</v>
      </c>
    </row>
    <row r="72" spans="1:3">
      <c r="A72" s="16">
        <v>14</v>
      </c>
      <c r="B72" s="16" t="s">
        <v>1239</v>
      </c>
      <c r="C72" s="14">
        <f>IF(OR(人物卡!T9=3,人物卡!T9=4,人物卡!T9=8,人物卡!T9=9,人物卡!T9=11,人物卡!T9=14,人物卡!T9=16),IF(OR(人物卡!M9&lt;=8,人物卡!AI21=5),1,IF(人物卡!AI21=1,20,IF(人物卡!AI21=2,15,IF(人物卡!AI21=3,10,5)))),20)</f>
        <v>20</v>
      </c>
    </row>
    <row r="73" spans="1:3">
      <c r="A73" s="16">
        <v>14</v>
      </c>
      <c r="B73" s="18" t="s">
        <v>1318</v>
      </c>
      <c r="C73" s="14" t="s">
        <v>50</v>
      </c>
    </row>
    <row r="74" spans="1:3">
      <c r="A74" s="16">
        <v>14</v>
      </c>
      <c r="B74" s="18" t="s">
        <v>137</v>
      </c>
      <c r="C74" s="14" t="s">
        <v>50</v>
      </c>
    </row>
    <row r="75" spans="1:3">
      <c r="A75" s="16">
        <v>14</v>
      </c>
      <c r="B75" s="19" t="s">
        <v>1273</v>
      </c>
      <c r="C75" s="14">
        <f>IF(OR(人物卡!M9&lt;=6,人物卡!AI21=5),15,IF(人物卡!AI21=1,35,IF(人物卡!AI21=2,30,IF(人物卡!AI21=3,25,20))))</f>
        <v>35</v>
      </c>
    </row>
    <row r="76" spans="1:3">
      <c r="A76" s="16">
        <v>14</v>
      </c>
      <c r="B76" s="19" t="s">
        <v>1274</v>
      </c>
      <c r="C76" s="14">
        <v>5</v>
      </c>
    </row>
    <row r="77" spans="1:3">
      <c r="A77" s="16">
        <v>15</v>
      </c>
      <c r="B77" s="18" t="s">
        <v>765</v>
      </c>
      <c r="C77" s="14" t="s">
        <v>50</v>
      </c>
    </row>
    <row r="78" spans="1:3">
      <c r="A78" s="16">
        <v>15</v>
      </c>
      <c r="B78" s="16" t="s">
        <v>1272</v>
      </c>
      <c r="C78" s="14">
        <f>IF(OR(人物卡!M9&lt;=6,人物卡!AI21=5),5,IF(人物卡!AI21=1,25,IF(人物卡!AI21=2,20,IF(人物卡!AI21=3,15,10))))</f>
        <v>25</v>
      </c>
    </row>
    <row r="79" spans="1:3">
      <c r="A79" s="16">
        <v>15</v>
      </c>
      <c r="B79" s="18" t="s">
        <v>779</v>
      </c>
      <c r="C79" s="14" t="s">
        <v>50</v>
      </c>
    </row>
    <row r="80" spans="1:3">
      <c r="A80" s="16">
        <v>15</v>
      </c>
      <c r="B80" s="18" t="s">
        <v>123</v>
      </c>
      <c r="C80" s="14" t="s">
        <v>50</v>
      </c>
    </row>
    <row r="81" spans="1:3">
      <c r="A81" s="16">
        <v>15</v>
      </c>
      <c r="B81" s="18" t="s">
        <v>141</v>
      </c>
      <c r="C81" s="14" t="s">
        <v>50</v>
      </c>
    </row>
    <row r="82" spans="1:3">
      <c r="A82" s="16">
        <v>15</v>
      </c>
      <c r="B82" s="16" t="s">
        <v>1271</v>
      </c>
      <c r="C82" s="14">
        <f>IF(OR(人物卡!M9&lt;=7,人物卡!AI21=5),30,IF(人物卡!AI21=1,50,IF(人物卡!AI21=2,45,IF(人物卡!AI21=3,40,35))))</f>
        <v>50</v>
      </c>
    </row>
    <row r="83" spans="1:5">
      <c r="A83" s="16">
        <v>15</v>
      </c>
      <c r="B83" s="16" t="s">
        <v>1270</v>
      </c>
      <c r="C83" s="12" t="str">
        <f>CONCATENATE(D83,E83)</f>
        <v>30/人</v>
      </c>
      <c r="D83" s="14">
        <f>IF(OR(人物卡!M9&lt;=7,人物卡!AI21=5),10,IF(人物卡!AI21=1,30,IF(人物卡!AI21=2,25,IF(人物卡!AI21=3,20,15))))</f>
        <v>30</v>
      </c>
      <c r="E83" s="11" t="s">
        <v>1317</v>
      </c>
    </row>
    <row r="84" hidden="1" spans="1:2">
      <c r="A84" s="16" t="s">
        <v>566</v>
      </c>
      <c r="B84" s="16" t="s">
        <v>115</v>
      </c>
    </row>
    <row r="85" spans="1:3">
      <c r="A85" s="16">
        <v>15</v>
      </c>
      <c r="B85" s="18" t="s">
        <v>790</v>
      </c>
      <c r="C85" s="14" t="s">
        <v>50</v>
      </c>
    </row>
    <row r="86" spans="1:3">
      <c r="A86" s="16">
        <v>15</v>
      </c>
      <c r="B86" s="18" t="s">
        <v>142</v>
      </c>
      <c r="C86" s="14" t="s">
        <v>50</v>
      </c>
    </row>
    <row r="87" spans="1:3">
      <c r="A87" s="16">
        <v>16</v>
      </c>
      <c r="B87" s="17" t="s">
        <v>784</v>
      </c>
      <c r="C87" s="14" t="s">
        <v>50</v>
      </c>
    </row>
    <row r="88" spans="1:3">
      <c r="A88" s="16">
        <v>16</v>
      </c>
      <c r="B88" s="18" t="s">
        <v>1266</v>
      </c>
      <c r="C88" s="14" t="s">
        <v>50</v>
      </c>
    </row>
    <row r="89" spans="1:3">
      <c r="A89" s="16">
        <v>16</v>
      </c>
      <c r="B89" s="16" t="s">
        <v>1239</v>
      </c>
      <c r="C89" s="14">
        <f>IF(OR(人物卡!T9=3,人物卡!T9=4,人物卡!T9=8,人物卡!T9=9,人物卡!T9=11,人物卡!T9=14,人物卡!T9=16),IF(OR(人物卡!M9&lt;=8,人物卡!AI21=5),1,IF(人物卡!AI21=1,20,IF(人物卡!AI21=2,15,IF(人物卡!AI21=3,10,5)))),20)</f>
        <v>20</v>
      </c>
    </row>
    <row r="90" spans="1:3">
      <c r="A90" s="16">
        <v>16</v>
      </c>
      <c r="B90" s="18" t="s">
        <v>779</v>
      </c>
      <c r="C90" s="14" t="s">
        <v>50</v>
      </c>
    </row>
    <row r="91" spans="1:3">
      <c r="A91" s="16">
        <v>16</v>
      </c>
      <c r="B91" s="18" t="s">
        <v>141</v>
      </c>
      <c r="C91" s="14" t="s">
        <v>50</v>
      </c>
    </row>
    <row r="92" spans="1:3">
      <c r="A92" s="16">
        <v>16</v>
      </c>
      <c r="B92" s="19" t="s">
        <v>1267</v>
      </c>
      <c r="C92" s="14">
        <f>IF(OR(人物卡!M9&lt;=7,人物卡!AI21=5),15,IF(人物卡!AI21=1,35,IF(人物卡!AI21=2,30,IF(人物卡!AI21=3,25,20))))</f>
        <v>35</v>
      </c>
    </row>
    <row r="93" spans="1:3">
      <c r="A93" s="16">
        <v>16</v>
      </c>
      <c r="B93" s="19" t="s">
        <v>1268</v>
      </c>
      <c r="C93" s="14">
        <f>IF(OR(人物卡!M9&lt;=6,人物卡!AI21=5),10,IF(人物卡!AI21=1,30,IF(人物卡!AI21=2,25,IF(人物卡!AI21=3,20,15))))</f>
        <v>30</v>
      </c>
    </row>
    <row r="94" spans="1:3">
      <c r="A94" s="16">
        <v>16</v>
      </c>
      <c r="B94" s="19" t="s">
        <v>1269</v>
      </c>
      <c r="C94" s="14">
        <f>IF(OR(人物卡!M9&lt;=6,人物卡!AI21=5),20,IF(人物卡!AI21=1,60,IF(人物卡!AI21=2,50,IF(人物卡!AI21=3,40,30))))</f>
        <v>60</v>
      </c>
    </row>
    <row r="95" spans="1:3">
      <c r="A95" s="16">
        <v>17</v>
      </c>
      <c r="B95" s="16" t="s">
        <v>1263</v>
      </c>
      <c r="C95" s="14">
        <f>IF(人物卡!T9=17,IF(OR(人物卡!M9&lt;=7,人物卡!AI21=5),1,IF(人物卡!AI21=1,10,IF(人物卡!AI21=2,5,IF(人物卡!AI21=3,1,1)))),10)</f>
        <v>10</v>
      </c>
    </row>
    <row r="96" spans="1:3">
      <c r="A96" s="16">
        <v>17</v>
      </c>
      <c r="B96" s="16" t="s">
        <v>1262</v>
      </c>
      <c r="C96" s="14">
        <f>IF(人物卡!T9=17,IF(OR(人物卡!M9&lt;=7,人物卡!AI21=5),5,IF(人物卡!AI21=1,25,IF(人物卡!AI21=2,20,IF(人物卡!AI21=3,15,10)))),25)</f>
        <v>25</v>
      </c>
    </row>
    <row r="97" spans="1:3">
      <c r="A97" s="16">
        <v>17</v>
      </c>
      <c r="B97" s="16" t="s">
        <v>1261</v>
      </c>
      <c r="C97" s="14" t="s">
        <v>1319</v>
      </c>
    </row>
    <row r="98" spans="1:3">
      <c r="A98" s="16">
        <v>17</v>
      </c>
      <c r="B98" s="16" t="s">
        <v>1260</v>
      </c>
      <c r="C98" s="14">
        <f>IF(OR(人物卡!M9&lt;=8,人物卡!AI21=5),1,IF(人物卡!AI21=1,5,IF(人物卡!AI21=2,5,IF(人物卡!AI21=3,1,1))))</f>
        <v>5</v>
      </c>
    </row>
    <row r="99" spans="1:3">
      <c r="A99" s="16">
        <v>17</v>
      </c>
      <c r="B99" s="16" t="s">
        <v>1264</v>
      </c>
      <c r="C99" s="14">
        <f>IF(OR(人物卡!M9&lt;=6,人物卡!AI21=5),30,IF(人物卡!AI21=1,50,IF(人物卡!AI21=2,45,IF(人物卡!AI21=3,40,35))))</f>
        <v>50</v>
      </c>
    </row>
    <row r="100" spans="1:3">
      <c r="A100" s="16">
        <v>17</v>
      </c>
      <c r="B100" s="16" t="s">
        <v>1265</v>
      </c>
      <c r="C100" s="14">
        <f>IF(OR(人物卡!M9&lt;=6,人物卡!AI21=5),20,IF(人物卡!AI21=1,40,IF(人物卡!AI21=2,35,IF(人物卡!AI21=3,30,25))))</f>
        <v>40</v>
      </c>
    </row>
    <row r="101" spans="1:3">
      <c r="A101" s="16">
        <v>18</v>
      </c>
      <c r="B101" s="16" t="s">
        <v>1259</v>
      </c>
      <c r="C101" s="14">
        <f>IF(OR(人物卡!M9&lt;=6,人物卡!AI21=5),25,IF(人物卡!AI21=1,45,IF(人物卡!AI21=2,40,IF(人物卡!AI21=3,35,30))))</f>
        <v>45</v>
      </c>
    </row>
    <row r="102" spans="1:3">
      <c r="A102" s="16">
        <v>18</v>
      </c>
      <c r="B102" s="18" t="s">
        <v>108</v>
      </c>
      <c r="C102" s="14" t="s">
        <v>50</v>
      </c>
    </row>
    <row r="103" spans="1:3">
      <c r="A103" s="16">
        <v>18</v>
      </c>
      <c r="B103" s="18" t="s">
        <v>136</v>
      </c>
      <c r="C103" s="14" t="s">
        <v>50</v>
      </c>
    </row>
    <row r="104" spans="1:3">
      <c r="A104" s="16">
        <v>18</v>
      </c>
      <c r="B104" s="18" t="s">
        <v>105</v>
      </c>
      <c r="C104" s="14" t="s">
        <v>50</v>
      </c>
    </row>
    <row r="105" spans="1:3">
      <c r="A105" s="16">
        <v>18</v>
      </c>
      <c r="B105" s="18" t="s">
        <v>76</v>
      </c>
      <c r="C105" s="14" t="s">
        <v>50</v>
      </c>
    </row>
    <row r="106" spans="1:3">
      <c r="A106" s="16">
        <v>19</v>
      </c>
      <c r="B106" s="16" t="s">
        <v>1254</v>
      </c>
      <c r="C106" s="14">
        <f>IF(OR(人物卡!M9&lt;=7,人物卡!AI21=5),5,IF(人物卡!AI21=1,25,IF(人物卡!AI21=2,20,IF(人物卡!AI21=3,15,10))))</f>
        <v>25</v>
      </c>
    </row>
    <row r="107" spans="1:3">
      <c r="A107" s="16">
        <v>19</v>
      </c>
      <c r="B107" s="16" t="s">
        <v>1253</v>
      </c>
      <c r="C107" s="14">
        <f>IF(人物卡!T9=19,IF(OR(人物卡!M9&lt;=8,人物卡!AI21=5),30,IF(人物卡!AI21=1,50,IF(人物卡!AI21=2,45,IF(人物卡!AI21=3,40,35)))),50)</f>
        <v>50</v>
      </c>
    </row>
    <row r="108" spans="1:3">
      <c r="A108" s="16">
        <v>19</v>
      </c>
      <c r="B108" s="16" t="s">
        <v>1238</v>
      </c>
      <c r="C108" s="14" t="s">
        <v>50</v>
      </c>
    </row>
    <row r="109" spans="1:3">
      <c r="A109" s="16">
        <v>19</v>
      </c>
      <c r="B109" s="16" t="s">
        <v>1252</v>
      </c>
      <c r="C109" s="14" t="s">
        <v>50</v>
      </c>
    </row>
    <row r="110" spans="1:3">
      <c r="A110" s="16">
        <v>19</v>
      </c>
      <c r="B110" s="16" t="s">
        <v>1251</v>
      </c>
      <c r="C110" s="14">
        <f>IF(人物卡!T9=19,IF(OR(人物卡!M9&lt;=8,人物卡!AI21=5),5,IF(人物卡!AI21=1,25,IF(人物卡!AI21=2,20,IF(人物卡!AI21=3,15,10)))),25)</f>
        <v>25</v>
      </c>
    </row>
    <row r="111" spans="1:3">
      <c r="A111" s="16">
        <v>19</v>
      </c>
      <c r="B111" s="18" t="s">
        <v>98</v>
      </c>
      <c r="C111" s="14" t="s">
        <v>50</v>
      </c>
    </row>
    <row r="112" spans="1:3">
      <c r="A112" s="16">
        <v>19</v>
      </c>
      <c r="B112" s="18" t="s">
        <v>97</v>
      </c>
      <c r="C112" s="14" t="s">
        <v>50</v>
      </c>
    </row>
    <row r="113" spans="1:3">
      <c r="A113" s="16">
        <v>19</v>
      </c>
      <c r="B113" s="19" t="s">
        <v>1255</v>
      </c>
      <c r="C113" s="14">
        <f>IF(OR(人物卡!M9&lt;=6,人物卡!AI21=5),30,IF(人物卡!AI21=1,50,IF(人物卡!AI21=2,45,IF(人物卡!AI21=3,40,35))))</f>
        <v>50</v>
      </c>
    </row>
    <row r="114" spans="1:3">
      <c r="A114" s="16">
        <v>19</v>
      </c>
      <c r="B114" s="19" t="s">
        <v>1256</v>
      </c>
      <c r="C114" s="14">
        <f>IF(OR(人物卡!M9&lt;=6,人物卡!AI21=5),20,IF(人物卡!AI21=1,40,IF(人物卡!AI21=2,35,IF(人物卡!AI21=3,30,25))))</f>
        <v>40</v>
      </c>
    </row>
    <row r="115" spans="1:3">
      <c r="A115" s="16">
        <v>19</v>
      </c>
      <c r="B115" s="19" t="s">
        <v>1257</v>
      </c>
      <c r="C115" s="14">
        <f>IF(OR(人物卡!M9&lt;=6,人物卡!AI21=5),30,IF(人物卡!AI21=1,50,IF(人物卡!AI21=2,45,IF(人物卡!AI21=3,40,35))))</f>
        <v>50</v>
      </c>
    </row>
    <row r="116" spans="1:3">
      <c r="A116" s="16">
        <v>19</v>
      </c>
      <c r="B116" s="19" t="s">
        <v>1258</v>
      </c>
      <c r="C116" s="14">
        <f>IF(OR(人物卡!M9&lt;=6,人物卡!AI21=5),30,IF(人物卡!AI21=1,50,IF(人物卡!AI21=2,45,IF(人物卡!AI21=3,40,35))))</f>
        <v>50</v>
      </c>
    </row>
    <row r="117" spans="1:3">
      <c r="A117" s="16">
        <v>20</v>
      </c>
      <c r="B117" s="19" t="s">
        <v>1250</v>
      </c>
      <c r="C117" s="14">
        <v>5</v>
      </c>
    </row>
    <row r="118" spans="1:3">
      <c r="A118" s="16">
        <v>20</v>
      </c>
      <c r="B118" s="18" t="s">
        <v>84</v>
      </c>
      <c r="C118" s="14" t="s">
        <v>50</v>
      </c>
    </row>
    <row r="119" spans="1:3">
      <c r="A119" s="16">
        <v>20</v>
      </c>
      <c r="B119" s="18" t="s">
        <v>105</v>
      </c>
      <c r="C119" s="14" t="s">
        <v>50</v>
      </c>
    </row>
    <row r="120" spans="1:3">
      <c r="A120" s="16">
        <v>20</v>
      </c>
      <c r="B120" s="18" t="s">
        <v>76</v>
      </c>
      <c r="C120" s="14" t="s">
        <v>50</v>
      </c>
    </row>
    <row r="121" spans="1:3">
      <c r="A121" s="16">
        <v>20</v>
      </c>
      <c r="B121" s="16" t="s">
        <v>1249</v>
      </c>
      <c r="C121" s="14">
        <f>IF(OR(人物卡!M9&lt;=6,人物卡!AI21=5),10,IF(人物卡!AI21=1,30,IF(人物卡!AI21=2,25,IF(人物卡!AI21=3,20,15))))</f>
        <v>30</v>
      </c>
    </row>
    <row r="122" spans="1:3">
      <c r="A122" s="16">
        <v>20</v>
      </c>
      <c r="B122" s="16" t="s">
        <v>1248</v>
      </c>
      <c r="C122" s="14">
        <v>5</v>
      </c>
    </row>
    <row r="123" spans="1:3">
      <c r="A123" s="16">
        <v>20</v>
      </c>
      <c r="B123" s="18" t="s">
        <v>106</v>
      </c>
      <c r="C123" s="14" t="s">
        <v>50</v>
      </c>
    </row>
    <row r="124" spans="1:3">
      <c r="A124" s="16">
        <v>20</v>
      </c>
      <c r="B124" s="18" t="s">
        <v>1247</v>
      </c>
      <c r="C124" s="14" t="s">
        <v>50</v>
      </c>
    </row>
    <row r="125" spans="1:3">
      <c r="A125" s="16">
        <v>21</v>
      </c>
      <c r="B125" s="18" t="s">
        <v>125</v>
      </c>
      <c r="C125" s="14" t="s">
        <v>50</v>
      </c>
    </row>
    <row r="126" spans="1:3">
      <c r="A126" s="16">
        <v>21</v>
      </c>
      <c r="B126" s="18" t="s">
        <v>142</v>
      </c>
      <c r="C126" s="14" t="s">
        <v>50</v>
      </c>
    </row>
    <row r="127" spans="1:3">
      <c r="A127" s="16">
        <v>21</v>
      </c>
      <c r="B127" s="18" t="s">
        <v>1245</v>
      </c>
      <c r="C127" s="14" t="s">
        <v>50</v>
      </c>
    </row>
    <row r="128" spans="1:3">
      <c r="A128" s="16">
        <v>21</v>
      </c>
      <c r="B128" s="18" t="s">
        <v>1244</v>
      </c>
      <c r="C128" s="14" t="s">
        <v>50</v>
      </c>
    </row>
    <row r="129" spans="1:3">
      <c r="A129" s="16">
        <v>21</v>
      </c>
      <c r="B129" s="18" t="s">
        <v>140</v>
      </c>
      <c r="C129" s="14" t="s">
        <v>50</v>
      </c>
    </row>
    <row r="130" spans="1:3">
      <c r="A130" s="16">
        <v>21</v>
      </c>
      <c r="B130" s="19" t="s">
        <v>1246</v>
      </c>
      <c r="C130" s="14">
        <f>IF(OR(人物卡!M9&lt;=6,人物卡!AI21=5),5,IF(人物卡!AI21=1,25,IF(人物卡!AI21=2,20,IF(人物卡!AI21=3,15,10))))</f>
        <v>25</v>
      </c>
    </row>
    <row r="131" spans="1:3">
      <c r="A131" s="16">
        <v>22</v>
      </c>
      <c r="B131" s="18" t="s">
        <v>1242</v>
      </c>
      <c r="C131" s="14" t="s">
        <v>50</v>
      </c>
    </row>
    <row r="132" spans="1:3">
      <c r="A132" s="16">
        <v>22</v>
      </c>
      <c r="B132" s="18" t="s">
        <v>1241</v>
      </c>
      <c r="C132" s="14" t="s">
        <v>50</v>
      </c>
    </row>
    <row r="133" spans="1:3">
      <c r="A133" s="11">
        <v>22</v>
      </c>
      <c r="B133" s="11" t="s">
        <v>56</v>
      </c>
      <c r="C133" s="12" t="s">
        <v>50</v>
      </c>
    </row>
  </sheetData>
  <sheetProtection sheet="1" selectLockedCells="1" objects="1"/>
  <pageMargins left="0.75" right="0.75" top="1" bottom="1" header="0.5" footer="0.5"/>
  <headerFooter/>
  <ignoredErrors>
    <ignoredError sqref="C45 C114 C20" formula="1"/>
  </ignoredError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workbookViewId="0">
      <selection activeCell="O11" sqref="O11"/>
    </sheetView>
  </sheetViews>
  <sheetFormatPr defaultColWidth="9" defaultRowHeight="13.5"/>
  <cols>
    <col min="1" max="16384" width="9" style="1"/>
  </cols>
  <sheetData>
    <row r="1" ht="14.25" spans="1:1">
      <c r="A1" s="1" t="s">
        <v>1320</v>
      </c>
    </row>
    <row r="2" ht="16.5" spans="1:11">
      <c r="A2" s="2"/>
      <c r="B2" s="3">
        <v>0</v>
      </c>
      <c r="C2" s="3">
        <v>1</v>
      </c>
      <c r="D2" s="3">
        <v>2</v>
      </c>
      <c r="E2" s="3">
        <v>3</v>
      </c>
      <c r="F2" s="3">
        <v>4</v>
      </c>
      <c r="G2" s="3">
        <v>5</v>
      </c>
      <c r="H2" s="3">
        <v>6</v>
      </c>
      <c r="I2" s="3">
        <v>7</v>
      </c>
      <c r="J2" s="3">
        <v>8</v>
      </c>
      <c r="K2" s="8">
        <v>9</v>
      </c>
    </row>
    <row r="3" ht="16.5" spans="1:11">
      <c r="A3" s="4">
        <v>1</v>
      </c>
      <c r="B3" s="5"/>
      <c r="C3" s="5"/>
      <c r="D3" s="5"/>
      <c r="E3" s="5"/>
      <c r="F3" s="5"/>
      <c r="G3" s="5"/>
      <c r="H3" s="5"/>
      <c r="I3" s="5">
        <v>50</v>
      </c>
      <c r="J3" s="5">
        <v>50</v>
      </c>
      <c r="K3" s="9">
        <v>50</v>
      </c>
    </row>
    <row r="4" ht="16.5" spans="1:11">
      <c r="A4" s="4">
        <v>2</v>
      </c>
      <c r="B4" s="5"/>
      <c r="C4" s="5"/>
      <c r="D4" s="5"/>
      <c r="E4" s="5"/>
      <c r="F4" s="5"/>
      <c r="G4" s="5"/>
      <c r="H4" s="5"/>
      <c r="I4" s="5">
        <v>75</v>
      </c>
      <c r="J4" s="5">
        <v>50</v>
      </c>
      <c r="K4" s="9">
        <v>50</v>
      </c>
    </row>
    <row r="5" ht="16.5" spans="1:11">
      <c r="A5" s="4">
        <v>3</v>
      </c>
      <c r="B5" s="5"/>
      <c r="C5" s="5"/>
      <c r="D5" s="5"/>
      <c r="E5" s="5"/>
      <c r="F5" s="5"/>
      <c r="G5" s="5"/>
      <c r="H5" s="5"/>
      <c r="I5" s="5">
        <v>100</v>
      </c>
      <c r="J5" s="5">
        <v>75</v>
      </c>
      <c r="K5" s="9">
        <v>75</v>
      </c>
    </row>
    <row r="6" ht="16.5" spans="1:11">
      <c r="A6" s="4">
        <v>4</v>
      </c>
      <c r="B6" s="5"/>
      <c r="C6" s="5"/>
      <c r="D6" s="5"/>
      <c r="E6" s="5"/>
      <c r="F6" s="5"/>
      <c r="G6" s="5"/>
      <c r="H6" s="5"/>
      <c r="I6" s="5">
        <v>100</v>
      </c>
      <c r="J6" s="5">
        <v>50</v>
      </c>
      <c r="K6" s="9">
        <v>100</v>
      </c>
    </row>
    <row r="7" ht="16.5" spans="1:11">
      <c r="A7" s="4">
        <v>5</v>
      </c>
      <c r="B7" s="5"/>
      <c r="C7" s="5"/>
      <c r="D7" s="5"/>
      <c r="E7" s="5"/>
      <c r="F7" s="5"/>
      <c r="G7" s="5"/>
      <c r="H7" s="5"/>
      <c r="I7" s="5">
        <v>100</v>
      </c>
      <c r="J7" s="5">
        <v>75</v>
      </c>
      <c r="K7" s="9">
        <v>100</v>
      </c>
    </row>
    <row r="8" ht="16.5" spans="1:11">
      <c r="A8" s="4">
        <v>6</v>
      </c>
      <c r="B8" s="5"/>
      <c r="C8" s="5"/>
      <c r="D8" s="5"/>
      <c r="E8" s="5"/>
      <c r="F8" s="5"/>
      <c r="G8" s="5"/>
      <c r="H8" s="5"/>
      <c r="I8" s="5">
        <v>25</v>
      </c>
      <c r="J8" s="5">
        <v>50</v>
      </c>
      <c r="K8" s="9">
        <v>75</v>
      </c>
    </row>
    <row r="9" ht="16.5" spans="1:11">
      <c r="A9" s="4">
        <v>7</v>
      </c>
      <c r="B9" s="5"/>
      <c r="C9" s="5"/>
      <c r="D9" s="5"/>
      <c r="E9" s="5"/>
      <c r="F9" s="5"/>
      <c r="G9" s="5"/>
      <c r="H9" s="5"/>
      <c r="I9" s="5">
        <v>50</v>
      </c>
      <c r="J9" s="5">
        <v>75</v>
      </c>
      <c r="K9" s="9">
        <v>75</v>
      </c>
    </row>
    <row r="10" ht="16.5" spans="1:11">
      <c r="A10" s="4">
        <v>8</v>
      </c>
      <c r="B10" s="5"/>
      <c r="C10" s="5"/>
      <c r="D10" s="5"/>
      <c r="E10" s="5"/>
      <c r="F10" s="5"/>
      <c r="G10" s="5"/>
      <c r="H10" s="5"/>
      <c r="I10" s="5">
        <v>100</v>
      </c>
      <c r="J10" s="5">
        <v>25</v>
      </c>
      <c r="K10" s="9">
        <v>100</v>
      </c>
    </row>
    <row r="11" ht="16.5" spans="1:11">
      <c r="A11" s="4">
        <v>9</v>
      </c>
      <c r="B11" s="5"/>
      <c r="C11" s="5"/>
      <c r="D11" s="5"/>
      <c r="E11" s="5"/>
      <c r="F11" s="5"/>
      <c r="G11" s="5"/>
      <c r="H11" s="5"/>
      <c r="I11" s="5">
        <v>75</v>
      </c>
      <c r="J11" s="5">
        <v>75</v>
      </c>
      <c r="K11" s="9">
        <v>100</v>
      </c>
    </row>
    <row r="12" ht="16.5" spans="1:11">
      <c r="A12" s="4">
        <v>10</v>
      </c>
      <c r="B12" s="5"/>
      <c r="C12" s="5"/>
      <c r="D12" s="5"/>
      <c r="E12" s="5"/>
      <c r="F12" s="5"/>
      <c r="G12" s="5"/>
      <c r="H12" s="5"/>
      <c r="I12" s="5">
        <v>100</v>
      </c>
      <c r="J12" s="5">
        <v>100</v>
      </c>
      <c r="K12" s="9">
        <v>100</v>
      </c>
    </row>
    <row r="13" ht="16.5" spans="1:11">
      <c r="A13" s="4">
        <v>11</v>
      </c>
      <c r="B13" s="5"/>
      <c r="C13" s="5"/>
      <c r="D13" s="5"/>
      <c r="E13" s="5"/>
      <c r="F13" s="5"/>
      <c r="G13" s="5"/>
      <c r="H13" s="5"/>
      <c r="I13" s="5">
        <v>50</v>
      </c>
      <c r="J13" s="5">
        <v>25</v>
      </c>
      <c r="K13" s="9">
        <v>50</v>
      </c>
    </row>
    <row r="14" ht="16.5" spans="1:11">
      <c r="A14" s="4">
        <v>12</v>
      </c>
      <c r="B14" s="5"/>
      <c r="C14" s="5"/>
      <c r="D14" s="5"/>
      <c r="E14" s="5"/>
      <c r="F14" s="5"/>
      <c r="G14" s="5"/>
      <c r="H14" s="5"/>
      <c r="I14" s="5">
        <v>100</v>
      </c>
      <c r="J14" s="5">
        <v>100</v>
      </c>
      <c r="K14" s="9">
        <v>100</v>
      </c>
    </row>
    <row r="15" ht="16.5" spans="1:11">
      <c r="A15" s="4">
        <v>13</v>
      </c>
      <c r="B15" s="5"/>
      <c r="C15" s="5"/>
      <c r="D15" s="5"/>
      <c r="E15" s="5"/>
      <c r="F15" s="5"/>
      <c r="G15" s="5"/>
      <c r="H15" s="5"/>
      <c r="I15" s="5">
        <v>25</v>
      </c>
      <c r="J15" s="5">
        <v>25</v>
      </c>
      <c r="K15" s="9">
        <v>25</v>
      </c>
    </row>
    <row r="16" ht="16.5" spans="1:11">
      <c r="A16" s="4">
        <v>14</v>
      </c>
      <c r="B16" s="5"/>
      <c r="C16" s="5"/>
      <c r="D16" s="5"/>
      <c r="E16" s="5"/>
      <c r="F16" s="5"/>
      <c r="G16" s="5"/>
      <c r="H16" s="5"/>
      <c r="I16" s="5">
        <v>25</v>
      </c>
      <c r="J16" s="5">
        <v>25</v>
      </c>
      <c r="K16" s="9">
        <v>50</v>
      </c>
    </row>
    <row r="17" ht="16.5" spans="1:11">
      <c r="A17" s="4">
        <v>15</v>
      </c>
      <c r="B17" s="5"/>
      <c r="C17" s="5"/>
      <c r="D17" s="5"/>
      <c r="E17" s="5"/>
      <c r="F17" s="5"/>
      <c r="G17" s="5"/>
      <c r="H17" s="5"/>
      <c r="I17" s="5">
        <v>75</v>
      </c>
      <c r="J17" s="5">
        <v>50</v>
      </c>
      <c r="K17" s="9">
        <v>25</v>
      </c>
    </row>
    <row r="18" ht="16.5" spans="1:11">
      <c r="A18" s="4">
        <v>16</v>
      </c>
      <c r="B18" s="5"/>
      <c r="C18" s="5"/>
      <c r="D18" s="5"/>
      <c r="E18" s="5"/>
      <c r="F18" s="5"/>
      <c r="G18" s="5"/>
      <c r="H18" s="5"/>
      <c r="I18" s="5">
        <v>100</v>
      </c>
      <c r="J18" s="5">
        <v>25</v>
      </c>
      <c r="K18" s="9">
        <v>50</v>
      </c>
    </row>
    <row r="19" ht="16.5" spans="1:11">
      <c r="A19" s="4">
        <v>17</v>
      </c>
      <c r="B19" s="5"/>
      <c r="C19" s="5"/>
      <c r="D19" s="5"/>
      <c r="E19" s="5"/>
      <c r="F19" s="5"/>
      <c r="G19" s="5"/>
      <c r="H19" s="5"/>
      <c r="I19" s="5">
        <v>75</v>
      </c>
      <c r="J19" s="5">
        <v>50</v>
      </c>
      <c r="K19" s="9">
        <v>50</v>
      </c>
    </row>
    <row r="20" ht="16.5" spans="1:11">
      <c r="A20" s="4">
        <v>18</v>
      </c>
      <c r="B20" s="5"/>
      <c r="C20" s="5"/>
      <c r="D20" s="5"/>
      <c r="E20" s="5"/>
      <c r="F20" s="5"/>
      <c r="G20" s="5"/>
      <c r="H20" s="5"/>
      <c r="I20" s="5">
        <v>50</v>
      </c>
      <c r="J20" s="5">
        <v>25</v>
      </c>
      <c r="K20" s="9">
        <v>50</v>
      </c>
    </row>
    <row r="21" ht="16.5" spans="1:11">
      <c r="A21" s="4">
        <v>19</v>
      </c>
      <c r="B21" s="5"/>
      <c r="C21" s="5"/>
      <c r="D21" s="5"/>
      <c r="E21" s="5"/>
      <c r="F21" s="5"/>
      <c r="G21" s="5"/>
      <c r="H21" s="5"/>
      <c r="I21" s="5">
        <v>100</v>
      </c>
      <c r="J21" s="5">
        <v>50</v>
      </c>
      <c r="K21" s="9">
        <v>75</v>
      </c>
    </row>
    <row r="22" ht="16.5" spans="1:11">
      <c r="A22" s="4">
        <v>20</v>
      </c>
      <c r="B22" s="5"/>
      <c r="C22" s="5"/>
      <c r="D22" s="5"/>
      <c r="E22" s="5"/>
      <c r="F22" s="5"/>
      <c r="G22" s="5"/>
      <c r="H22" s="5"/>
      <c r="I22" s="5">
        <v>75</v>
      </c>
      <c r="J22" s="5">
        <v>25</v>
      </c>
      <c r="K22" s="9">
        <v>40</v>
      </c>
    </row>
    <row r="23" ht="16.5" spans="1:11">
      <c r="A23" s="4">
        <v>21</v>
      </c>
      <c r="B23" s="5"/>
      <c r="C23" s="5"/>
      <c r="D23" s="5"/>
      <c r="E23" s="5"/>
      <c r="F23" s="5"/>
      <c r="G23" s="5"/>
      <c r="H23" s="5"/>
      <c r="I23" s="5">
        <v>25</v>
      </c>
      <c r="J23" s="5">
        <v>50</v>
      </c>
      <c r="K23" s="9">
        <v>25</v>
      </c>
    </row>
    <row r="24" ht="17.25" spans="1:11">
      <c r="A24" s="6">
        <v>22</v>
      </c>
      <c r="B24" s="7"/>
      <c r="C24" s="7"/>
      <c r="D24" s="7"/>
      <c r="E24" s="7"/>
      <c r="F24" s="7"/>
      <c r="G24" s="7"/>
      <c r="H24" s="7"/>
      <c r="I24" s="7">
        <v>100</v>
      </c>
      <c r="J24" s="7">
        <v>100</v>
      </c>
      <c r="K24" s="10">
        <v>100</v>
      </c>
    </row>
  </sheetData>
  <sheetProtection sheet="1" selectLockedCells="1" objects="1"/>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40"/>
  <sheetViews>
    <sheetView workbookViewId="0">
      <selection activeCell="O6" sqref="O6:P7"/>
    </sheetView>
  </sheetViews>
  <sheetFormatPr defaultColWidth="2.61666666666667" defaultRowHeight="19.8" customHeight="1"/>
  <cols>
    <col min="1" max="16384" width="2.61666666666667" style="92" customWidth="1"/>
  </cols>
  <sheetData>
    <row r="1" ht="15" customHeight="1" spans="1:56">
      <c r="A1" s="269" t="s">
        <v>25</v>
      </c>
      <c r="B1" s="270"/>
      <c r="C1" s="270"/>
      <c r="D1" s="270"/>
      <c r="E1" s="270"/>
      <c r="F1" s="270"/>
      <c r="G1" s="270"/>
      <c r="H1" s="270"/>
      <c r="I1" s="270"/>
      <c r="J1" s="270"/>
      <c r="K1" s="270"/>
      <c r="L1" s="270"/>
      <c r="M1" s="270"/>
      <c r="N1" s="270"/>
      <c r="O1" s="270"/>
      <c r="P1" s="270"/>
      <c r="Q1" s="270"/>
      <c r="R1" s="315"/>
      <c r="T1" s="269" t="s">
        <v>212</v>
      </c>
      <c r="U1" s="270"/>
      <c r="V1" s="270"/>
      <c r="W1" s="270"/>
      <c r="X1" s="270"/>
      <c r="Y1" s="270"/>
      <c r="Z1" s="270"/>
      <c r="AA1" s="270"/>
      <c r="AB1" s="270"/>
      <c r="AC1" s="270"/>
      <c r="AD1" s="270"/>
      <c r="AE1" s="270"/>
      <c r="AF1" s="270"/>
      <c r="AG1" s="270"/>
      <c r="AH1" s="270"/>
      <c r="AI1" s="270"/>
      <c r="AJ1" s="270"/>
      <c r="AK1" s="315"/>
      <c r="AM1" s="269" t="s">
        <v>213</v>
      </c>
      <c r="AN1" s="270"/>
      <c r="AO1" s="270"/>
      <c r="AP1" s="270"/>
      <c r="AQ1" s="270"/>
      <c r="AR1" s="270"/>
      <c r="AS1" s="270"/>
      <c r="AT1" s="270"/>
      <c r="AU1" s="270"/>
      <c r="AV1" s="270"/>
      <c r="AW1" s="270"/>
      <c r="AX1" s="270"/>
      <c r="AY1" s="270"/>
      <c r="AZ1" s="270"/>
      <c r="BA1" s="270"/>
      <c r="BB1" s="270"/>
      <c r="BC1" s="270"/>
      <c r="BD1" s="315"/>
    </row>
    <row r="2" ht="15" customHeight="1" spans="1:56">
      <c r="A2" s="271" t="s">
        <v>214</v>
      </c>
      <c r="B2" s="272"/>
      <c r="C2" s="273">
        <f>人物卡!D13</f>
        <v>0</v>
      </c>
      <c r="D2" s="273"/>
      <c r="E2" s="274">
        <f t="shared" ref="E2:E6" si="0">INT(C2/2)</f>
        <v>0</v>
      </c>
      <c r="F2" s="274"/>
      <c r="G2" s="275" t="s">
        <v>215</v>
      </c>
      <c r="H2" s="275"/>
      <c r="I2" s="279">
        <f>人物卡!J13</f>
        <v>0</v>
      </c>
      <c r="J2" s="279"/>
      <c r="K2" s="278">
        <f t="shared" ref="K2:K6" si="1">INT(I2/2)</f>
        <v>0</v>
      </c>
      <c r="L2" s="278"/>
      <c r="M2" s="272" t="s">
        <v>216</v>
      </c>
      <c r="N2" s="272"/>
      <c r="O2" s="273">
        <f>人物卡!P13</f>
        <v>0</v>
      </c>
      <c r="P2" s="273"/>
      <c r="Q2" s="274">
        <f>INT(O2/2)</f>
        <v>0</v>
      </c>
      <c r="R2" s="316"/>
      <c r="T2" s="271" t="s">
        <v>214</v>
      </c>
      <c r="U2" s="272"/>
      <c r="V2" s="273">
        <f>IF(人物卡!T9=0,0,INT(LOOKUP(人物卡!T9,附表3!A4:A25,附表3!G4:G25)))</f>
        <v>0</v>
      </c>
      <c r="W2" s="273"/>
      <c r="X2" s="274">
        <f t="shared" ref="X2:X6" si="2">INT(V2/2)</f>
        <v>0</v>
      </c>
      <c r="Y2" s="274"/>
      <c r="Z2" s="275" t="s">
        <v>215</v>
      </c>
      <c r="AA2" s="275"/>
      <c r="AB2" s="279">
        <f>IF(人物卡!T9=0,0,INT(LOOKUP(人物卡!T9,附表3!A4:A25,附表3!J4:J25)))</f>
        <v>0</v>
      </c>
      <c r="AC2" s="279"/>
      <c r="AD2" s="278">
        <f t="shared" ref="AD2:AD6" si="3">INT(AB2/2)</f>
        <v>0</v>
      </c>
      <c r="AE2" s="278"/>
      <c r="AF2" s="272" t="s">
        <v>216</v>
      </c>
      <c r="AG2" s="272"/>
      <c r="AH2" s="273">
        <f>IF(人物卡!T9=0,0,INT(LOOKUP(人物卡!T9,附表3!A4:A25,附表3!Y4:Y25)))</f>
        <v>0</v>
      </c>
      <c r="AI2" s="273"/>
      <c r="AJ2" s="274">
        <f>INT(AH2/2)</f>
        <v>0</v>
      </c>
      <c r="AK2" s="316"/>
      <c r="AM2" s="271" t="s">
        <v>214</v>
      </c>
      <c r="AN2" s="272"/>
      <c r="AO2" s="273">
        <f>IF(人物卡!T9=0,0,INT(LOOKUP(人物卡!T9,附表3!A30:A51,附表3!G30:G51)))</f>
        <v>0</v>
      </c>
      <c r="AP2" s="273"/>
      <c r="AQ2" s="274">
        <f t="shared" ref="AQ2:AQ6" si="4">INT(AO2/2)</f>
        <v>0</v>
      </c>
      <c r="AR2" s="274"/>
      <c r="AS2" s="275" t="s">
        <v>215</v>
      </c>
      <c r="AT2" s="275"/>
      <c r="AU2" s="279">
        <f>IF(人物卡!T9=0,0,INT(LOOKUP(人物卡!T9,附表3!A30:A51,附表3!J30:J51)))</f>
        <v>0</v>
      </c>
      <c r="AV2" s="279"/>
      <c r="AW2" s="278">
        <f t="shared" ref="AW2:AW6" si="5">INT(AU2/2)</f>
        <v>0</v>
      </c>
      <c r="AX2" s="278"/>
      <c r="AY2" s="272" t="s">
        <v>216</v>
      </c>
      <c r="AZ2" s="272"/>
      <c r="BA2" s="273">
        <f>IF(人物卡!T9=0,0,INT(LOOKUP(人物卡!T9,附表3!A30:A51,附表3!Y30:Y51)))</f>
        <v>0</v>
      </c>
      <c r="BB2" s="273"/>
      <c r="BC2" s="274">
        <f>INT(BA2/2)</f>
        <v>0</v>
      </c>
      <c r="BD2" s="316"/>
    </row>
    <row r="3" ht="15" customHeight="1" spans="1:56">
      <c r="A3" s="271"/>
      <c r="B3" s="272"/>
      <c r="C3" s="273"/>
      <c r="D3" s="273"/>
      <c r="E3" s="273">
        <f t="shared" ref="E3:E7" si="6">INT(C2/5)</f>
        <v>0</v>
      </c>
      <c r="F3" s="273"/>
      <c r="G3" s="275"/>
      <c r="H3" s="275"/>
      <c r="I3" s="279"/>
      <c r="J3" s="279"/>
      <c r="K3" s="278">
        <f t="shared" ref="K3:K7" si="7">INT(I2/5)</f>
        <v>0</v>
      </c>
      <c r="L3" s="278"/>
      <c r="M3" s="272"/>
      <c r="N3" s="272"/>
      <c r="O3" s="273"/>
      <c r="P3" s="273"/>
      <c r="Q3" s="274">
        <f>INT(O2/5)</f>
        <v>0</v>
      </c>
      <c r="R3" s="316"/>
      <c r="T3" s="271"/>
      <c r="U3" s="272"/>
      <c r="V3" s="273"/>
      <c r="W3" s="273"/>
      <c r="X3" s="273">
        <f t="shared" ref="X3:X7" si="8">INT(V2/5)</f>
        <v>0</v>
      </c>
      <c r="Y3" s="273"/>
      <c r="Z3" s="275"/>
      <c r="AA3" s="275"/>
      <c r="AB3" s="279"/>
      <c r="AC3" s="279"/>
      <c r="AD3" s="278">
        <f t="shared" ref="AD3:AD7" si="9">INT(AB2/5)</f>
        <v>0</v>
      </c>
      <c r="AE3" s="278"/>
      <c r="AF3" s="272"/>
      <c r="AG3" s="272"/>
      <c r="AH3" s="273"/>
      <c r="AI3" s="273"/>
      <c r="AJ3" s="274">
        <f>INT(AH2/5)</f>
        <v>0</v>
      </c>
      <c r="AK3" s="316"/>
      <c r="AM3" s="271"/>
      <c r="AN3" s="272"/>
      <c r="AO3" s="273"/>
      <c r="AP3" s="273"/>
      <c r="AQ3" s="273">
        <f t="shared" ref="AQ3:AQ7" si="10">INT(AO2/5)</f>
        <v>0</v>
      </c>
      <c r="AR3" s="273"/>
      <c r="AS3" s="275"/>
      <c r="AT3" s="275"/>
      <c r="AU3" s="279"/>
      <c r="AV3" s="279"/>
      <c r="AW3" s="278">
        <f t="shared" ref="AW3:AW7" si="11">INT(AU2/5)</f>
        <v>0</v>
      </c>
      <c r="AX3" s="278"/>
      <c r="AY3" s="272"/>
      <c r="AZ3" s="272"/>
      <c r="BA3" s="273"/>
      <c r="BB3" s="273"/>
      <c r="BC3" s="274">
        <f>INT(BA2/5)</f>
        <v>0</v>
      </c>
      <c r="BD3" s="316"/>
    </row>
    <row r="4" ht="15" customHeight="1" spans="1:56">
      <c r="A4" s="276" t="s">
        <v>217</v>
      </c>
      <c r="B4" s="275"/>
      <c r="C4" s="277">
        <f>人物卡!D15</f>
        <v>0</v>
      </c>
      <c r="D4" s="277"/>
      <c r="E4" s="278">
        <f t="shared" si="0"/>
        <v>0</v>
      </c>
      <c r="F4" s="278"/>
      <c r="G4" s="272" t="s">
        <v>218</v>
      </c>
      <c r="H4" s="272"/>
      <c r="I4" s="292">
        <f>人物卡!J15</f>
        <v>0</v>
      </c>
      <c r="J4" s="292"/>
      <c r="K4" s="274">
        <f t="shared" si="1"/>
        <v>0</v>
      </c>
      <c r="L4" s="274"/>
      <c r="M4" s="275" t="s">
        <v>219</v>
      </c>
      <c r="N4" s="275"/>
      <c r="O4" s="277">
        <f>人物卡!P15</f>
        <v>0</v>
      </c>
      <c r="P4" s="277"/>
      <c r="Q4" s="278">
        <f>INT(O4/2)</f>
        <v>0</v>
      </c>
      <c r="R4" s="317"/>
      <c r="T4" s="276" t="s">
        <v>217</v>
      </c>
      <c r="U4" s="275"/>
      <c r="V4" s="277">
        <f>IF(人物卡!T9=0,0,INT(LOOKUP(人物卡!T9,附表3!A4:A25,附表3!M4:M25)))</f>
        <v>0</v>
      </c>
      <c r="W4" s="277"/>
      <c r="X4" s="278">
        <f t="shared" si="2"/>
        <v>0</v>
      </c>
      <c r="Y4" s="278"/>
      <c r="Z4" s="272" t="s">
        <v>218</v>
      </c>
      <c r="AA4" s="272"/>
      <c r="AB4" s="292">
        <f>IF(人物卡!T9=0,0,INT(LOOKUP(人物卡!T9,附表3!A4:A25,附表3!S4:S25)))</f>
        <v>0</v>
      </c>
      <c r="AC4" s="292"/>
      <c r="AD4" s="274">
        <f t="shared" si="3"/>
        <v>0</v>
      </c>
      <c r="AE4" s="274"/>
      <c r="AF4" s="275" t="s">
        <v>219</v>
      </c>
      <c r="AG4" s="275"/>
      <c r="AH4" s="277">
        <f>IF(人物卡!T9=0,0,INT(LOOKUP(人物卡!T9,附表3!A4:A25,附表3!AB4:AB25)))</f>
        <v>0</v>
      </c>
      <c r="AI4" s="277"/>
      <c r="AJ4" s="278">
        <f>INT(AH4/2)</f>
        <v>0</v>
      </c>
      <c r="AK4" s="317"/>
      <c r="AM4" s="276" t="s">
        <v>217</v>
      </c>
      <c r="AN4" s="275"/>
      <c r="AO4" s="277">
        <f>IF(人物卡!T9=0,0,INT(LOOKUP(人物卡!T9,附表3!A30:A51,附表3!M30:M51)))</f>
        <v>0</v>
      </c>
      <c r="AP4" s="277"/>
      <c r="AQ4" s="278">
        <f t="shared" si="4"/>
        <v>0</v>
      </c>
      <c r="AR4" s="278"/>
      <c r="AS4" s="272" t="s">
        <v>218</v>
      </c>
      <c r="AT4" s="272"/>
      <c r="AU4" s="292">
        <f>IF(人物卡!T9=0,0,INT(LOOKUP(人物卡!T9,附表3!A30:A51,附表3!S30:S51)))</f>
        <v>0</v>
      </c>
      <c r="AV4" s="292"/>
      <c r="AW4" s="274">
        <f t="shared" si="5"/>
        <v>0</v>
      </c>
      <c r="AX4" s="274"/>
      <c r="AY4" s="275" t="s">
        <v>219</v>
      </c>
      <c r="AZ4" s="275"/>
      <c r="BA4" s="277">
        <f>IF(人物卡!T9=0,0,INT(LOOKUP(人物卡!T9,附表3!A30:A51,附表3!AB30:AB51)))</f>
        <v>0</v>
      </c>
      <c r="BB4" s="277"/>
      <c r="BC4" s="278">
        <f>INT(BA4/2)</f>
        <v>0</v>
      </c>
      <c r="BD4" s="317"/>
    </row>
    <row r="5" ht="15" customHeight="1" spans="1:56">
      <c r="A5" s="276"/>
      <c r="B5" s="275"/>
      <c r="C5" s="277"/>
      <c r="D5" s="277"/>
      <c r="E5" s="279">
        <f t="shared" si="6"/>
        <v>0</v>
      </c>
      <c r="F5" s="279"/>
      <c r="G5" s="272"/>
      <c r="H5" s="272"/>
      <c r="I5" s="292"/>
      <c r="J5" s="292"/>
      <c r="K5" s="274">
        <f t="shared" si="7"/>
        <v>0</v>
      </c>
      <c r="L5" s="274"/>
      <c r="M5" s="275"/>
      <c r="N5" s="275"/>
      <c r="O5" s="277"/>
      <c r="P5" s="277"/>
      <c r="Q5" s="278">
        <f>INT(O4/5)</f>
        <v>0</v>
      </c>
      <c r="R5" s="317"/>
      <c r="T5" s="276"/>
      <c r="U5" s="275"/>
      <c r="V5" s="277"/>
      <c r="W5" s="277"/>
      <c r="X5" s="279">
        <f t="shared" si="8"/>
        <v>0</v>
      </c>
      <c r="Y5" s="279"/>
      <c r="Z5" s="272"/>
      <c r="AA5" s="272"/>
      <c r="AB5" s="292"/>
      <c r="AC5" s="292"/>
      <c r="AD5" s="274">
        <f t="shared" si="9"/>
        <v>0</v>
      </c>
      <c r="AE5" s="274"/>
      <c r="AF5" s="275"/>
      <c r="AG5" s="275"/>
      <c r="AH5" s="277"/>
      <c r="AI5" s="277"/>
      <c r="AJ5" s="278">
        <f>INT(AH4/5)</f>
        <v>0</v>
      </c>
      <c r="AK5" s="317"/>
      <c r="AM5" s="276"/>
      <c r="AN5" s="275"/>
      <c r="AO5" s="277"/>
      <c r="AP5" s="277"/>
      <c r="AQ5" s="279">
        <f t="shared" si="10"/>
        <v>0</v>
      </c>
      <c r="AR5" s="279"/>
      <c r="AS5" s="272"/>
      <c r="AT5" s="272"/>
      <c r="AU5" s="292"/>
      <c r="AV5" s="292"/>
      <c r="AW5" s="274">
        <f t="shared" si="11"/>
        <v>0</v>
      </c>
      <c r="AX5" s="274"/>
      <c r="AY5" s="275"/>
      <c r="AZ5" s="275"/>
      <c r="BA5" s="277"/>
      <c r="BB5" s="277"/>
      <c r="BC5" s="278">
        <f>INT(BA4/5)</f>
        <v>0</v>
      </c>
      <c r="BD5" s="317"/>
    </row>
    <row r="6" ht="15" customHeight="1" spans="1:56">
      <c r="A6" s="271" t="s">
        <v>220</v>
      </c>
      <c r="B6" s="272"/>
      <c r="C6" s="273">
        <f>人物卡!D17</f>
        <v>0</v>
      </c>
      <c r="D6" s="273"/>
      <c r="E6" s="274">
        <f t="shared" si="0"/>
        <v>0</v>
      </c>
      <c r="F6" s="274"/>
      <c r="G6" s="280" t="s">
        <v>221</v>
      </c>
      <c r="H6" s="280"/>
      <c r="I6" s="279">
        <f>人物卡!J17</f>
        <v>0</v>
      </c>
      <c r="J6" s="279"/>
      <c r="K6" s="278">
        <f t="shared" si="1"/>
        <v>0</v>
      </c>
      <c r="L6" s="278"/>
      <c r="M6" s="272" t="s">
        <v>222</v>
      </c>
      <c r="N6" s="272"/>
      <c r="O6" s="289">
        <f>人物卡!P17</f>
        <v>8</v>
      </c>
      <c r="P6" s="289"/>
      <c r="Q6" s="318" t="s">
        <v>44</v>
      </c>
      <c r="R6" s="319"/>
      <c r="T6" s="271" t="s">
        <v>220</v>
      </c>
      <c r="U6" s="272"/>
      <c r="V6" s="273">
        <f>IF(人物卡!T9=0,0,INT(LOOKUP(人物卡!T9,附表3!A4:A25,附表3!P4:P25)))</f>
        <v>0</v>
      </c>
      <c r="W6" s="273"/>
      <c r="X6" s="274">
        <f t="shared" si="2"/>
        <v>0</v>
      </c>
      <c r="Y6" s="274"/>
      <c r="Z6" s="280" t="s">
        <v>221</v>
      </c>
      <c r="AA6" s="280"/>
      <c r="AB6" s="279">
        <f>IF(人物卡!T9=0,0,INT(LOOKUP(人物卡!T9,附表3!A4:A25,附表3!V4:V25)))</f>
        <v>0</v>
      </c>
      <c r="AC6" s="279"/>
      <c r="AD6" s="278">
        <f t="shared" si="3"/>
        <v>0</v>
      </c>
      <c r="AE6" s="278"/>
      <c r="AF6" s="272" t="s">
        <v>222</v>
      </c>
      <c r="AG6" s="272"/>
      <c r="AH6" s="289">
        <v>0</v>
      </c>
      <c r="AI6" s="289"/>
      <c r="AJ6" s="318" t="s">
        <v>44</v>
      </c>
      <c r="AK6" s="319"/>
      <c r="AM6" s="271" t="s">
        <v>220</v>
      </c>
      <c r="AN6" s="272"/>
      <c r="AO6" s="273">
        <f>IF(人物卡!T9=0,0,INT(LOOKUP(人物卡!T9,附表3!A30:A51,附表3!P30:P51)))</f>
        <v>0</v>
      </c>
      <c r="AP6" s="273"/>
      <c r="AQ6" s="274">
        <f t="shared" si="4"/>
        <v>0</v>
      </c>
      <c r="AR6" s="274"/>
      <c r="AS6" s="280" t="s">
        <v>221</v>
      </c>
      <c r="AT6" s="280"/>
      <c r="AU6" s="279">
        <f>IF(人物卡!T9=0,0,INT(LOOKUP(人物卡!T9,附表3!A30:A51,附表3!V30:V51)))</f>
        <v>0</v>
      </c>
      <c r="AV6" s="279"/>
      <c r="AW6" s="278">
        <f t="shared" si="5"/>
        <v>0</v>
      </c>
      <c r="AX6" s="278"/>
      <c r="AY6" s="272" t="s">
        <v>222</v>
      </c>
      <c r="AZ6" s="272"/>
      <c r="BA6" s="289">
        <v>0</v>
      </c>
      <c r="BB6" s="289"/>
      <c r="BC6" s="318" t="s">
        <v>44</v>
      </c>
      <c r="BD6" s="319"/>
    </row>
    <row r="7" ht="15" customHeight="1" spans="1:56">
      <c r="A7" s="271"/>
      <c r="B7" s="272"/>
      <c r="C7" s="273"/>
      <c r="D7" s="273"/>
      <c r="E7" s="273">
        <f t="shared" si="6"/>
        <v>0</v>
      </c>
      <c r="F7" s="273"/>
      <c r="G7" s="280"/>
      <c r="H7" s="280"/>
      <c r="I7" s="279"/>
      <c r="J7" s="279"/>
      <c r="K7" s="279">
        <f t="shared" si="7"/>
        <v>0</v>
      </c>
      <c r="L7" s="279"/>
      <c r="M7" s="272"/>
      <c r="N7" s="272"/>
      <c r="O7" s="289"/>
      <c r="P7" s="289"/>
      <c r="Q7" s="320">
        <v>0</v>
      </c>
      <c r="R7" s="321"/>
      <c r="T7" s="271"/>
      <c r="U7" s="272"/>
      <c r="V7" s="273"/>
      <c r="W7" s="273"/>
      <c r="X7" s="273">
        <f t="shared" si="8"/>
        <v>0</v>
      </c>
      <c r="Y7" s="273"/>
      <c r="Z7" s="280"/>
      <c r="AA7" s="280"/>
      <c r="AB7" s="279"/>
      <c r="AC7" s="279"/>
      <c r="AD7" s="279">
        <f t="shared" si="9"/>
        <v>0</v>
      </c>
      <c r="AE7" s="279"/>
      <c r="AF7" s="272"/>
      <c r="AG7" s="272"/>
      <c r="AH7" s="289"/>
      <c r="AI7" s="289"/>
      <c r="AJ7" s="320">
        <v>0</v>
      </c>
      <c r="AK7" s="321"/>
      <c r="AM7" s="271"/>
      <c r="AN7" s="272"/>
      <c r="AO7" s="273"/>
      <c r="AP7" s="273"/>
      <c r="AQ7" s="273">
        <f t="shared" si="10"/>
        <v>0</v>
      </c>
      <c r="AR7" s="273"/>
      <c r="AS7" s="280"/>
      <c r="AT7" s="280"/>
      <c r="AU7" s="279"/>
      <c r="AV7" s="279"/>
      <c r="AW7" s="279">
        <f t="shared" si="11"/>
        <v>0</v>
      </c>
      <c r="AX7" s="279"/>
      <c r="AY7" s="272"/>
      <c r="AZ7" s="272"/>
      <c r="BA7" s="289"/>
      <c r="BB7" s="289"/>
      <c r="BC7" s="320">
        <v>0</v>
      </c>
      <c r="BD7" s="321"/>
    </row>
    <row r="8" ht="15" customHeight="1" spans="1:56">
      <c r="A8" s="276" t="s">
        <v>223</v>
      </c>
      <c r="B8" s="275"/>
      <c r="C8" s="277">
        <f>人物卡!D19</f>
        <v>0</v>
      </c>
      <c r="D8" s="277"/>
      <c r="E8" s="277">
        <f>INT(C8/2)</f>
        <v>0</v>
      </c>
      <c r="F8" s="277"/>
      <c r="G8" s="281" t="s">
        <v>49</v>
      </c>
      <c r="H8" s="281"/>
      <c r="I8" s="289" t="s">
        <v>50</v>
      </c>
      <c r="J8" s="289"/>
      <c r="K8" s="293" t="s">
        <v>51</v>
      </c>
      <c r="L8" s="294"/>
      <c r="M8" s="295"/>
      <c r="N8" s="296" t="s">
        <v>50</v>
      </c>
      <c r="O8" s="297"/>
      <c r="P8" s="297"/>
      <c r="Q8" s="297"/>
      <c r="R8" s="322"/>
      <c r="T8" s="276" t="s">
        <v>223</v>
      </c>
      <c r="U8" s="275"/>
      <c r="V8" s="277">
        <f>IF(人物卡!T9=0,0,INT(LOOKUP(人物卡!T9,附表3!A4:A25,附表3!AE4:AE25)))</f>
        <v>0</v>
      </c>
      <c r="W8" s="277"/>
      <c r="X8" s="277">
        <f>INT(V8/2)</f>
        <v>0</v>
      </c>
      <c r="Y8" s="277"/>
      <c r="Z8" s="281" t="s">
        <v>49</v>
      </c>
      <c r="AA8" s="281"/>
      <c r="AB8" s="289" t="s">
        <v>50</v>
      </c>
      <c r="AC8" s="289"/>
      <c r="AD8" s="293" t="s">
        <v>51</v>
      </c>
      <c r="AE8" s="294"/>
      <c r="AF8" s="295"/>
      <c r="AG8" s="303">
        <f>IF(人物卡!T9=0,0,INT(VLOOKUP(人物卡!T9,附表6!A2:K24,11,0)))</f>
        <v>0</v>
      </c>
      <c r="AH8" s="304"/>
      <c r="AI8" s="304"/>
      <c r="AJ8" s="304"/>
      <c r="AK8" s="324"/>
      <c r="AM8" s="276" t="s">
        <v>223</v>
      </c>
      <c r="AN8" s="275"/>
      <c r="AO8" s="277">
        <f>IF(人物卡!T9=0,0,INT(LOOKUP(人物卡!T9,附表3!A30:A51,附表3!AE30:AE51)))</f>
        <v>0</v>
      </c>
      <c r="AP8" s="277"/>
      <c r="AQ8" s="277">
        <f>INT(AO8/2)</f>
        <v>0</v>
      </c>
      <c r="AR8" s="277"/>
      <c r="AS8" s="281" t="s">
        <v>49</v>
      </c>
      <c r="AT8" s="281"/>
      <c r="AU8" s="273" t="s">
        <v>50</v>
      </c>
      <c r="AV8" s="273"/>
      <c r="AW8" s="293" t="s">
        <v>51</v>
      </c>
      <c r="AX8" s="294"/>
      <c r="AY8" s="295"/>
      <c r="AZ8" s="303">
        <f>IF(人物卡!T9=0,0,VLOOKUP(人物卡!T9,附表6!A2:K24,10,0))</f>
        <v>0</v>
      </c>
      <c r="BA8" s="304"/>
      <c r="BB8" s="304"/>
      <c r="BC8" s="304"/>
      <c r="BD8" s="324"/>
    </row>
    <row r="9" ht="15" customHeight="1" spans="1:56">
      <c r="A9" s="282"/>
      <c r="B9" s="283"/>
      <c r="C9" s="284"/>
      <c r="D9" s="284"/>
      <c r="E9" s="284">
        <f>INT(C8/5)</f>
        <v>0</v>
      </c>
      <c r="F9" s="284"/>
      <c r="G9" s="285"/>
      <c r="H9" s="285"/>
      <c r="I9" s="298"/>
      <c r="J9" s="298"/>
      <c r="K9" s="299"/>
      <c r="L9" s="300"/>
      <c r="M9" s="300"/>
      <c r="N9" s="300"/>
      <c r="O9" s="300"/>
      <c r="P9" s="300"/>
      <c r="Q9" s="300"/>
      <c r="R9" s="323"/>
      <c r="T9" s="282"/>
      <c r="U9" s="283"/>
      <c r="V9" s="284"/>
      <c r="W9" s="284"/>
      <c r="X9" s="284">
        <f>INT(V8/5)</f>
        <v>0</v>
      </c>
      <c r="Y9" s="284"/>
      <c r="Z9" s="285"/>
      <c r="AA9" s="285"/>
      <c r="AB9" s="298"/>
      <c r="AC9" s="298"/>
      <c r="AD9" s="299" t="s">
        <v>224</v>
      </c>
      <c r="AE9" s="300"/>
      <c r="AF9" s="306"/>
      <c r="AG9" s="328">
        <f>IF(人物卡!T9=0,0,INT(LOOKUP(人物卡!T9,附表3!A4:A25,附表3!D4:D25)))</f>
        <v>0</v>
      </c>
      <c r="AH9" s="329"/>
      <c r="AI9" s="329"/>
      <c r="AJ9" s="329"/>
      <c r="AK9" s="330"/>
      <c r="AM9" s="282"/>
      <c r="AN9" s="283"/>
      <c r="AO9" s="284"/>
      <c r="AP9" s="284"/>
      <c r="AQ9" s="284">
        <f>INT(AO8/5)</f>
        <v>0</v>
      </c>
      <c r="AR9" s="284"/>
      <c r="AS9" s="285"/>
      <c r="AT9" s="285"/>
      <c r="AU9" s="305"/>
      <c r="AV9" s="305"/>
      <c r="AW9" s="299" t="s">
        <v>224</v>
      </c>
      <c r="AX9" s="300"/>
      <c r="AY9" s="306"/>
      <c r="AZ9" s="328">
        <f>IF(人物卡!T9=0,0,INT(LOOKUP(人物卡!T9,附表3!A30:A51,附表3!D30:D51)))</f>
        <v>0</v>
      </c>
      <c r="BA9" s="329"/>
      <c r="BB9" s="329"/>
      <c r="BC9" s="329"/>
      <c r="BD9" s="330"/>
    </row>
    <row r="10" ht="15" customHeight="1" spans="9:20">
      <c r="I10" s="105"/>
      <c r="J10" s="105"/>
      <c r="T10" s="92" t="s">
        <v>225</v>
      </c>
    </row>
    <row r="11" ht="15" customHeight="1" spans="1:56">
      <c r="A11" s="269" t="s">
        <v>226</v>
      </c>
      <c r="B11" s="270"/>
      <c r="C11" s="270"/>
      <c r="D11" s="270"/>
      <c r="E11" s="270"/>
      <c r="F11" s="270"/>
      <c r="G11" s="270"/>
      <c r="H11" s="270"/>
      <c r="I11" s="270"/>
      <c r="J11" s="270"/>
      <c r="K11" s="270"/>
      <c r="L11" s="270"/>
      <c r="M11" s="270"/>
      <c r="N11" s="270"/>
      <c r="O11" s="270"/>
      <c r="P11" s="270"/>
      <c r="Q11" s="270"/>
      <c r="R11" s="315"/>
      <c r="T11" s="269" t="s">
        <v>227</v>
      </c>
      <c r="U11" s="270"/>
      <c r="V11" s="270"/>
      <c r="W11" s="270"/>
      <c r="X11" s="270"/>
      <c r="Y11" s="270"/>
      <c r="Z11" s="270"/>
      <c r="AA11" s="270"/>
      <c r="AB11" s="270"/>
      <c r="AC11" s="270"/>
      <c r="AD11" s="270"/>
      <c r="AE11" s="270"/>
      <c r="AF11" s="270"/>
      <c r="AG11" s="270"/>
      <c r="AH11" s="270"/>
      <c r="AI11" s="270"/>
      <c r="AJ11" s="270"/>
      <c r="AK11" s="315"/>
      <c r="AM11" s="269" t="s">
        <v>228</v>
      </c>
      <c r="AN11" s="270"/>
      <c r="AO11" s="270"/>
      <c r="AP11" s="270"/>
      <c r="AQ11" s="270"/>
      <c r="AR11" s="270"/>
      <c r="AS11" s="270"/>
      <c r="AT11" s="270"/>
      <c r="AU11" s="270"/>
      <c r="AV11" s="270"/>
      <c r="AW11" s="270"/>
      <c r="AX11" s="270"/>
      <c r="AY11" s="270"/>
      <c r="AZ11" s="270"/>
      <c r="BA11" s="270"/>
      <c r="BB11" s="270"/>
      <c r="BC11" s="270"/>
      <c r="BD11" s="315"/>
    </row>
    <row r="12" ht="15" customHeight="1" spans="1:56">
      <c r="A12" s="271" t="s">
        <v>214</v>
      </c>
      <c r="B12" s="272"/>
      <c r="C12" s="286">
        <f>IF(人物卡!T9=0,0,INT(LOOKUP(人物卡!T9,附表3!A56:A77,附表3!G56:G77)))</f>
        <v>0</v>
      </c>
      <c r="D12" s="286"/>
      <c r="E12" s="274">
        <f t="shared" ref="E12:E16" si="12">INT(C12/2)</f>
        <v>0</v>
      </c>
      <c r="F12" s="274"/>
      <c r="G12" s="275" t="s">
        <v>215</v>
      </c>
      <c r="H12" s="275"/>
      <c r="I12" s="301">
        <f>IF(人物卡!T9=0,0,INT(LOOKUP(人物卡!T9,附表3!A56:A77,附表3!J56:J77)))</f>
        <v>0</v>
      </c>
      <c r="J12" s="301"/>
      <c r="K12" s="278">
        <f t="shared" ref="K12:K16" si="13">INT(I12/2)</f>
        <v>0</v>
      </c>
      <c r="L12" s="278"/>
      <c r="M12" s="272" t="s">
        <v>216</v>
      </c>
      <c r="N12" s="272"/>
      <c r="O12" s="286">
        <f>IF(人物卡!T9=0,0,INT(LOOKUP(人物卡!T9,附表3!A56:A77,附表3!Y56:Y77)))</f>
        <v>0</v>
      </c>
      <c r="P12" s="286"/>
      <c r="Q12" s="274">
        <f>INT(O12/2)</f>
        <v>0</v>
      </c>
      <c r="R12" s="316"/>
      <c r="T12" s="271" t="s">
        <v>214</v>
      </c>
      <c r="U12" s="272"/>
      <c r="V12" s="289">
        <v>0</v>
      </c>
      <c r="W12" s="289"/>
      <c r="X12" s="274">
        <f t="shared" ref="X12:X16" si="14">INT(V12/2)</f>
        <v>0</v>
      </c>
      <c r="Y12" s="274"/>
      <c r="Z12" s="275" t="s">
        <v>215</v>
      </c>
      <c r="AA12" s="275"/>
      <c r="AB12" s="309">
        <v>0</v>
      </c>
      <c r="AC12" s="309"/>
      <c r="AD12" s="278">
        <f t="shared" ref="AD12:AD16" si="15">INT(AB12/2)</f>
        <v>0</v>
      </c>
      <c r="AE12" s="278"/>
      <c r="AF12" s="272" t="s">
        <v>216</v>
      </c>
      <c r="AG12" s="272"/>
      <c r="AH12" s="289">
        <v>0</v>
      </c>
      <c r="AI12" s="289"/>
      <c r="AJ12" s="274">
        <f>INT(AH12/2)</f>
        <v>0</v>
      </c>
      <c r="AK12" s="316"/>
      <c r="AM12" s="271" t="s">
        <v>214</v>
      </c>
      <c r="AN12" s="272"/>
      <c r="AO12" s="289">
        <v>0</v>
      </c>
      <c r="AP12" s="289"/>
      <c r="AQ12" s="274">
        <f t="shared" ref="AQ12:AQ16" si="16">INT(AO12/2)</f>
        <v>0</v>
      </c>
      <c r="AR12" s="274"/>
      <c r="AS12" s="275" t="s">
        <v>215</v>
      </c>
      <c r="AT12" s="275"/>
      <c r="AU12" s="309">
        <v>0</v>
      </c>
      <c r="AV12" s="309"/>
      <c r="AW12" s="278">
        <f t="shared" ref="AW12:AW16" si="17">INT(AU12/2)</f>
        <v>0</v>
      </c>
      <c r="AX12" s="278"/>
      <c r="AY12" s="272" t="s">
        <v>216</v>
      </c>
      <c r="AZ12" s="272"/>
      <c r="BA12" s="289">
        <v>0</v>
      </c>
      <c r="BB12" s="289"/>
      <c r="BC12" s="274">
        <f>INT(BA12/2)</f>
        <v>0</v>
      </c>
      <c r="BD12" s="316"/>
    </row>
    <row r="13" ht="15" customHeight="1" spans="1:56">
      <c r="A13" s="271"/>
      <c r="B13" s="272"/>
      <c r="C13" s="286"/>
      <c r="D13" s="286"/>
      <c r="E13" s="273">
        <f t="shared" ref="E13:E17" si="18">INT(C12/5)</f>
        <v>0</v>
      </c>
      <c r="F13" s="273"/>
      <c r="G13" s="275"/>
      <c r="H13" s="275"/>
      <c r="I13" s="301"/>
      <c r="J13" s="301"/>
      <c r="K13" s="278">
        <f t="shared" ref="K13:K17" si="19">INT(I12/5)</f>
        <v>0</v>
      </c>
      <c r="L13" s="278"/>
      <c r="M13" s="272"/>
      <c r="N13" s="272"/>
      <c r="O13" s="286"/>
      <c r="P13" s="286"/>
      <c r="Q13" s="274">
        <f>INT(O12/5)</f>
        <v>0</v>
      </c>
      <c r="R13" s="316"/>
      <c r="T13" s="271"/>
      <c r="U13" s="272"/>
      <c r="V13" s="289"/>
      <c r="W13" s="289"/>
      <c r="X13" s="273">
        <f t="shared" ref="X13:X17" si="20">INT(V12/5)</f>
        <v>0</v>
      </c>
      <c r="Y13" s="273"/>
      <c r="Z13" s="275"/>
      <c r="AA13" s="275"/>
      <c r="AB13" s="309"/>
      <c r="AC13" s="309"/>
      <c r="AD13" s="278">
        <f t="shared" ref="AD13:AD17" si="21">INT(AB12/5)</f>
        <v>0</v>
      </c>
      <c r="AE13" s="278"/>
      <c r="AF13" s="272"/>
      <c r="AG13" s="272"/>
      <c r="AH13" s="289"/>
      <c r="AI13" s="289"/>
      <c r="AJ13" s="274">
        <f>INT(AH12/5)</f>
        <v>0</v>
      </c>
      <c r="AK13" s="316"/>
      <c r="AM13" s="271"/>
      <c r="AN13" s="272"/>
      <c r="AO13" s="289"/>
      <c r="AP13" s="289"/>
      <c r="AQ13" s="273">
        <f t="shared" ref="AQ13:AQ17" si="22">INT(AO12/5)</f>
        <v>0</v>
      </c>
      <c r="AR13" s="273"/>
      <c r="AS13" s="275"/>
      <c r="AT13" s="275"/>
      <c r="AU13" s="309"/>
      <c r="AV13" s="309"/>
      <c r="AW13" s="278">
        <f t="shared" ref="AW13:AW17" si="23">INT(AU12/5)</f>
        <v>0</v>
      </c>
      <c r="AX13" s="278"/>
      <c r="AY13" s="272"/>
      <c r="AZ13" s="272"/>
      <c r="BA13" s="289"/>
      <c r="BB13" s="289"/>
      <c r="BC13" s="274">
        <f>INT(BA12/5)</f>
        <v>0</v>
      </c>
      <c r="BD13" s="316"/>
    </row>
    <row r="14" ht="15" customHeight="1" spans="1:56">
      <c r="A14" s="276" t="s">
        <v>217</v>
      </c>
      <c r="B14" s="275"/>
      <c r="C14" s="287">
        <f>IF(人物卡!T9=0,0,INT(LOOKUP(人物卡!T9,附表3!A56:A77,附表3!M56:M77)))</f>
        <v>0</v>
      </c>
      <c r="D14" s="287"/>
      <c r="E14" s="278">
        <f t="shared" si="12"/>
        <v>0</v>
      </c>
      <c r="F14" s="278"/>
      <c r="G14" s="272" t="s">
        <v>218</v>
      </c>
      <c r="H14" s="272"/>
      <c r="I14" s="302">
        <f>IF(人物卡!T9=0,0,INT(LOOKUP(人物卡!T9,附表3!A56:A77,附表3!S56:S77)))</f>
        <v>0</v>
      </c>
      <c r="J14" s="302"/>
      <c r="K14" s="274">
        <f t="shared" si="13"/>
        <v>0</v>
      </c>
      <c r="L14" s="274"/>
      <c r="M14" s="275" t="s">
        <v>219</v>
      </c>
      <c r="N14" s="275"/>
      <c r="O14" s="287">
        <f>IF(人物卡!T9=0,0,INT(LOOKUP(人物卡!T9,附表3!A56:A77,附表3!AB56:AB77)))</f>
        <v>0</v>
      </c>
      <c r="P14" s="287"/>
      <c r="Q14" s="278">
        <f>INT(O14/2)</f>
        <v>0</v>
      </c>
      <c r="R14" s="317"/>
      <c r="T14" s="276" t="s">
        <v>217</v>
      </c>
      <c r="U14" s="275"/>
      <c r="V14" s="290">
        <v>0</v>
      </c>
      <c r="W14" s="290"/>
      <c r="X14" s="278">
        <f t="shared" si="14"/>
        <v>0</v>
      </c>
      <c r="Y14" s="278"/>
      <c r="Z14" s="272" t="s">
        <v>218</v>
      </c>
      <c r="AA14" s="272"/>
      <c r="AB14" s="310">
        <v>0</v>
      </c>
      <c r="AC14" s="310"/>
      <c r="AD14" s="274">
        <f t="shared" si="15"/>
        <v>0</v>
      </c>
      <c r="AE14" s="274"/>
      <c r="AF14" s="275" t="s">
        <v>219</v>
      </c>
      <c r="AG14" s="275"/>
      <c r="AH14" s="290">
        <v>0</v>
      </c>
      <c r="AI14" s="290"/>
      <c r="AJ14" s="278">
        <f>INT(AH14/2)</f>
        <v>0</v>
      </c>
      <c r="AK14" s="317"/>
      <c r="AM14" s="276" t="s">
        <v>217</v>
      </c>
      <c r="AN14" s="275"/>
      <c r="AO14" s="290">
        <v>0</v>
      </c>
      <c r="AP14" s="290"/>
      <c r="AQ14" s="278">
        <f t="shared" si="16"/>
        <v>0</v>
      </c>
      <c r="AR14" s="278"/>
      <c r="AS14" s="272" t="s">
        <v>218</v>
      </c>
      <c r="AT14" s="272"/>
      <c r="AU14" s="310">
        <v>0</v>
      </c>
      <c r="AV14" s="310"/>
      <c r="AW14" s="274">
        <f t="shared" si="17"/>
        <v>0</v>
      </c>
      <c r="AX14" s="274"/>
      <c r="AY14" s="275" t="s">
        <v>219</v>
      </c>
      <c r="AZ14" s="275"/>
      <c r="BA14" s="290">
        <v>0</v>
      </c>
      <c r="BB14" s="290"/>
      <c r="BC14" s="278">
        <f>INT(BA14/2)</f>
        <v>0</v>
      </c>
      <c r="BD14" s="317"/>
    </row>
    <row r="15" ht="15" customHeight="1" spans="1:56">
      <c r="A15" s="276"/>
      <c r="B15" s="275"/>
      <c r="C15" s="287"/>
      <c r="D15" s="287"/>
      <c r="E15" s="279">
        <f t="shared" si="18"/>
        <v>0</v>
      </c>
      <c r="F15" s="279"/>
      <c r="G15" s="272"/>
      <c r="H15" s="272"/>
      <c r="I15" s="302"/>
      <c r="J15" s="302"/>
      <c r="K15" s="274">
        <f t="shared" si="19"/>
        <v>0</v>
      </c>
      <c r="L15" s="274"/>
      <c r="M15" s="275"/>
      <c r="N15" s="275"/>
      <c r="O15" s="287"/>
      <c r="P15" s="287"/>
      <c r="Q15" s="278">
        <f>INT(O14/5)</f>
        <v>0</v>
      </c>
      <c r="R15" s="317"/>
      <c r="T15" s="276"/>
      <c r="U15" s="275"/>
      <c r="V15" s="290"/>
      <c r="W15" s="290"/>
      <c r="X15" s="279">
        <f t="shared" si="20"/>
        <v>0</v>
      </c>
      <c r="Y15" s="279"/>
      <c r="Z15" s="272"/>
      <c r="AA15" s="272"/>
      <c r="AB15" s="310"/>
      <c r="AC15" s="310"/>
      <c r="AD15" s="274">
        <f t="shared" si="21"/>
        <v>0</v>
      </c>
      <c r="AE15" s="274"/>
      <c r="AF15" s="275"/>
      <c r="AG15" s="275"/>
      <c r="AH15" s="290"/>
      <c r="AI15" s="290"/>
      <c r="AJ15" s="278">
        <f>INT(AH14/5)</f>
        <v>0</v>
      </c>
      <c r="AK15" s="317"/>
      <c r="AM15" s="276"/>
      <c r="AN15" s="275"/>
      <c r="AO15" s="290"/>
      <c r="AP15" s="290"/>
      <c r="AQ15" s="279">
        <f t="shared" si="22"/>
        <v>0</v>
      </c>
      <c r="AR15" s="279"/>
      <c r="AS15" s="272"/>
      <c r="AT15" s="272"/>
      <c r="AU15" s="310"/>
      <c r="AV15" s="310"/>
      <c r="AW15" s="274">
        <f t="shared" si="23"/>
        <v>0</v>
      </c>
      <c r="AX15" s="274"/>
      <c r="AY15" s="275"/>
      <c r="AZ15" s="275"/>
      <c r="BA15" s="290"/>
      <c r="BB15" s="290"/>
      <c r="BC15" s="278">
        <f>INT(BA14/5)</f>
        <v>0</v>
      </c>
      <c r="BD15" s="317"/>
    </row>
    <row r="16" ht="15" customHeight="1" spans="1:56">
      <c r="A16" s="271" t="s">
        <v>220</v>
      </c>
      <c r="B16" s="272"/>
      <c r="C16" s="286">
        <f>IF(人物卡!T9=0,0,INT(LOOKUP(人物卡!T9,附表3!A56:A77,附表3!P56:P77)))</f>
        <v>0</v>
      </c>
      <c r="D16" s="286"/>
      <c r="E16" s="274">
        <f t="shared" si="12"/>
        <v>0</v>
      </c>
      <c r="F16" s="274"/>
      <c r="G16" s="280" t="s">
        <v>221</v>
      </c>
      <c r="H16" s="280"/>
      <c r="I16" s="301">
        <f>IF(人物卡!T9=0,0,INT(LOOKUP(人物卡!T9,附表3!A56:A77,附表3!V56:V77)))</f>
        <v>0</v>
      </c>
      <c r="J16" s="301"/>
      <c r="K16" s="278">
        <f t="shared" si="13"/>
        <v>0</v>
      </c>
      <c r="L16" s="278"/>
      <c r="M16" s="272" t="s">
        <v>222</v>
      </c>
      <c r="N16" s="272"/>
      <c r="O16" s="289">
        <v>0</v>
      </c>
      <c r="P16" s="289"/>
      <c r="Q16" s="318" t="s">
        <v>44</v>
      </c>
      <c r="R16" s="319"/>
      <c r="T16" s="271" t="s">
        <v>220</v>
      </c>
      <c r="U16" s="272"/>
      <c r="V16" s="289">
        <v>0</v>
      </c>
      <c r="W16" s="289"/>
      <c r="X16" s="274">
        <f t="shared" si="14"/>
        <v>0</v>
      </c>
      <c r="Y16" s="274"/>
      <c r="Z16" s="280" t="s">
        <v>221</v>
      </c>
      <c r="AA16" s="280"/>
      <c r="AB16" s="309">
        <v>0</v>
      </c>
      <c r="AC16" s="309"/>
      <c r="AD16" s="278">
        <f t="shared" si="15"/>
        <v>0</v>
      </c>
      <c r="AE16" s="278"/>
      <c r="AF16" s="272" t="s">
        <v>222</v>
      </c>
      <c r="AG16" s="272"/>
      <c r="AH16" s="289">
        <v>0</v>
      </c>
      <c r="AI16" s="289"/>
      <c r="AJ16" s="318" t="s">
        <v>44</v>
      </c>
      <c r="AK16" s="319"/>
      <c r="AM16" s="271" t="s">
        <v>220</v>
      </c>
      <c r="AN16" s="272"/>
      <c r="AO16" s="289">
        <v>0</v>
      </c>
      <c r="AP16" s="289"/>
      <c r="AQ16" s="274">
        <f t="shared" si="16"/>
        <v>0</v>
      </c>
      <c r="AR16" s="274"/>
      <c r="AS16" s="280" t="s">
        <v>221</v>
      </c>
      <c r="AT16" s="280"/>
      <c r="AU16" s="309">
        <v>0</v>
      </c>
      <c r="AV16" s="309"/>
      <c r="AW16" s="278">
        <f t="shared" si="17"/>
        <v>0</v>
      </c>
      <c r="AX16" s="278"/>
      <c r="AY16" s="272" t="s">
        <v>222</v>
      </c>
      <c r="AZ16" s="272"/>
      <c r="BA16" s="289">
        <v>0</v>
      </c>
      <c r="BB16" s="289"/>
      <c r="BC16" s="318" t="s">
        <v>44</v>
      </c>
      <c r="BD16" s="319"/>
    </row>
    <row r="17" ht="15" customHeight="1" spans="1:56">
      <c r="A17" s="271"/>
      <c r="B17" s="272"/>
      <c r="C17" s="286"/>
      <c r="D17" s="286"/>
      <c r="E17" s="273">
        <f t="shared" si="18"/>
        <v>0</v>
      </c>
      <c r="F17" s="273"/>
      <c r="G17" s="280"/>
      <c r="H17" s="280"/>
      <c r="I17" s="301"/>
      <c r="J17" s="301"/>
      <c r="K17" s="279">
        <f t="shared" si="19"/>
        <v>0</v>
      </c>
      <c r="L17" s="279"/>
      <c r="M17" s="272"/>
      <c r="N17" s="272"/>
      <c r="O17" s="289"/>
      <c r="P17" s="289"/>
      <c r="Q17" s="320">
        <v>0</v>
      </c>
      <c r="R17" s="321"/>
      <c r="T17" s="271"/>
      <c r="U17" s="272"/>
      <c r="V17" s="289"/>
      <c r="W17" s="289"/>
      <c r="X17" s="273">
        <f t="shared" si="20"/>
        <v>0</v>
      </c>
      <c r="Y17" s="273"/>
      <c r="Z17" s="280"/>
      <c r="AA17" s="280"/>
      <c r="AB17" s="309"/>
      <c r="AC17" s="309"/>
      <c r="AD17" s="279">
        <f t="shared" si="21"/>
        <v>0</v>
      </c>
      <c r="AE17" s="279"/>
      <c r="AF17" s="272"/>
      <c r="AG17" s="272"/>
      <c r="AH17" s="289"/>
      <c r="AI17" s="289"/>
      <c r="AJ17" s="320">
        <v>0</v>
      </c>
      <c r="AK17" s="321"/>
      <c r="AM17" s="271"/>
      <c r="AN17" s="272"/>
      <c r="AO17" s="289"/>
      <c r="AP17" s="289"/>
      <c r="AQ17" s="273">
        <f t="shared" si="22"/>
        <v>0</v>
      </c>
      <c r="AR17" s="273"/>
      <c r="AS17" s="280"/>
      <c r="AT17" s="280"/>
      <c r="AU17" s="309"/>
      <c r="AV17" s="309"/>
      <c r="AW17" s="279">
        <f t="shared" si="23"/>
        <v>0</v>
      </c>
      <c r="AX17" s="279"/>
      <c r="AY17" s="272"/>
      <c r="AZ17" s="272"/>
      <c r="BA17" s="289"/>
      <c r="BB17" s="289"/>
      <c r="BC17" s="320">
        <v>0</v>
      </c>
      <c r="BD17" s="321"/>
    </row>
    <row r="18" ht="15" customHeight="1" spans="1:56">
      <c r="A18" s="276" t="s">
        <v>223</v>
      </c>
      <c r="B18" s="275"/>
      <c r="C18" s="287">
        <f>IF(人物卡!T9=0,0,INT(LOOKUP(人物卡!T9,附表3!A56:A77,附表3!AE56:AE77)))</f>
        <v>0</v>
      </c>
      <c r="D18" s="287"/>
      <c r="E18" s="277">
        <f>INT(C18/2)</f>
        <v>0</v>
      </c>
      <c r="F18" s="277"/>
      <c r="G18" s="281" t="s">
        <v>49</v>
      </c>
      <c r="H18" s="281"/>
      <c r="I18" s="273" t="s">
        <v>50</v>
      </c>
      <c r="J18" s="273"/>
      <c r="K18" s="293" t="s">
        <v>51</v>
      </c>
      <c r="L18" s="294"/>
      <c r="M18" s="295"/>
      <c r="N18" s="303">
        <f>IF(人物卡!T9=0,0,INT(VLOOKUP(人物卡!T9,附表6!A2:K24,9,0)))</f>
        <v>0</v>
      </c>
      <c r="O18" s="304"/>
      <c r="P18" s="304"/>
      <c r="Q18" s="304"/>
      <c r="R18" s="324"/>
      <c r="T18" s="276" t="s">
        <v>223</v>
      </c>
      <c r="U18" s="275"/>
      <c r="V18" s="290">
        <v>0</v>
      </c>
      <c r="W18" s="290"/>
      <c r="X18" s="277">
        <f>INT(V18/2)</f>
        <v>0</v>
      </c>
      <c r="Y18" s="277"/>
      <c r="Z18" s="281" t="s">
        <v>49</v>
      </c>
      <c r="AA18" s="281"/>
      <c r="AB18" s="273" t="s">
        <v>50</v>
      </c>
      <c r="AC18" s="273"/>
      <c r="AD18" s="293" t="s">
        <v>51</v>
      </c>
      <c r="AE18" s="294"/>
      <c r="AF18" s="295"/>
      <c r="AG18" s="311">
        <v>0</v>
      </c>
      <c r="AH18" s="312"/>
      <c r="AI18" s="312"/>
      <c r="AJ18" s="312"/>
      <c r="AK18" s="326"/>
      <c r="AM18" s="276" t="s">
        <v>223</v>
      </c>
      <c r="AN18" s="275"/>
      <c r="AO18" s="290">
        <v>0</v>
      </c>
      <c r="AP18" s="290"/>
      <c r="AQ18" s="277">
        <f>INT(AO18/2)</f>
        <v>0</v>
      </c>
      <c r="AR18" s="277"/>
      <c r="AS18" s="281" t="s">
        <v>49</v>
      </c>
      <c r="AT18" s="281"/>
      <c r="AU18" s="273" t="s">
        <v>50</v>
      </c>
      <c r="AV18" s="273"/>
      <c r="AW18" s="293" t="s">
        <v>51</v>
      </c>
      <c r="AX18" s="294"/>
      <c r="AY18" s="295"/>
      <c r="AZ18" s="311">
        <v>0</v>
      </c>
      <c r="BA18" s="312"/>
      <c r="BB18" s="312"/>
      <c r="BC18" s="312"/>
      <c r="BD18" s="326"/>
    </row>
    <row r="19" ht="15" customHeight="1" spans="1:56">
      <c r="A19" s="282"/>
      <c r="B19" s="283"/>
      <c r="C19" s="288"/>
      <c r="D19" s="288"/>
      <c r="E19" s="284">
        <f>INT(C18/5)</f>
        <v>0</v>
      </c>
      <c r="F19" s="284"/>
      <c r="G19" s="285"/>
      <c r="H19" s="285"/>
      <c r="I19" s="305"/>
      <c r="J19" s="305"/>
      <c r="K19" s="299" t="s">
        <v>224</v>
      </c>
      <c r="L19" s="300"/>
      <c r="M19" s="306"/>
      <c r="N19" s="307">
        <f>IF(人物卡!T9=0,0,INT(LOOKUP(人物卡!T9,附表3!A56:A77,附表3!D56:D77)))</f>
        <v>0</v>
      </c>
      <c r="O19" s="308"/>
      <c r="P19" s="308"/>
      <c r="Q19" s="308"/>
      <c r="R19" s="325"/>
      <c r="T19" s="282"/>
      <c r="U19" s="283"/>
      <c r="V19" s="291"/>
      <c r="W19" s="291"/>
      <c r="X19" s="284">
        <f>INT(V18/5)</f>
        <v>0</v>
      </c>
      <c r="Y19" s="284"/>
      <c r="Z19" s="285"/>
      <c r="AA19" s="285"/>
      <c r="AB19" s="305"/>
      <c r="AC19" s="305"/>
      <c r="AD19" s="299" t="s">
        <v>224</v>
      </c>
      <c r="AE19" s="300"/>
      <c r="AF19" s="306"/>
      <c r="AG19" s="313"/>
      <c r="AH19" s="314"/>
      <c r="AI19" s="314"/>
      <c r="AJ19" s="314"/>
      <c r="AK19" s="327"/>
      <c r="AM19" s="282"/>
      <c r="AN19" s="283"/>
      <c r="AO19" s="291"/>
      <c r="AP19" s="291"/>
      <c r="AQ19" s="284">
        <f>INT(AO18/5)</f>
        <v>0</v>
      </c>
      <c r="AR19" s="284"/>
      <c r="AS19" s="285"/>
      <c r="AT19" s="285"/>
      <c r="AU19" s="305"/>
      <c r="AV19" s="305"/>
      <c r="AW19" s="299" t="s">
        <v>224</v>
      </c>
      <c r="AX19" s="300"/>
      <c r="AY19" s="306"/>
      <c r="AZ19" s="313"/>
      <c r="BA19" s="314"/>
      <c r="BB19" s="314"/>
      <c r="BC19" s="314"/>
      <c r="BD19" s="327"/>
    </row>
    <row r="20" ht="15" customHeight="1"/>
    <row r="21" ht="15" customHeight="1" spans="1:56">
      <c r="A21" s="269" t="s">
        <v>229</v>
      </c>
      <c r="B21" s="270"/>
      <c r="C21" s="270"/>
      <c r="D21" s="270"/>
      <c r="E21" s="270"/>
      <c r="F21" s="270"/>
      <c r="G21" s="270"/>
      <c r="H21" s="270"/>
      <c r="I21" s="270"/>
      <c r="J21" s="270"/>
      <c r="K21" s="270"/>
      <c r="L21" s="270"/>
      <c r="M21" s="270"/>
      <c r="N21" s="270"/>
      <c r="O21" s="270"/>
      <c r="P21" s="270"/>
      <c r="Q21" s="270"/>
      <c r="R21" s="315"/>
      <c r="T21" s="269" t="s">
        <v>230</v>
      </c>
      <c r="U21" s="270"/>
      <c r="V21" s="270"/>
      <c r="W21" s="270"/>
      <c r="X21" s="270"/>
      <c r="Y21" s="270"/>
      <c r="Z21" s="270"/>
      <c r="AA21" s="270"/>
      <c r="AB21" s="270"/>
      <c r="AC21" s="270"/>
      <c r="AD21" s="270"/>
      <c r="AE21" s="270"/>
      <c r="AF21" s="270"/>
      <c r="AG21" s="270"/>
      <c r="AH21" s="270"/>
      <c r="AI21" s="270"/>
      <c r="AJ21" s="270"/>
      <c r="AK21" s="315"/>
      <c r="AM21" s="269" t="s">
        <v>231</v>
      </c>
      <c r="AN21" s="270"/>
      <c r="AO21" s="270"/>
      <c r="AP21" s="270"/>
      <c r="AQ21" s="270"/>
      <c r="AR21" s="270"/>
      <c r="AS21" s="270"/>
      <c r="AT21" s="270"/>
      <c r="AU21" s="270"/>
      <c r="AV21" s="270"/>
      <c r="AW21" s="270"/>
      <c r="AX21" s="270"/>
      <c r="AY21" s="270"/>
      <c r="AZ21" s="270"/>
      <c r="BA21" s="270"/>
      <c r="BB21" s="270"/>
      <c r="BC21" s="270"/>
      <c r="BD21" s="315"/>
    </row>
    <row r="22" ht="15" customHeight="1" spans="1:56">
      <c r="A22" s="271" t="s">
        <v>214</v>
      </c>
      <c r="B22" s="272"/>
      <c r="C22" s="289">
        <v>0</v>
      </c>
      <c r="D22" s="289"/>
      <c r="E22" s="274">
        <f t="shared" ref="E22:E26" si="24">INT(C22/2)</f>
        <v>0</v>
      </c>
      <c r="F22" s="274"/>
      <c r="G22" s="275" t="s">
        <v>215</v>
      </c>
      <c r="H22" s="275"/>
      <c r="I22" s="309">
        <v>0</v>
      </c>
      <c r="J22" s="309"/>
      <c r="K22" s="278">
        <f t="shared" ref="K22:K26" si="25">INT(I22/2)</f>
        <v>0</v>
      </c>
      <c r="L22" s="278"/>
      <c r="M22" s="272" t="s">
        <v>216</v>
      </c>
      <c r="N22" s="272"/>
      <c r="O22" s="289">
        <v>0</v>
      </c>
      <c r="P22" s="289"/>
      <c r="Q22" s="274">
        <f>INT(O22/2)</f>
        <v>0</v>
      </c>
      <c r="R22" s="316"/>
      <c r="T22" s="271" t="s">
        <v>214</v>
      </c>
      <c r="U22" s="272"/>
      <c r="V22" s="289">
        <v>0</v>
      </c>
      <c r="W22" s="289"/>
      <c r="X22" s="274">
        <f t="shared" ref="X22:X26" si="26">INT(V22/2)</f>
        <v>0</v>
      </c>
      <c r="Y22" s="274"/>
      <c r="Z22" s="275" t="s">
        <v>215</v>
      </c>
      <c r="AA22" s="275"/>
      <c r="AB22" s="309">
        <v>0</v>
      </c>
      <c r="AC22" s="309"/>
      <c r="AD22" s="278">
        <f t="shared" ref="AD22:AD26" si="27">INT(AB22/2)</f>
        <v>0</v>
      </c>
      <c r="AE22" s="278"/>
      <c r="AF22" s="272" t="s">
        <v>216</v>
      </c>
      <c r="AG22" s="272"/>
      <c r="AH22" s="289">
        <v>0</v>
      </c>
      <c r="AI22" s="289"/>
      <c r="AJ22" s="274">
        <f>INT(AH22/2)</f>
        <v>0</v>
      </c>
      <c r="AK22" s="316"/>
      <c r="AM22" s="271" t="s">
        <v>214</v>
      </c>
      <c r="AN22" s="272"/>
      <c r="AO22" s="289">
        <v>0</v>
      </c>
      <c r="AP22" s="289"/>
      <c r="AQ22" s="274">
        <f t="shared" ref="AQ22:AQ26" si="28">INT(AO22/2)</f>
        <v>0</v>
      </c>
      <c r="AR22" s="274"/>
      <c r="AS22" s="275" t="s">
        <v>215</v>
      </c>
      <c r="AT22" s="275"/>
      <c r="AU22" s="309">
        <v>0</v>
      </c>
      <c r="AV22" s="309"/>
      <c r="AW22" s="278">
        <f t="shared" ref="AW22:AW26" si="29">INT(AU22/2)</f>
        <v>0</v>
      </c>
      <c r="AX22" s="278"/>
      <c r="AY22" s="272" t="s">
        <v>216</v>
      </c>
      <c r="AZ22" s="272"/>
      <c r="BA22" s="289">
        <v>0</v>
      </c>
      <c r="BB22" s="289"/>
      <c r="BC22" s="274">
        <f>INT(BA22/2)</f>
        <v>0</v>
      </c>
      <c r="BD22" s="316"/>
    </row>
    <row r="23" ht="15" customHeight="1" spans="1:56">
      <c r="A23" s="271"/>
      <c r="B23" s="272"/>
      <c r="C23" s="289"/>
      <c r="D23" s="289"/>
      <c r="E23" s="273">
        <f t="shared" ref="E23:E27" si="30">INT(C22/5)</f>
        <v>0</v>
      </c>
      <c r="F23" s="273"/>
      <c r="G23" s="275"/>
      <c r="H23" s="275"/>
      <c r="I23" s="309"/>
      <c r="J23" s="309"/>
      <c r="K23" s="278">
        <f t="shared" ref="K23:K27" si="31">INT(I22/5)</f>
        <v>0</v>
      </c>
      <c r="L23" s="278"/>
      <c r="M23" s="272"/>
      <c r="N23" s="272"/>
      <c r="O23" s="289"/>
      <c r="P23" s="289"/>
      <c r="Q23" s="274">
        <f>INT(O22/5)</f>
        <v>0</v>
      </c>
      <c r="R23" s="316"/>
      <c r="T23" s="271"/>
      <c r="U23" s="272"/>
      <c r="V23" s="289"/>
      <c r="W23" s="289"/>
      <c r="X23" s="273">
        <f t="shared" ref="X23:X27" si="32">INT(V22/5)</f>
        <v>0</v>
      </c>
      <c r="Y23" s="273"/>
      <c r="Z23" s="275"/>
      <c r="AA23" s="275"/>
      <c r="AB23" s="309"/>
      <c r="AC23" s="309"/>
      <c r="AD23" s="278">
        <f t="shared" ref="AD23:AD27" si="33">INT(AB22/5)</f>
        <v>0</v>
      </c>
      <c r="AE23" s="278"/>
      <c r="AF23" s="272"/>
      <c r="AG23" s="272"/>
      <c r="AH23" s="289"/>
      <c r="AI23" s="289"/>
      <c r="AJ23" s="274">
        <f>INT(AH22/5)</f>
        <v>0</v>
      </c>
      <c r="AK23" s="316"/>
      <c r="AM23" s="271"/>
      <c r="AN23" s="272"/>
      <c r="AO23" s="289"/>
      <c r="AP23" s="289"/>
      <c r="AQ23" s="273">
        <f t="shared" ref="AQ23:AQ27" si="34">INT(AO22/5)</f>
        <v>0</v>
      </c>
      <c r="AR23" s="273"/>
      <c r="AS23" s="275"/>
      <c r="AT23" s="275"/>
      <c r="AU23" s="309"/>
      <c r="AV23" s="309"/>
      <c r="AW23" s="278">
        <f t="shared" ref="AW23:AW27" si="35">INT(AU22/5)</f>
        <v>0</v>
      </c>
      <c r="AX23" s="278"/>
      <c r="AY23" s="272"/>
      <c r="AZ23" s="272"/>
      <c r="BA23" s="289"/>
      <c r="BB23" s="289"/>
      <c r="BC23" s="274">
        <f>INT(BA22/5)</f>
        <v>0</v>
      </c>
      <c r="BD23" s="316"/>
    </row>
    <row r="24" ht="15" customHeight="1" spans="1:56">
      <c r="A24" s="276" t="s">
        <v>217</v>
      </c>
      <c r="B24" s="275"/>
      <c r="C24" s="290">
        <v>0</v>
      </c>
      <c r="D24" s="290"/>
      <c r="E24" s="278">
        <f t="shared" si="24"/>
        <v>0</v>
      </c>
      <c r="F24" s="278"/>
      <c r="G24" s="272" t="s">
        <v>218</v>
      </c>
      <c r="H24" s="272"/>
      <c r="I24" s="310">
        <v>0</v>
      </c>
      <c r="J24" s="310"/>
      <c r="K24" s="274">
        <f t="shared" si="25"/>
        <v>0</v>
      </c>
      <c r="L24" s="274"/>
      <c r="M24" s="275" t="s">
        <v>219</v>
      </c>
      <c r="N24" s="275"/>
      <c r="O24" s="290">
        <v>0</v>
      </c>
      <c r="P24" s="290"/>
      <c r="Q24" s="278">
        <f>INT(O24/2)</f>
        <v>0</v>
      </c>
      <c r="R24" s="317"/>
      <c r="T24" s="276" t="s">
        <v>217</v>
      </c>
      <c r="U24" s="275"/>
      <c r="V24" s="290">
        <v>0</v>
      </c>
      <c r="W24" s="290"/>
      <c r="X24" s="278">
        <f t="shared" si="26"/>
        <v>0</v>
      </c>
      <c r="Y24" s="278"/>
      <c r="Z24" s="272" t="s">
        <v>218</v>
      </c>
      <c r="AA24" s="272"/>
      <c r="AB24" s="310">
        <v>0</v>
      </c>
      <c r="AC24" s="310"/>
      <c r="AD24" s="274">
        <f t="shared" si="27"/>
        <v>0</v>
      </c>
      <c r="AE24" s="274"/>
      <c r="AF24" s="275" t="s">
        <v>219</v>
      </c>
      <c r="AG24" s="275"/>
      <c r="AH24" s="290">
        <v>0</v>
      </c>
      <c r="AI24" s="290"/>
      <c r="AJ24" s="278">
        <f>INT(AH24/2)</f>
        <v>0</v>
      </c>
      <c r="AK24" s="317"/>
      <c r="AM24" s="276" t="s">
        <v>217</v>
      </c>
      <c r="AN24" s="275"/>
      <c r="AO24" s="290">
        <v>0</v>
      </c>
      <c r="AP24" s="290"/>
      <c r="AQ24" s="278">
        <f t="shared" si="28"/>
        <v>0</v>
      </c>
      <c r="AR24" s="278"/>
      <c r="AS24" s="272" t="s">
        <v>218</v>
      </c>
      <c r="AT24" s="272"/>
      <c r="AU24" s="310">
        <v>0</v>
      </c>
      <c r="AV24" s="310"/>
      <c r="AW24" s="274">
        <f t="shared" si="29"/>
        <v>0</v>
      </c>
      <c r="AX24" s="274"/>
      <c r="AY24" s="275" t="s">
        <v>219</v>
      </c>
      <c r="AZ24" s="275"/>
      <c r="BA24" s="290">
        <v>0</v>
      </c>
      <c r="BB24" s="290"/>
      <c r="BC24" s="278">
        <f>INT(BA24/2)</f>
        <v>0</v>
      </c>
      <c r="BD24" s="317"/>
    </row>
    <row r="25" ht="15" customHeight="1" spans="1:56">
      <c r="A25" s="276"/>
      <c r="B25" s="275"/>
      <c r="C25" s="290"/>
      <c r="D25" s="290"/>
      <c r="E25" s="279">
        <f t="shared" si="30"/>
        <v>0</v>
      </c>
      <c r="F25" s="279"/>
      <c r="G25" s="272"/>
      <c r="H25" s="272"/>
      <c r="I25" s="310"/>
      <c r="J25" s="310"/>
      <c r="K25" s="274">
        <f t="shared" si="31"/>
        <v>0</v>
      </c>
      <c r="L25" s="274"/>
      <c r="M25" s="275"/>
      <c r="N25" s="275"/>
      <c r="O25" s="290"/>
      <c r="P25" s="290"/>
      <c r="Q25" s="278">
        <f>INT(O24/5)</f>
        <v>0</v>
      </c>
      <c r="R25" s="317"/>
      <c r="T25" s="276"/>
      <c r="U25" s="275"/>
      <c r="V25" s="290"/>
      <c r="W25" s="290"/>
      <c r="X25" s="279">
        <f t="shared" si="32"/>
        <v>0</v>
      </c>
      <c r="Y25" s="279"/>
      <c r="Z25" s="272"/>
      <c r="AA25" s="272"/>
      <c r="AB25" s="310"/>
      <c r="AC25" s="310"/>
      <c r="AD25" s="274">
        <f t="shared" si="33"/>
        <v>0</v>
      </c>
      <c r="AE25" s="274"/>
      <c r="AF25" s="275"/>
      <c r="AG25" s="275"/>
      <c r="AH25" s="290"/>
      <c r="AI25" s="290"/>
      <c r="AJ25" s="278">
        <f>INT(AH24/5)</f>
        <v>0</v>
      </c>
      <c r="AK25" s="317"/>
      <c r="AM25" s="276"/>
      <c r="AN25" s="275"/>
      <c r="AO25" s="290"/>
      <c r="AP25" s="290"/>
      <c r="AQ25" s="279">
        <f t="shared" si="34"/>
        <v>0</v>
      </c>
      <c r="AR25" s="279"/>
      <c r="AS25" s="272"/>
      <c r="AT25" s="272"/>
      <c r="AU25" s="310"/>
      <c r="AV25" s="310"/>
      <c r="AW25" s="274">
        <f t="shared" si="35"/>
        <v>0</v>
      </c>
      <c r="AX25" s="274"/>
      <c r="AY25" s="275"/>
      <c r="AZ25" s="275"/>
      <c r="BA25" s="290"/>
      <c r="BB25" s="290"/>
      <c r="BC25" s="278">
        <f>INT(BA24/5)</f>
        <v>0</v>
      </c>
      <c r="BD25" s="317"/>
    </row>
    <row r="26" ht="15" customHeight="1" spans="1:56">
      <c r="A26" s="271" t="s">
        <v>220</v>
      </c>
      <c r="B26" s="272"/>
      <c r="C26" s="289">
        <v>0</v>
      </c>
      <c r="D26" s="289"/>
      <c r="E26" s="274">
        <f t="shared" si="24"/>
        <v>0</v>
      </c>
      <c r="F26" s="274"/>
      <c r="G26" s="280" t="s">
        <v>221</v>
      </c>
      <c r="H26" s="280"/>
      <c r="I26" s="309">
        <v>0</v>
      </c>
      <c r="J26" s="309"/>
      <c r="K26" s="278">
        <f t="shared" si="25"/>
        <v>0</v>
      </c>
      <c r="L26" s="278"/>
      <c r="M26" s="272" t="s">
        <v>222</v>
      </c>
      <c r="N26" s="272"/>
      <c r="O26" s="289">
        <v>0</v>
      </c>
      <c r="P26" s="289"/>
      <c r="Q26" s="318" t="s">
        <v>44</v>
      </c>
      <c r="R26" s="319"/>
      <c r="T26" s="271" t="s">
        <v>220</v>
      </c>
      <c r="U26" s="272"/>
      <c r="V26" s="289">
        <v>0</v>
      </c>
      <c r="W26" s="289"/>
      <c r="X26" s="274">
        <f t="shared" si="26"/>
        <v>0</v>
      </c>
      <c r="Y26" s="274"/>
      <c r="Z26" s="280" t="s">
        <v>221</v>
      </c>
      <c r="AA26" s="280"/>
      <c r="AB26" s="309">
        <v>0</v>
      </c>
      <c r="AC26" s="309"/>
      <c r="AD26" s="278">
        <f t="shared" si="27"/>
        <v>0</v>
      </c>
      <c r="AE26" s="278"/>
      <c r="AF26" s="272" t="s">
        <v>222</v>
      </c>
      <c r="AG26" s="272"/>
      <c r="AH26" s="289">
        <v>0</v>
      </c>
      <c r="AI26" s="289"/>
      <c r="AJ26" s="318" t="s">
        <v>44</v>
      </c>
      <c r="AK26" s="319"/>
      <c r="AM26" s="271" t="s">
        <v>220</v>
      </c>
      <c r="AN26" s="272"/>
      <c r="AO26" s="289">
        <v>0</v>
      </c>
      <c r="AP26" s="289"/>
      <c r="AQ26" s="274">
        <f t="shared" si="28"/>
        <v>0</v>
      </c>
      <c r="AR26" s="274"/>
      <c r="AS26" s="280" t="s">
        <v>221</v>
      </c>
      <c r="AT26" s="280"/>
      <c r="AU26" s="309">
        <v>0</v>
      </c>
      <c r="AV26" s="309"/>
      <c r="AW26" s="278">
        <f t="shared" si="29"/>
        <v>0</v>
      </c>
      <c r="AX26" s="278"/>
      <c r="AY26" s="272" t="s">
        <v>222</v>
      </c>
      <c r="AZ26" s="272"/>
      <c r="BA26" s="289">
        <v>0</v>
      </c>
      <c r="BB26" s="289"/>
      <c r="BC26" s="318" t="s">
        <v>44</v>
      </c>
      <c r="BD26" s="319"/>
    </row>
    <row r="27" ht="15" customHeight="1" spans="1:56">
      <c r="A27" s="271"/>
      <c r="B27" s="272"/>
      <c r="C27" s="289"/>
      <c r="D27" s="289"/>
      <c r="E27" s="273">
        <f t="shared" si="30"/>
        <v>0</v>
      </c>
      <c r="F27" s="273"/>
      <c r="G27" s="280"/>
      <c r="H27" s="280"/>
      <c r="I27" s="309"/>
      <c r="J27" s="309"/>
      <c r="K27" s="279">
        <f t="shared" si="31"/>
        <v>0</v>
      </c>
      <c r="L27" s="279"/>
      <c r="M27" s="272"/>
      <c r="N27" s="272"/>
      <c r="O27" s="289"/>
      <c r="P27" s="289"/>
      <c r="Q27" s="320">
        <v>0</v>
      </c>
      <c r="R27" s="321"/>
      <c r="T27" s="271"/>
      <c r="U27" s="272"/>
      <c r="V27" s="289"/>
      <c r="W27" s="289"/>
      <c r="X27" s="273">
        <f t="shared" si="32"/>
        <v>0</v>
      </c>
      <c r="Y27" s="273"/>
      <c r="Z27" s="280"/>
      <c r="AA27" s="280"/>
      <c r="AB27" s="309"/>
      <c r="AC27" s="309"/>
      <c r="AD27" s="279">
        <f t="shared" si="33"/>
        <v>0</v>
      </c>
      <c r="AE27" s="279"/>
      <c r="AF27" s="272"/>
      <c r="AG27" s="272"/>
      <c r="AH27" s="289"/>
      <c r="AI27" s="289"/>
      <c r="AJ27" s="320">
        <v>0</v>
      </c>
      <c r="AK27" s="321"/>
      <c r="AM27" s="271"/>
      <c r="AN27" s="272"/>
      <c r="AO27" s="289"/>
      <c r="AP27" s="289"/>
      <c r="AQ27" s="273">
        <f t="shared" si="34"/>
        <v>0</v>
      </c>
      <c r="AR27" s="273"/>
      <c r="AS27" s="280"/>
      <c r="AT27" s="280"/>
      <c r="AU27" s="309"/>
      <c r="AV27" s="309"/>
      <c r="AW27" s="279">
        <f t="shared" si="35"/>
        <v>0</v>
      </c>
      <c r="AX27" s="279"/>
      <c r="AY27" s="272"/>
      <c r="AZ27" s="272"/>
      <c r="BA27" s="289"/>
      <c r="BB27" s="289"/>
      <c r="BC27" s="320">
        <v>0</v>
      </c>
      <c r="BD27" s="321"/>
    </row>
    <row r="28" ht="15" customHeight="1" spans="1:56">
      <c r="A28" s="276" t="s">
        <v>223</v>
      </c>
      <c r="B28" s="275"/>
      <c r="C28" s="290">
        <v>0</v>
      </c>
      <c r="D28" s="290"/>
      <c r="E28" s="277">
        <f>INT(C28/2)</f>
        <v>0</v>
      </c>
      <c r="F28" s="277"/>
      <c r="G28" s="281" t="s">
        <v>49</v>
      </c>
      <c r="H28" s="281"/>
      <c r="I28" s="273" t="s">
        <v>50</v>
      </c>
      <c r="J28" s="273"/>
      <c r="K28" s="293" t="s">
        <v>51</v>
      </c>
      <c r="L28" s="294"/>
      <c r="M28" s="295"/>
      <c r="N28" s="311">
        <v>0</v>
      </c>
      <c r="O28" s="312"/>
      <c r="P28" s="312"/>
      <c r="Q28" s="312"/>
      <c r="R28" s="326"/>
      <c r="T28" s="276" t="s">
        <v>223</v>
      </c>
      <c r="U28" s="275"/>
      <c r="V28" s="290">
        <v>0</v>
      </c>
      <c r="W28" s="290"/>
      <c r="X28" s="277">
        <f>INT(V28/2)</f>
        <v>0</v>
      </c>
      <c r="Y28" s="277"/>
      <c r="Z28" s="281" t="s">
        <v>49</v>
      </c>
      <c r="AA28" s="281"/>
      <c r="AB28" s="273" t="s">
        <v>50</v>
      </c>
      <c r="AC28" s="273"/>
      <c r="AD28" s="293" t="s">
        <v>51</v>
      </c>
      <c r="AE28" s="294"/>
      <c r="AF28" s="295"/>
      <c r="AG28" s="311">
        <v>0</v>
      </c>
      <c r="AH28" s="312"/>
      <c r="AI28" s="312"/>
      <c r="AJ28" s="312"/>
      <c r="AK28" s="326"/>
      <c r="AM28" s="276" t="s">
        <v>223</v>
      </c>
      <c r="AN28" s="275"/>
      <c r="AO28" s="290">
        <v>0</v>
      </c>
      <c r="AP28" s="290"/>
      <c r="AQ28" s="277">
        <f>INT(AO28/2)</f>
        <v>0</v>
      </c>
      <c r="AR28" s="277"/>
      <c r="AS28" s="281" t="s">
        <v>49</v>
      </c>
      <c r="AT28" s="281"/>
      <c r="AU28" s="273" t="s">
        <v>50</v>
      </c>
      <c r="AV28" s="273"/>
      <c r="AW28" s="293" t="s">
        <v>51</v>
      </c>
      <c r="AX28" s="294"/>
      <c r="AY28" s="295"/>
      <c r="AZ28" s="311">
        <v>0</v>
      </c>
      <c r="BA28" s="312"/>
      <c r="BB28" s="312"/>
      <c r="BC28" s="312"/>
      <c r="BD28" s="326"/>
    </row>
    <row r="29" ht="15" customHeight="1" spans="1:56">
      <c r="A29" s="282"/>
      <c r="B29" s="283"/>
      <c r="C29" s="291"/>
      <c r="D29" s="291"/>
      <c r="E29" s="284">
        <f>INT(C28/5)</f>
        <v>0</v>
      </c>
      <c r="F29" s="284"/>
      <c r="G29" s="285"/>
      <c r="H29" s="285"/>
      <c r="I29" s="305"/>
      <c r="J29" s="305"/>
      <c r="K29" s="299" t="s">
        <v>224</v>
      </c>
      <c r="L29" s="300"/>
      <c r="M29" s="306"/>
      <c r="N29" s="313"/>
      <c r="O29" s="314"/>
      <c r="P29" s="314"/>
      <c r="Q29" s="314"/>
      <c r="R29" s="327"/>
      <c r="T29" s="282"/>
      <c r="U29" s="283"/>
      <c r="V29" s="291"/>
      <c r="W29" s="291"/>
      <c r="X29" s="284">
        <f>INT(V28/5)</f>
        <v>0</v>
      </c>
      <c r="Y29" s="284"/>
      <c r="Z29" s="285"/>
      <c r="AA29" s="285"/>
      <c r="AB29" s="305"/>
      <c r="AC29" s="305"/>
      <c r="AD29" s="299" t="s">
        <v>224</v>
      </c>
      <c r="AE29" s="300"/>
      <c r="AF29" s="306"/>
      <c r="AG29" s="313"/>
      <c r="AH29" s="314"/>
      <c r="AI29" s="314"/>
      <c r="AJ29" s="314"/>
      <c r="AK29" s="327"/>
      <c r="AM29" s="282"/>
      <c r="AN29" s="283"/>
      <c r="AO29" s="291"/>
      <c r="AP29" s="291"/>
      <c r="AQ29" s="284">
        <f>INT(AO28/5)</f>
        <v>0</v>
      </c>
      <c r="AR29" s="284"/>
      <c r="AS29" s="285"/>
      <c r="AT29" s="285"/>
      <c r="AU29" s="305"/>
      <c r="AV29" s="305"/>
      <c r="AW29" s="299" t="s">
        <v>224</v>
      </c>
      <c r="AX29" s="300"/>
      <c r="AY29" s="306"/>
      <c r="AZ29" s="313"/>
      <c r="BA29" s="314"/>
      <c r="BB29" s="314"/>
      <c r="BC29" s="314"/>
      <c r="BD29" s="327"/>
    </row>
    <row r="30" ht="15" customHeight="1"/>
    <row r="31" ht="15" customHeight="1" spans="1:37">
      <c r="A31" s="269" t="s">
        <v>232</v>
      </c>
      <c r="B31" s="270"/>
      <c r="C31" s="270"/>
      <c r="D31" s="270"/>
      <c r="E31" s="270"/>
      <c r="F31" s="270"/>
      <c r="G31" s="270"/>
      <c r="H31" s="270"/>
      <c r="I31" s="270"/>
      <c r="J31" s="270"/>
      <c r="K31" s="270"/>
      <c r="L31" s="270"/>
      <c r="M31" s="270"/>
      <c r="N31" s="270"/>
      <c r="O31" s="270"/>
      <c r="P31" s="270"/>
      <c r="Q31" s="270"/>
      <c r="R31" s="315"/>
      <c r="T31" s="269" t="s">
        <v>233</v>
      </c>
      <c r="U31" s="270"/>
      <c r="V31" s="270"/>
      <c r="W31" s="270"/>
      <c r="X31" s="270"/>
      <c r="Y31" s="270"/>
      <c r="Z31" s="270"/>
      <c r="AA31" s="270"/>
      <c r="AB31" s="270"/>
      <c r="AC31" s="270"/>
      <c r="AD31" s="270"/>
      <c r="AE31" s="270"/>
      <c r="AF31" s="270"/>
      <c r="AG31" s="270"/>
      <c r="AH31" s="270"/>
      <c r="AI31" s="270"/>
      <c r="AJ31" s="270"/>
      <c r="AK31" s="315"/>
    </row>
    <row r="32" ht="15" customHeight="1" spans="1:37">
      <c r="A32" s="271" t="s">
        <v>214</v>
      </c>
      <c r="B32" s="272"/>
      <c r="C32" s="289">
        <v>0</v>
      </c>
      <c r="D32" s="289"/>
      <c r="E32" s="274">
        <f t="shared" ref="E32:E36" si="36">INT(C32/2)</f>
        <v>0</v>
      </c>
      <c r="F32" s="274"/>
      <c r="G32" s="275" t="s">
        <v>215</v>
      </c>
      <c r="H32" s="275"/>
      <c r="I32" s="309">
        <v>0</v>
      </c>
      <c r="J32" s="309"/>
      <c r="K32" s="278">
        <f t="shared" ref="K32:K36" si="37">INT(I32/2)</f>
        <v>0</v>
      </c>
      <c r="L32" s="278"/>
      <c r="M32" s="272" t="s">
        <v>216</v>
      </c>
      <c r="N32" s="272"/>
      <c r="O32" s="289">
        <v>0</v>
      </c>
      <c r="P32" s="289"/>
      <c r="Q32" s="274">
        <f>INT(O32/2)</f>
        <v>0</v>
      </c>
      <c r="R32" s="316"/>
      <c r="T32" s="271" t="s">
        <v>214</v>
      </c>
      <c r="U32" s="272"/>
      <c r="V32" s="289">
        <v>0</v>
      </c>
      <c r="W32" s="289"/>
      <c r="X32" s="274">
        <f t="shared" ref="X32:X36" si="38">INT(V32/2)</f>
        <v>0</v>
      </c>
      <c r="Y32" s="274"/>
      <c r="Z32" s="275" t="s">
        <v>215</v>
      </c>
      <c r="AA32" s="275"/>
      <c r="AB32" s="309">
        <v>0</v>
      </c>
      <c r="AC32" s="309"/>
      <c r="AD32" s="278">
        <f t="shared" ref="AD32:AD36" si="39">INT(AB32/2)</f>
        <v>0</v>
      </c>
      <c r="AE32" s="278"/>
      <c r="AF32" s="272" t="s">
        <v>216</v>
      </c>
      <c r="AG32" s="272"/>
      <c r="AH32" s="289">
        <v>0</v>
      </c>
      <c r="AI32" s="289"/>
      <c r="AJ32" s="274">
        <f>INT(AH32/2)</f>
        <v>0</v>
      </c>
      <c r="AK32" s="316"/>
    </row>
    <row r="33" ht="15" customHeight="1" spans="1:37">
      <c r="A33" s="271"/>
      <c r="B33" s="272"/>
      <c r="C33" s="289"/>
      <c r="D33" s="289"/>
      <c r="E33" s="273">
        <f t="shared" ref="E33:E37" si="40">INT(C32/5)</f>
        <v>0</v>
      </c>
      <c r="F33" s="273"/>
      <c r="G33" s="275"/>
      <c r="H33" s="275"/>
      <c r="I33" s="309"/>
      <c r="J33" s="309"/>
      <c r="K33" s="278">
        <f t="shared" ref="K33:K37" si="41">INT(I32/5)</f>
        <v>0</v>
      </c>
      <c r="L33" s="278"/>
      <c r="M33" s="272"/>
      <c r="N33" s="272"/>
      <c r="O33" s="289"/>
      <c r="P33" s="289"/>
      <c r="Q33" s="274">
        <f>INT(O32/5)</f>
        <v>0</v>
      </c>
      <c r="R33" s="316"/>
      <c r="T33" s="271"/>
      <c r="U33" s="272"/>
      <c r="V33" s="289"/>
      <c r="W33" s="289"/>
      <c r="X33" s="273">
        <f t="shared" ref="X33:X37" si="42">INT(V32/5)</f>
        <v>0</v>
      </c>
      <c r="Y33" s="273"/>
      <c r="Z33" s="275"/>
      <c r="AA33" s="275"/>
      <c r="AB33" s="309"/>
      <c r="AC33" s="309"/>
      <c r="AD33" s="278">
        <f t="shared" ref="AD33:AD37" si="43">INT(AB32/5)</f>
        <v>0</v>
      </c>
      <c r="AE33" s="278"/>
      <c r="AF33" s="272"/>
      <c r="AG33" s="272"/>
      <c r="AH33" s="289"/>
      <c r="AI33" s="289"/>
      <c r="AJ33" s="274">
        <f>INT(AH32/5)</f>
        <v>0</v>
      </c>
      <c r="AK33" s="316"/>
    </row>
    <row r="34" ht="15" customHeight="1" spans="1:37">
      <c r="A34" s="276" t="s">
        <v>217</v>
      </c>
      <c r="B34" s="275"/>
      <c r="C34" s="290">
        <v>0</v>
      </c>
      <c r="D34" s="290"/>
      <c r="E34" s="278">
        <f t="shared" si="36"/>
        <v>0</v>
      </c>
      <c r="F34" s="278"/>
      <c r="G34" s="272" t="s">
        <v>218</v>
      </c>
      <c r="H34" s="272"/>
      <c r="I34" s="310">
        <v>0</v>
      </c>
      <c r="J34" s="310"/>
      <c r="K34" s="274">
        <f t="shared" si="37"/>
        <v>0</v>
      </c>
      <c r="L34" s="274"/>
      <c r="M34" s="275" t="s">
        <v>219</v>
      </c>
      <c r="N34" s="275"/>
      <c r="O34" s="290">
        <v>0</v>
      </c>
      <c r="P34" s="290"/>
      <c r="Q34" s="278">
        <f>INT(O34/2)</f>
        <v>0</v>
      </c>
      <c r="R34" s="317"/>
      <c r="T34" s="276" t="s">
        <v>217</v>
      </c>
      <c r="U34" s="275"/>
      <c r="V34" s="290">
        <v>0</v>
      </c>
      <c r="W34" s="290"/>
      <c r="X34" s="278">
        <f t="shared" si="38"/>
        <v>0</v>
      </c>
      <c r="Y34" s="278"/>
      <c r="Z34" s="272" t="s">
        <v>218</v>
      </c>
      <c r="AA34" s="272"/>
      <c r="AB34" s="310">
        <v>0</v>
      </c>
      <c r="AC34" s="310"/>
      <c r="AD34" s="274">
        <f t="shared" si="39"/>
        <v>0</v>
      </c>
      <c r="AE34" s="274"/>
      <c r="AF34" s="275" t="s">
        <v>219</v>
      </c>
      <c r="AG34" s="275"/>
      <c r="AH34" s="290">
        <v>0</v>
      </c>
      <c r="AI34" s="290"/>
      <c r="AJ34" s="278">
        <f>INT(AH34/2)</f>
        <v>0</v>
      </c>
      <c r="AK34" s="317"/>
    </row>
    <row r="35" ht="15" customHeight="1" spans="1:37">
      <c r="A35" s="276"/>
      <c r="B35" s="275"/>
      <c r="C35" s="290"/>
      <c r="D35" s="290"/>
      <c r="E35" s="279">
        <f t="shared" si="40"/>
        <v>0</v>
      </c>
      <c r="F35" s="279"/>
      <c r="G35" s="272"/>
      <c r="H35" s="272"/>
      <c r="I35" s="310"/>
      <c r="J35" s="310"/>
      <c r="K35" s="274">
        <f t="shared" si="41"/>
        <v>0</v>
      </c>
      <c r="L35" s="274"/>
      <c r="M35" s="275"/>
      <c r="N35" s="275"/>
      <c r="O35" s="290"/>
      <c r="P35" s="290"/>
      <c r="Q35" s="278">
        <f>INT(O34/5)</f>
        <v>0</v>
      </c>
      <c r="R35" s="317"/>
      <c r="T35" s="276"/>
      <c r="U35" s="275"/>
      <c r="V35" s="290"/>
      <c r="W35" s="290"/>
      <c r="X35" s="279">
        <f t="shared" si="42"/>
        <v>0</v>
      </c>
      <c r="Y35" s="279"/>
      <c r="Z35" s="272"/>
      <c r="AA35" s="272"/>
      <c r="AB35" s="310"/>
      <c r="AC35" s="310"/>
      <c r="AD35" s="274">
        <f t="shared" si="43"/>
        <v>0</v>
      </c>
      <c r="AE35" s="274"/>
      <c r="AF35" s="275"/>
      <c r="AG35" s="275"/>
      <c r="AH35" s="290"/>
      <c r="AI35" s="290"/>
      <c r="AJ35" s="278">
        <f>INT(AH34/5)</f>
        <v>0</v>
      </c>
      <c r="AK35" s="317"/>
    </row>
    <row r="36" ht="15" customHeight="1" spans="1:37">
      <c r="A36" s="271" t="s">
        <v>220</v>
      </c>
      <c r="B36" s="272"/>
      <c r="C36" s="289">
        <v>0</v>
      </c>
      <c r="D36" s="289"/>
      <c r="E36" s="274">
        <f t="shared" si="36"/>
        <v>0</v>
      </c>
      <c r="F36" s="274"/>
      <c r="G36" s="280" t="s">
        <v>221</v>
      </c>
      <c r="H36" s="280"/>
      <c r="I36" s="309">
        <v>0</v>
      </c>
      <c r="J36" s="309"/>
      <c r="K36" s="278">
        <f t="shared" si="37"/>
        <v>0</v>
      </c>
      <c r="L36" s="278"/>
      <c r="M36" s="272" t="s">
        <v>222</v>
      </c>
      <c r="N36" s="272"/>
      <c r="O36" s="289">
        <v>0</v>
      </c>
      <c r="P36" s="289"/>
      <c r="Q36" s="318" t="s">
        <v>44</v>
      </c>
      <c r="R36" s="319"/>
      <c r="T36" s="271" t="s">
        <v>220</v>
      </c>
      <c r="U36" s="272"/>
      <c r="V36" s="289">
        <v>0</v>
      </c>
      <c r="W36" s="289"/>
      <c r="X36" s="274">
        <f t="shared" si="38"/>
        <v>0</v>
      </c>
      <c r="Y36" s="274"/>
      <c r="Z36" s="280" t="s">
        <v>221</v>
      </c>
      <c r="AA36" s="280"/>
      <c r="AB36" s="309">
        <v>0</v>
      </c>
      <c r="AC36" s="309"/>
      <c r="AD36" s="278">
        <f t="shared" si="39"/>
        <v>0</v>
      </c>
      <c r="AE36" s="278"/>
      <c r="AF36" s="272" t="s">
        <v>222</v>
      </c>
      <c r="AG36" s="272"/>
      <c r="AH36" s="289">
        <v>0</v>
      </c>
      <c r="AI36" s="289"/>
      <c r="AJ36" s="318" t="s">
        <v>44</v>
      </c>
      <c r="AK36" s="319"/>
    </row>
    <row r="37" ht="15" customHeight="1" spans="1:37">
      <c r="A37" s="271"/>
      <c r="B37" s="272"/>
      <c r="C37" s="289"/>
      <c r="D37" s="289"/>
      <c r="E37" s="273">
        <f t="shared" si="40"/>
        <v>0</v>
      </c>
      <c r="F37" s="273"/>
      <c r="G37" s="280"/>
      <c r="H37" s="280"/>
      <c r="I37" s="309"/>
      <c r="J37" s="309"/>
      <c r="K37" s="279">
        <f t="shared" si="41"/>
        <v>0</v>
      </c>
      <c r="L37" s="279"/>
      <c r="M37" s="272"/>
      <c r="N37" s="272"/>
      <c r="O37" s="289"/>
      <c r="P37" s="289"/>
      <c r="Q37" s="320">
        <v>0</v>
      </c>
      <c r="R37" s="321"/>
      <c r="T37" s="271"/>
      <c r="U37" s="272"/>
      <c r="V37" s="289"/>
      <c r="W37" s="289"/>
      <c r="X37" s="273">
        <f t="shared" si="42"/>
        <v>0</v>
      </c>
      <c r="Y37" s="273"/>
      <c r="Z37" s="280"/>
      <c r="AA37" s="280"/>
      <c r="AB37" s="309"/>
      <c r="AC37" s="309"/>
      <c r="AD37" s="279">
        <f t="shared" si="43"/>
        <v>0</v>
      </c>
      <c r="AE37" s="279"/>
      <c r="AF37" s="272"/>
      <c r="AG37" s="272"/>
      <c r="AH37" s="289"/>
      <c r="AI37" s="289"/>
      <c r="AJ37" s="320">
        <v>0</v>
      </c>
      <c r="AK37" s="321"/>
    </row>
    <row r="38" ht="15" customHeight="1" spans="1:37">
      <c r="A38" s="276" t="s">
        <v>223</v>
      </c>
      <c r="B38" s="275"/>
      <c r="C38" s="290">
        <v>0</v>
      </c>
      <c r="D38" s="290"/>
      <c r="E38" s="277">
        <f>INT(C38/2)</f>
        <v>0</v>
      </c>
      <c r="F38" s="277"/>
      <c r="G38" s="281" t="s">
        <v>49</v>
      </c>
      <c r="H38" s="281"/>
      <c r="I38" s="273" t="s">
        <v>50</v>
      </c>
      <c r="J38" s="273"/>
      <c r="K38" s="293" t="s">
        <v>51</v>
      </c>
      <c r="L38" s="294"/>
      <c r="M38" s="295"/>
      <c r="N38" s="311">
        <v>0</v>
      </c>
      <c r="O38" s="312"/>
      <c r="P38" s="312"/>
      <c r="Q38" s="312"/>
      <c r="R38" s="326"/>
      <c r="T38" s="276" t="s">
        <v>223</v>
      </c>
      <c r="U38" s="275"/>
      <c r="V38" s="290">
        <v>0</v>
      </c>
      <c r="W38" s="290"/>
      <c r="X38" s="277">
        <f>INT(V38/2)</f>
        <v>0</v>
      </c>
      <c r="Y38" s="277"/>
      <c r="Z38" s="281" t="s">
        <v>49</v>
      </c>
      <c r="AA38" s="281"/>
      <c r="AB38" s="273" t="s">
        <v>50</v>
      </c>
      <c r="AC38" s="273"/>
      <c r="AD38" s="293" t="s">
        <v>51</v>
      </c>
      <c r="AE38" s="294"/>
      <c r="AF38" s="295"/>
      <c r="AG38" s="311">
        <v>0</v>
      </c>
      <c r="AH38" s="312"/>
      <c r="AI38" s="312"/>
      <c r="AJ38" s="312"/>
      <c r="AK38" s="326"/>
    </row>
    <row r="39" ht="15" customHeight="1" spans="1:37">
      <c r="A39" s="282"/>
      <c r="B39" s="283"/>
      <c r="C39" s="291"/>
      <c r="D39" s="291"/>
      <c r="E39" s="284">
        <f>INT(C38/5)</f>
        <v>0</v>
      </c>
      <c r="F39" s="284"/>
      <c r="G39" s="285"/>
      <c r="H39" s="285"/>
      <c r="I39" s="305"/>
      <c r="J39" s="305"/>
      <c r="K39" s="299" t="s">
        <v>224</v>
      </c>
      <c r="L39" s="300"/>
      <c r="M39" s="306"/>
      <c r="N39" s="313"/>
      <c r="O39" s="314"/>
      <c r="P39" s="314"/>
      <c r="Q39" s="314"/>
      <c r="R39" s="327"/>
      <c r="T39" s="282"/>
      <c r="U39" s="283"/>
      <c r="V39" s="291"/>
      <c r="W39" s="291"/>
      <c r="X39" s="284">
        <f>INT(V38/5)</f>
        <v>0</v>
      </c>
      <c r="Y39" s="284"/>
      <c r="Z39" s="285"/>
      <c r="AA39" s="285"/>
      <c r="AB39" s="305"/>
      <c r="AC39" s="305"/>
      <c r="AD39" s="299" t="s">
        <v>224</v>
      </c>
      <c r="AE39" s="300"/>
      <c r="AF39" s="306"/>
      <c r="AG39" s="313"/>
      <c r="AH39" s="314"/>
      <c r="AI39" s="314"/>
      <c r="AJ39" s="314"/>
      <c r="AK39" s="327"/>
    </row>
    <row r="40" ht="15" customHeight="1"/>
  </sheetData>
  <sheetProtection sheet="1" selectLockedCells="1" objects="1"/>
  <protectedRanges>
    <protectedRange sqref="C2:D9 I2:J7 O2:P7" name="区域1"/>
    <protectedRange sqref="V2:W9 AB2:AC7 AH2:AI7" name="区域1_1"/>
    <protectedRange sqref="AO2:AP9 AU2:AV7 BA2:BB7" name="区域1_2"/>
    <protectedRange sqref="C12:D19 I12:J17 O12:P17" name="区域1_3"/>
    <protectedRange sqref="V12:W19 AB12:AC17 AH12:AI17" name="区域1_4"/>
    <protectedRange sqref="AO12:AP19 AU12:AV17 BA12:BB17 C22:D29 I22:J27 O22:P27 V22:W29 AB22:AC27 AH22:AI27 AO22:AP29 AU22:AV27 BA22:BB27 C32:D39 I32:J37 O32:P37 V32:W39 AB32:AC37 AH32:AI37" name="区域1_5"/>
  </protectedRanges>
  <mergeCells count="516">
    <mergeCell ref="A1:R1"/>
    <mergeCell ref="T1:AK1"/>
    <mergeCell ref="AM1:BD1"/>
    <mergeCell ref="E2:F2"/>
    <mergeCell ref="K2:L2"/>
    <mergeCell ref="Q2:R2"/>
    <mergeCell ref="X2:Y2"/>
    <mergeCell ref="AD2:AE2"/>
    <mergeCell ref="AJ2:AK2"/>
    <mergeCell ref="AQ2:AR2"/>
    <mergeCell ref="AW2:AX2"/>
    <mergeCell ref="BC2:BD2"/>
    <mergeCell ref="E3:F3"/>
    <mergeCell ref="K3:L3"/>
    <mergeCell ref="Q3:R3"/>
    <mergeCell ref="X3:Y3"/>
    <mergeCell ref="AD3:AE3"/>
    <mergeCell ref="AJ3:AK3"/>
    <mergeCell ref="AQ3:AR3"/>
    <mergeCell ref="AW3:AX3"/>
    <mergeCell ref="BC3:BD3"/>
    <mergeCell ref="E4:F4"/>
    <mergeCell ref="K4:L4"/>
    <mergeCell ref="Q4:R4"/>
    <mergeCell ref="X4:Y4"/>
    <mergeCell ref="AD4:AE4"/>
    <mergeCell ref="AJ4:AK4"/>
    <mergeCell ref="AQ4:AR4"/>
    <mergeCell ref="AW4:AX4"/>
    <mergeCell ref="BC4:BD4"/>
    <mergeCell ref="E5:F5"/>
    <mergeCell ref="K5:L5"/>
    <mergeCell ref="Q5:R5"/>
    <mergeCell ref="X5:Y5"/>
    <mergeCell ref="AD5:AE5"/>
    <mergeCell ref="AJ5:AK5"/>
    <mergeCell ref="AQ5:AR5"/>
    <mergeCell ref="AW5:AX5"/>
    <mergeCell ref="BC5:BD5"/>
    <mergeCell ref="E6:F6"/>
    <mergeCell ref="K6:L6"/>
    <mergeCell ref="Q6:R6"/>
    <mergeCell ref="X6:Y6"/>
    <mergeCell ref="AD6:AE6"/>
    <mergeCell ref="AJ6:AK6"/>
    <mergeCell ref="AQ6:AR6"/>
    <mergeCell ref="AW6:AX6"/>
    <mergeCell ref="BC6:BD6"/>
    <mergeCell ref="E7:F7"/>
    <mergeCell ref="K7:L7"/>
    <mergeCell ref="Q7:R7"/>
    <mergeCell ref="X7:Y7"/>
    <mergeCell ref="AD7:AE7"/>
    <mergeCell ref="AJ7:AK7"/>
    <mergeCell ref="AQ7:AR7"/>
    <mergeCell ref="AW7:AX7"/>
    <mergeCell ref="BC7:BD7"/>
    <mergeCell ref="E8:F8"/>
    <mergeCell ref="K8:M8"/>
    <mergeCell ref="N8:R8"/>
    <mergeCell ref="X8:Y8"/>
    <mergeCell ref="AD8:AF8"/>
    <mergeCell ref="AG8:AK8"/>
    <mergeCell ref="AQ8:AR8"/>
    <mergeCell ref="AW8:AY8"/>
    <mergeCell ref="AZ8:BD8"/>
    <mergeCell ref="E9:F9"/>
    <mergeCell ref="K9:R9"/>
    <mergeCell ref="X9:Y9"/>
    <mergeCell ref="AD9:AF9"/>
    <mergeCell ref="AG9:AK9"/>
    <mergeCell ref="AQ9:AR9"/>
    <mergeCell ref="AW9:AY9"/>
    <mergeCell ref="AZ9:BD9"/>
    <mergeCell ref="A11:R11"/>
    <mergeCell ref="T11:AK11"/>
    <mergeCell ref="AM11:BD11"/>
    <mergeCell ref="E12:F12"/>
    <mergeCell ref="K12:L12"/>
    <mergeCell ref="Q12:R12"/>
    <mergeCell ref="X12:Y12"/>
    <mergeCell ref="AD12:AE12"/>
    <mergeCell ref="AJ12:AK12"/>
    <mergeCell ref="AQ12:AR12"/>
    <mergeCell ref="AW12:AX12"/>
    <mergeCell ref="BC12:BD12"/>
    <mergeCell ref="E13:F13"/>
    <mergeCell ref="K13:L13"/>
    <mergeCell ref="Q13:R13"/>
    <mergeCell ref="X13:Y13"/>
    <mergeCell ref="AD13:AE13"/>
    <mergeCell ref="AJ13:AK13"/>
    <mergeCell ref="AQ13:AR13"/>
    <mergeCell ref="AW13:AX13"/>
    <mergeCell ref="BC13:BD13"/>
    <mergeCell ref="E14:F14"/>
    <mergeCell ref="K14:L14"/>
    <mergeCell ref="Q14:R14"/>
    <mergeCell ref="X14:Y14"/>
    <mergeCell ref="AD14:AE14"/>
    <mergeCell ref="AJ14:AK14"/>
    <mergeCell ref="AQ14:AR14"/>
    <mergeCell ref="AW14:AX14"/>
    <mergeCell ref="BC14:BD14"/>
    <mergeCell ref="E15:F15"/>
    <mergeCell ref="K15:L15"/>
    <mergeCell ref="Q15:R15"/>
    <mergeCell ref="X15:Y15"/>
    <mergeCell ref="AD15:AE15"/>
    <mergeCell ref="AJ15:AK15"/>
    <mergeCell ref="AQ15:AR15"/>
    <mergeCell ref="AW15:AX15"/>
    <mergeCell ref="BC15:BD15"/>
    <mergeCell ref="E16:F16"/>
    <mergeCell ref="K16:L16"/>
    <mergeCell ref="Q16:R16"/>
    <mergeCell ref="X16:Y16"/>
    <mergeCell ref="AD16:AE16"/>
    <mergeCell ref="AJ16:AK16"/>
    <mergeCell ref="AQ16:AR16"/>
    <mergeCell ref="AW16:AX16"/>
    <mergeCell ref="BC16:BD16"/>
    <mergeCell ref="E17:F17"/>
    <mergeCell ref="K17:L17"/>
    <mergeCell ref="Q17:R17"/>
    <mergeCell ref="X17:Y17"/>
    <mergeCell ref="AD17:AE17"/>
    <mergeCell ref="AJ17:AK17"/>
    <mergeCell ref="AQ17:AR17"/>
    <mergeCell ref="AW17:AX17"/>
    <mergeCell ref="BC17:BD17"/>
    <mergeCell ref="E18:F18"/>
    <mergeCell ref="K18:M18"/>
    <mergeCell ref="N18:R18"/>
    <mergeCell ref="X18:Y18"/>
    <mergeCell ref="AD18:AF18"/>
    <mergeCell ref="AG18:AK18"/>
    <mergeCell ref="AQ18:AR18"/>
    <mergeCell ref="AW18:AY18"/>
    <mergeCell ref="AZ18:BD18"/>
    <mergeCell ref="E19:F19"/>
    <mergeCell ref="K19:M19"/>
    <mergeCell ref="N19:R19"/>
    <mergeCell ref="X19:Y19"/>
    <mergeCell ref="AD19:AF19"/>
    <mergeCell ref="AG19:AK19"/>
    <mergeCell ref="AQ19:AR19"/>
    <mergeCell ref="AW19:AY19"/>
    <mergeCell ref="AZ19:BD19"/>
    <mergeCell ref="A21:R21"/>
    <mergeCell ref="T21:AK21"/>
    <mergeCell ref="AM21:BD21"/>
    <mergeCell ref="E22:F22"/>
    <mergeCell ref="K22:L22"/>
    <mergeCell ref="Q22:R22"/>
    <mergeCell ref="X22:Y22"/>
    <mergeCell ref="AD22:AE22"/>
    <mergeCell ref="AJ22:AK22"/>
    <mergeCell ref="AQ22:AR22"/>
    <mergeCell ref="AW22:AX22"/>
    <mergeCell ref="BC22:BD22"/>
    <mergeCell ref="E23:F23"/>
    <mergeCell ref="K23:L23"/>
    <mergeCell ref="Q23:R23"/>
    <mergeCell ref="X23:Y23"/>
    <mergeCell ref="AD23:AE23"/>
    <mergeCell ref="AJ23:AK23"/>
    <mergeCell ref="AQ23:AR23"/>
    <mergeCell ref="AW23:AX23"/>
    <mergeCell ref="BC23:BD23"/>
    <mergeCell ref="E24:F24"/>
    <mergeCell ref="K24:L24"/>
    <mergeCell ref="Q24:R24"/>
    <mergeCell ref="X24:Y24"/>
    <mergeCell ref="AD24:AE24"/>
    <mergeCell ref="AJ24:AK24"/>
    <mergeCell ref="AQ24:AR24"/>
    <mergeCell ref="AW24:AX24"/>
    <mergeCell ref="BC24:BD24"/>
    <mergeCell ref="E25:F25"/>
    <mergeCell ref="K25:L25"/>
    <mergeCell ref="Q25:R25"/>
    <mergeCell ref="X25:Y25"/>
    <mergeCell ref="AD25:AE25"/>
    <mergeCell ref="AJ25:AK25"/>
    <mergeCell ref="AQ25:AR25"/>
    <mergeCell ref="AW25:AX25"/>
    <mergeCell ref="BC25:BD25"/>
    <mergeCell ref="E26:F26"/>
    <mergeCell ref="K26:L26"/>
    <mergeCell ref="Q26:R26"/>
    <mergeCell ref="X26:Y26"/>
    <mergeCell ref="AD26:AE26"/>
    <mergeCell ref="AJ26:AK26"/>
    <mergeCell ref="AQ26:AR26"/>
    <mergeCell ref="AW26:AX26"/>
    <mergeCell ref="BC26:BD26"/>
    <mergeCell ref="E27:F27"/>
    <mergeCell ref="K27:L27"/>
    <mergeCell ref="Q27:R27"/>
    <mergeCell ref="X27:Y27"/>
    <mergeCell ref="AD27:AE27"/>
    <mergeCell ref="AJ27:AK27"/>
    <mergeCell ref="AQ27:AR27"/>
    <mergeCell ref="AW27:AX27"/>
    <mergeCell ref="BC27:BD27"/>
    <mergeCell ref="E28:F28"/>
    <mergeCell ref="K28:M28"/>
    <mergeCell ref="N28:R28"/>
    <mergeCell ref="X28:Y28"/>
    <mergeCell ref="AD28:AF28"/>
    <mergeCell ref="AG28:AK28"/>
    <mergeCell ref="AQ28:AR28"/>
    <mergeCell ref="AW28:AY28"/>
    <mergeCell ref="AZ28:BD28"/>
    <mergeCell ref="E29:F29"/>
    <mergeCell ref="K29:M29"/>
    <mergeCell ref="N29:R29"/>
    <mergeCell ref="X29:Y29"/>
    <mergeCell ref="AD29:AF29"/>
    <mergeCell ref="AG29:AK29"/>
    <mergeCell ref="AQ29:AR29"/>
    <mergeCell ref="AW29:AY29"/>
    <mergeCell ref="AZ29:BD29"/>
    <mergeCell ref="A31:R31"/>
    <mergeCell ref="T31:AK31"/>
    <mergeCell ref="E32:F32"/>
    <mergeCell ref="K32:L32"/>
    <mergeCell ref="Q32:R32"/>
    <mergeCell ref="X32:Y32"/>
    <mergeCell ref="AD32:AE32"/>
    <mergeCell ref="AJ32:AK32"/>
    <mergeCell ref="E33:F33"/>
    <mergeCell ref="K33:L33"/>
    <mergeCell ref="Q33:R33"/>
    <mergeCell ref="X33:Y33"/>
    <mergeCell ref="AD33:AE33"/>
    <mergeCell ref="AJ33:AK33"/>
    <mergeCell ref="E34:F34"/>
    <mergeCell ref="K34:L34"/>
    <mergeCell ref="Q34:R34"/>
    <mergeCell ref="X34:Y34"/>
    <mergeCell ref="AD34:AE34"/>
    <mergeCell ref="AJ34:AK34"/>
    <mergeCell ref="E35:F35"/>
    <mergeCell ref="K35:L35"/>
    <mergeCell ref="Q35:R35"/>
    <mergeCell ref="X35:Y35"/>
    <mergeCell ref="AD35:AE35"/>
    <mergeCell ref="AJ35:AK35"/>
    <mergeCell ref="E36:F36"/>
    <mergeCell ref="K36:L36"/>
    <mergeCell ref="Q36:R36"/>
    <mergeCell ref="X36:Y36"/>
    <mergeCell ref="AD36:AE36"/>
    <mergeCell ref="AJ36:AK36"/>
    <mergeCell ref="E37:F37"/>
    <mergeCell ref="K37:L37"/>
    <mergeCell ref="Q37:R37"/>
    <mergeCell ref="X37:Y37"/>
    <mergeCell ref="AD37:AE37"/>
    <mergeCell ref="AJ37:AK37"/>
    <mergeCell ref="E38:F38"/>
    <mergeCell ref="K38:M38"/>
    <mergeCell ref="N38:R38"/>
    <mergeCell ref="X38:Y38"/>
    <mergeCell ref="AD38:AF38"/>
    <mergeCell ref="AG38:AK38"/>
    <mergeCell ref="E39:F39"/>
    <mergeCell ref="K39:M39"/>
    <mergeCell ref="N39:R39"/>
    <mergeCell ref="X39:Y39"/>
    <mergeCell ref="AD39:AF39"/>
    <mergeCell ref="AG39:AK39"/>
    <mergeCell ref="T16:U17"/>
    <mergeCell ref="V16:W17"/>
    <mergeCell ref="Z16:AA17"/>
    <mergeCell ref="AB16:AC17"/>
    <mergeCell ref="AF16:AG17"/>
    <mergeCell ref="AH16:AI17"/>
    <mergeCell ref="A22:B23"/>
    <mergeCell ref="C22:D23"/>
    <mergeCell ref="G22:H23"/>
    <mergeCell ref="I22:J23"/>
    <mergeCell ref="M22:N23"/>
    <mergeCell ref="O22:P23"/>
    <mergeCell ref="AM22:AN23"/>
    <mergeCell ref="AO22:AP23"/>
    <mergeCell ref="AS22:AT23"/>
    <mergeCell ref="AU22:AV23"/>
    <mergeCell ref="AY22:AZ23"/>
    <mergeCell ref="BA22:BB23"/>
    <mergeCell ref="T22:U23"/>
    <mergeCell ref="V22:W23"/>
    <mergeCell ref="Z22:AA23"/>
    <mergeCell ref="AB22:AC23"/>
    <mergeCell ref="AF22:AG23"/>
    <mergeCell ref="AH22:AI23"/>
    <mergeCell ref="A14:B15"/>
    <mergeCell ref="C14:D15"/>
    <mergeCell ref="G14:H15"/>
    <mergeCell ref="I14:J15"/>
    <mergeCell ref="M14:N15"/>
    <mergeCell ref="O14:P15"/>
    <mergeCell ref="AM14:AN15"/>
    <mergeCell ref="AO14:AP15"/>
    <mergeCell ref="AS14:AT15"/>
    <mergeCell ref="AU14:AV15"/>
    <mergeCell ref="AY14:AZ15"/>
    <mergeCell ref="BA14:BB15"/>
    <mergeCell ref="A28:B29"/>
    <mergeCell ref="C28:D29"/>
    <mergeCell ref="G28:H29"/>
    <mergeCell ref="I28:J29"/>
    <mergeCell ref="AM28:AN29"/>
    <mergeCell ref="AO28:AP29"/>
    <mergeCell ref="AS28:AT29"/>
    <mergeCell ref="AU28:AV29"/>
    <mergeCell ref="A18:B19"/>
    <mergeCell ref="C18:D19"/>
    <mergeCell ref="G18:H19"/>
    <mergeCell ref="I18:J19"/>
    <mergeCell ref="AM18:AN19"/>
    <mergeCell ref="AO18:AP19"/>
    <mergeCell ref="AS18:AT19"/>
    <mergeCell ref="AU18:AV19"/>
    <mergeCell ref="A16:B17"/>
    <mergeCell ref="C16:D17"/>
    <mergeCell ref="G16:H17"/>
    <mergeCell ref="I16:J17"/>
    <mergeCell ref="M16:N17"/>
    <mergeCell ref="O16:P17"/>
    <mergeCell ref="AM16:AN17"/>
    <mergeCell ref="AO16:AP17"/>
    <mergeCell ref="AS16:AT17"/>
    <mergeCell ref="AU16:AV17"/>
    <mergeCell ref="AY16:AZ17"/>
    <mergeCell ref="BA16:BB17"/>
    <mergeCell ref="T36:U37"/>
    <mergeCell ref="V36:W37"/>
    <mergeCell ref="Z36:AA37"/>
    <mergeCell ref="AB36:AC37"/>
    <mergeCell ref="AF36:AG37"/>
    <mergeCell ref="AH36:AI37"/>
    <mergeCell ref="A2:B3"/>
    <mergeCell ref="C2:D3"/>
    <mergeCell ref="G2:H3"/>
    <mergeCell ref="I2:J3"/>
    <mergeCell ref="M2:N3"/>
    <mergeCell ref="O2:P3"/>
    <mergeCell ref="AM2:AN3"/>
    <mergeCell ref="AO2:AP3"/>
    <mergeCell ref="AS2:AT3"/>
    <mergeCell ref="AU2:AV3"/>
    <mergeCell ref="AY2:AZ3"/>
    <mergeCell ref="BA2:BB3"/>
    <mergeCell ref="T6:U7"/>
    <mergeCell ref="V6:W7"/>
    <mergeCell ref="Z6:AA7"/>
    <mergeCell ref="AB6:AC7"/>
    <mergeCell ref="AF6:AG7"/>
    <mergeCell ref="AH6:AI7"/>
    <mergeCell ref="A8:B9"/>
    <mergeCell ref="C8:D9"/>
    <mergeCell ref="G8:H9"/>
    <mergeCell ref="I8:J9"/>
    <mergeCell ref="AM8:AN9"/>
    <mergeCell ref="AO8:AP9"/>
    <mergeCell ref="AS8:AT9"/>
    <mergeCell ref="AU8:AV9"/>
    <mergeCell ref="A6:B7"/>
    <mergeCell ref="C6:D7"/>
    <mergeCell ref="G6:H7"/>
    <mergeCell ref="I6:J7"/>
    <mergeCell ref="M6:N7"/>
    <mergeCell ref="O6:P7"/>
    <mergeCell ref="AM6:AN7"/>
    <mergeCell ref="AO6:AP7"/>
    <mergeCell ref="AS6:AT7"/>
    <mergeCell ref="AU6:AV7"/>
    <mergeCell ref="AY6:AZ7"/>
    <mergeCell ref="BA6:BB7"/>
    <mergeCell ref="A4:B5"/>
    <mergeCell ref="C4:D5"/>
    <mergeCell ref="G4:H5"/>
    <mergeCell ref="I4:J5"/>
    <mergeCell ref="M4:N5"/>
    <mergeCell ref="O4:P5"/>
    <mergeCell ref="AM4:AN5"/>
    <mergeCell ref="AO4:AP5"/>
    <mergeCell ref="AS4:AT5"/>
    <mergeCell ref="AU4:AV5"/>
    <mergeCell ref="AY4:AZ5"/>
    <mergeCell ref="BA4:BB5"/>
    <mergeCell ref="A12:B13"/>
    <mergeCell ref="C12:D13"/>
    <mergeCell ref="G12:H13"/>
    <mergeCell ref="I12:J13"/>
    <mergeCell ref="M12:N13"/>
    <mergeCell ref="O12:P13"/>
    <mergeCell ref="AM12:AN13"/>
    <mergeCell ref="AO12:AP13"/>
    <mergeCell ref="AS12:AT13"/>
    <mergeCell ref="AU12:AV13"/>
    <mergeCell ref="AY12:AZ13"/>
    <mergeCell ref="BA12:BB13"/>
    <mergeCell ref="T14:U15"/>
    <mergeCell ref="V14:W15"/>
    <mergeCell ref="Z14:AA15"/>
    <mergeCell ref="AB14:AC15"/>
    <mergeCell ref="AF14:AG15"/>
    <mergeCell ref="AH14:AI15"/>
    <mergeCell ref="T8:U9"/>
    <mergeCell ref="V8:W9"/>
    <mergeCell ref="Z8:AA9"/>
    <mergeCell ref="AB8:AC9"/>
    <mergeCell ref="T4:U5"/>
    <mergeCell ref="V4:W5"/>
    <mergeCell ref="Z4:AA5"/>
    <mergeCell ref="AB4:AC5"/>
    <mergeCell ref="AF4:AG5"/>
    <mergeCell ref="AH4:AI5"/>
    <mergeCell ref="T2:U3"/>
    <mergeCell ref="V2:W3"/>
    <mergeCell ref="Z2:AA3"/>
    <mergeCell ref="AB2:AC3"/>
    <mergeCell ref="AF2:AG3"/>
    <mergeCell ref="AH2:AI3"/>
    <mergeCell ref="T18:U19"/>
    <mergeCell ref="V18:W19"/>
    <mergeCell ref="Z18:AA19"/>
    <mergeCell ref="AB18:AC19"/>
    <mergeCell ref="A24:B25"/>
    <mergeCell ref="C24:D25"/>
    <mergeCell ref="G24:H25"/>
    <mergeCell ref="I24:J25"/>
    <mergeCell ref="M24:N25"/>
    <mergeCell ref="O24:P25"/>
    <mergeCell ref="AM24:AN25"/>
    <mergeCell ref="AO24:AP25"/>
    <mergeCell ref="AS24:AT25"/>
    <mergeCell ref="AU24:AV25"/>
    <mergeCell ref="AY24:AZ25"/>
    <mergeCell ref="BA24:BB25"/>
    <mergeCell ref="T32:U33"/>
    <mergeCell ref="V32:W33"/>
    <mergeCell ref="Z32:AA33"/>
    <mergeCell ref="AB32:AC33"/>
    <mergeCell ref="AF32:AG33"/>
    <mergeCell ref="AH32:AI33"/>
    <mergeCell ref="A26:B27"/>
    <mergeCell ref="C26:D27"/>
    <mergeCell ref="G26:H27"/>
    <mergeCell ref="I26:J27"/>
    <mergeCell ref="M26:N27"/>
    <mergeCell ref="O26:P27"/>
    <mergeCell ref="AM26:AN27"/>
    <mergeCell ref="AO26:AP27"/>
    <mergeCell ref="AS26:AT27"/>
    <mergeCell ref="AU26:AV27"/>
    <mergeCell ref="AY26:AZ27"/>
    <mergeCell ref="BA26:BB27"/>
    <mergeCell ref="T34:U35"/>
    <mergeCell ref="V34:W35"/>
    <mergeCell ref="Z34:AA35"/>
    <mergeCell ref="AB34:AC35"/>
    <mergeCell ref="AF34:AG35"/>
    <mergeCell ref="AH34:AI35"/>
    <mergeCell ref="A36:B37"/>
    <mergeCell ref="C36:D37"/>
    <mergeCell ref="G36:H37"/>
    <mergeCell ref="I36:J37"/>
    <mergeCell ref="M36:N37"/>
    <mergeCell ref="O36:P37"/>
    <mergeCell ref="A38:B39"/>
    <mergeCell ref="C38:D39"/>
    <mergeCell ref="G38:H39"/>
    <mergeCell ref="I38:J39"/>
    <mergeCell ref="T38:U39"/>
    <mergeCell ref="V38:W39"/>
    <mergeCell ref="Z38:AA39"/>
    <mergeCell ref="AB38:AC39"/>
    <mergeCell ref="T12:U13"/>
    <mergeCell ref="V12:W13"/>
    <mergeCell ref="Z12:AA13"/>
    <mergeCell ref="AB12:AC13"/>
    <mergeCell ref="AF12:AG13"/>
    <mergeCell ref="AH12:AI13"/>
    <mergeCell ref="T24:U25"/>
    <mergeCell ref="V24:W25"/>
    <mergeCell ref="Z24:AA25"/>
    <mergeCell ref="AB24:AC25"/>
    <mergeCell ref="AF24:AG25"/>
    <mergeCell ref="AH24:AI25"/>
    <mergeCell ref="A32:B33"/>
    <mergeCell ref="C32:D33"/>
    <mergeCell ref="G32:H33"/>
    <mergeCell ref="I32:J33"/>
    <mergeCell ref="M32:N33"/>
    <mergeCell ref="O32:P33"/>
    <mergeCell ref="A34:B35"/>
    <mergeCell ref="C34:D35"/>
    <mergeCell ref="G34:H35"/>
    <mergeCell ref="I34:J35"/>
    <mergeCell ref="M34:N35"/>
    <mergeCell ref="O34:P35"/>
    <mergeCell ref="T26:U27"/>
    <mergeCell ref="V26:W27"/>
    <mergeCell ref="Z26:AA27"/>
    <mergeCell ref="AB26:AC27"/>
    <mergeCell ref="AF26:AG27"/>
    <mergeCell ref="AH26:AI27"/>
    <mergeCell ref="T28:U29"/>
    <mergeCell ref="V28:W29"/>
    <mergeCell ref="Z28:AA29"/>
    <mergeCell ref="AB28:AC29"/>
  </mergeCells>
  <dataValidations count="3">
    <dataValidation allowBlank="1" showInputMessage="1" sqref="I2:J7 C12:D19 I12:J19 AO12:AP19 AU12:AV19 C22:D29 I22:J29 AO22:AP29 AU22:AV29 C32:D39 I32:J39 C2:D9 AO2:AP9 AU2:AV9 V22:W29 AB22:AC29 V12:W19 AB12:AC19 V2:W9 AB2:AC9 V32:W39 AB32:AC39 I8:J9" errorStyle="information"/>
    <dataValidation allowBlank="1" showErrorMessage="1" sqref="Q6 AJ6 BC6 Q16 AJ16 BC16 Q26 AJ26 BC26 Q36 AJ36"/>
    <dataValidation type="whole" operator="lessThanOrEqual" allowBlank="1" showInputMessage="1" showErrorMessage="1" errorTitle="人体极限" error="这些属性的极限值为99。&#10;除非你的守秘人同意，否则调查员属性不能突破这个上限。" sqref="O2:P7 BA2:BB7 O32:P37 AH2:AI7 AH32:AI37 AH22:AI27 O12:P17 BA12:BB17 AH12:AI17 O22:P27 BA22:BB27" errorStyle="information">
      <formula1>150</formula1>
    </dataValidation>
  </dataValidations>
  <pageMargins left="0.75" right="0.75" top="1" bottom="1" header="0.5" footer="0.5"/>
  <headerFooter/>
  <ignoredErrors>
    <ignoredError sqref="O6" unlockedFormula="1"/>
    <ignoredError sqref="AJ33:AJ34 AD33:AD36 X33:X38 Q33:Q34 K33:K36 E33:E38 BC23:BC24 AW23:AW26 AQ23:AQ28 AJ23:AJ24 AD23:AD26 X23:X28 Q23:Q24 K23:K26 E23:E28 BC13:BC14 AW13:AW16 AQ13:AQ18 AJ13:AJ14 AD13:AD16 X13:X18 Q13:Q14 K13:K16 E13:E18 BC3:BC4 AW3:AW6 AQ3:AQ8 AJ3:AJ4 AD3:AD6 X3:X8 Q3:Q4 K3:K6 E3:E8"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6"/>
  <sheetViews>
    <sheetView showGridLines="0" workbookViewId="0">
      <pane ySplit="1" topLeftCell="A2" activePane="bottomLeft" state="frozen"/>
      <selection/>
      <selection pane="bottomLeft" activeCell="A2" sqref="A2"/>
    </sheetView>
  </sheetViews>
  <sheetFormatPr defaultColWidth="9" defaultRowHeight="13.5" outlineLevelCol="5"/>
  <cols>
    <col min="1" max="1" width="9" style="239" customWidth="1"/>
    <col min="2" max="2" width="22.4416666666667" style="240" customWidth="1"/>
    <col min="3" max="3" width="9" style="241" customWidth="1"/>
    <col min="4" max="4" width="21.2166666666667" style="242" customWidth="1"/>
    <col min="5" max="5" width="8.10833333333333" style="239" customWidth="1"/>
    <col min="6" max="6" width="140" style="243" customWidth="1"/>
    <col min="7" max="16384" width="9" style="239" customWidth="1"/>
  </cols>
  <sheetData>
    <row r="1" spans="1:6">
      <c r="A1" s="244" t="s">
        <v>234</v>
      </c>
      <c r="B1" s="245" t="s">
        <v>4</v>
      </c>
      <c r="C1" s="246" t="s">
        <v>235</v>
      </c>
      <c r="D1" s="247" t="s">
        <v>236</v>
      </c>
      <c r="E1" s="245" t="s">
        <v>224</v>
      </c>
      <c r="F1" s="248" t="s">
        <v>237</v>
      </c>
    </row>
    <row r="2" spans="1:6">
      <c r="A2" s="249">
        <v>0</v>
      </c>
      <c r="B2" s="250" t="s">
        <v>238</v>
      </c>
      <c r="C2" s="250"/>
      <c r="D2" s="250"/>
      <c r="E2" s="250"/>
      <c r="F2" s="251"/>
    </row>
    <row r="3" spans="1:6">
      <c r="A3" s="252">
        <v>1</v>
      </c>
      <c r="B3" s="253" t="s">
        <v>239</v>
      </c>
      <c r="C3" s="254" t="s">
        <v>240</v>
      </c>
      <c r="D3" s="255"/>
      <c r="E3" s="256">
        <f>IF(D3=0,人物卡!P15*4,人物卡!P15*2+职业列表!D3*2)</f>
        <v>0</v>
      </c>
      <c r="F3" s="257" t="s">
        <v>241</v>
      </c>
    </row>
    <row r="4" spans="1:6">
      <c r="A4" s="249">
        <v>2</v>
      </c>
      <c r="B4" s="258" t="s">
        <v>242</v>
      </c>
      <c r="C4" s="259" t="s">
        <v>243</v>
      </c>
      <c r="D4" s="260" t="s">
        <v>244</v>
      </c>
      <c r="E4" s="261">
        <f>人物卡!P15*4</f>
        <v>0</v>
      </c>
      <c r="F4" s="262" t="s">
        <v>245</v>
      </c>
    </row>
    <row r="5" spans="1:6">
      <c r="A5" s="252">
        <v>3</v>
      </c>
      <c r="B5" s="253" t="s">
        <v>246</v>
      </c>
      <c r="C5" s="254" t="s">
        <v>247</v>
      </c>
      <c r="D5" s="255" t="s">
        <v>248</v>
      </c>
      <c r="E5" s="256">
        <f>人物卡!P15*2+人物卡!J13*2</f>
        <v>0</v>
      </c>
      <c r="F5" s="257" t="s">
        <v>249</v>
      </c>
    </row>
    <row r="6" spans="1:6">
      <c r="A6" s="249">
        <v>4</v>
      </c>
      <c r="B6" s="258" t="s">
        <v>250</v>
      </c>
      <c r="C6" s="259" t="s">
        <v>251</v>
      </c>
      <c r="D6" s="260" t="s">
        <v>252</v>
      </c>
      <c r="E6" s="261">
        <f>人物卡!P15*2+人物卡!J15*2</f>
        <v>0</v>
      </c>
      <c r="F6" s="262" t="s">
        <v>253</v>
      </c>
    </row>
    <row r="7" spans="1:6">
      <c r="A7" s="252">
        <v>5</v>
      </c>
      <c r="B7" s="253" t="s">
        <v>254</v>
      </c>
      <c r="C7" s="254" t="s">
        <v>255</v>
      </c>
      <c r="D7" s="255" t="s">
        <v>252</v>
      </c>
      <c r="E7" s="256">
        <f>人物卡!P15*2+人物卡!J15*2</f>
        <v>0</v>
      </c>
      <c r="F7" s="257" t="s">
        <v>256</v>
      </c>
    </row>
    <row r="8" ht="27" spans="1:6">
      <c r="A8" s="249">
        <v>6</v>
      </c>
      <c r="B8" s="258" t="s">
        <v>257</v>
      </c>
      <c r="C8" s="259" t="s">
        <v>258</v>
      </c>
      <c r="D8" s="260" t="s">
        <v>259</v>
      </c>
      <c r="E8" s="261">
        <f>人物卡!P15*2+MAX(人物卡!J13,人物卡!D13)*2</f>
        <v>0</v>
      </c>
      <c r="F8" s="262" t="s">
        <v>260</v>
      </c>
    </row>
    <row r="9" spans="1:6">
      <c r="A9" s="252">
        <v>7</v>
      </c>
      <c r="B9" s="253" t="s">
        <v>261</v>
      </c>
      <c r="C9" s="254" t="s">
        <v>262</v>
      </c>
      <c r="D9" s="255" t="s">
        <v>263</v>
      </c>
      <c r="E9" s="256">
        <f>人物卡!P15*4</f>
        <v>0</v>
      </c>
      <c r="F9" s="257" t="s">
        <v>264</v>
      </c>
    </row>
    <row r="10" ht="27" spans="1:6">
      <c r="A10" s="249">
        <v>8</v>
      </c>
      <c r="B10" s="258" t="s">
        <v>265</v>
      </c>
      <c r="C10" s="259" t="s">
        <v>266</v>
      </c>
      <c r="D10" s="260" t="s">
        <v>267</v>
      </c>
      <c r="E10" s="261">
        <f>人物卡!P15*2+MAX(人物卡!J15,人物卡!P13)*2</f>
        <v>0</v>
      </c>
      <c r="F10" s="262" t="s">
        <v>268</v>
      </c>
    </row>
    <row r="11" spans="1:6">
      <c r="A11" s="252">
        <v>9</v>
      </c>
      <c r="B11" s="253" t="s">
        <v>269</v>
      </c>
      <c r="C11" s="254" t="s">
        <v>243</v>
      </c>
      <c r="D11" s="255" t="s">
        <v>263</v>
      </c>
      <c r="E11" s="256">
        <f>人物卡!P15*4</f>
        <v>0</v>
      </c>
      <c r="F11" s="257" t="s">
        <v>270</v>
      </c>
    </row>
    <row r="12" spans="1:6">
      <c r="A12" s="249">
        <v>10</v>
      </c>
      <c r="B12" s="258" t="s">
        <v>271</v>
      </c>
      <c r="C12" s="259" t="s">
        <v>272</v>
      </c>
      <c r="D12" s="260" t="s">
        <v>263</v>
      </c>
      <c r="E12" s="261">
        <f>人物卡!P15*4</f>
        <v>0</v>
      </c>
      <c r="F12" s="262" t="s">
        <v>273</v>
      </c>
    </row>
    <row r="13" spans="1:6">
      <c r="A13" s="252">
        <v>11</v>
      </c>
      <c r="B13" s="253" t="s">
        <v>274</v>
      </c>
      <c r="C13" s="254" t="s">
        <v>266</v>
      </c>
      <c r="D13" s="255" t="s">
        <v>263</v>
      </c>
      <c r="E13" s="256">
        <f>人物卡!P15*4</f>
        <v>0</v>
      </c>
      <c r="F13" s="257" t="s">
        <v>275</v>
      </c>
    </row>
    <row r="14" spans="1:6">
      <c r="A14" s="249">
        <v>12</v>
      </c>
      <c r="B14" s="258" t="s">
        <v>276</v>
      </c>
      <c r="C14" s="259" t="s">
        <v>243</v>
      </c>
      <c r="D14" s="260" t="s">
        <v>263</v>
      </c>
      <c r="E14" s="261">
        <f>人物卡!P15*4</f>
        <v>0</v>
      </c>
      <c r="F14" s="262" t="s">
        <v>277</v>
      </c>
    </row>
    <row r="15" ht="17.25" customHeight="1" spans="1:6">
      <c r="A15" s="252">
        <v>13</v>
      </c>
      <c r="B15" s="253" t="s">
        <v>278</v>
      </c>
      <c r="C15" s="254" t="s">
        <v>279</v>
      </c>
      <c r="D15" s="255" t="s">
        <v>280</v>
      </c>
      <c r="E15" s="256">
        <f>人物卡!P15*2+MAX(人物卡!J13,人物卡!P13)*2</f>
        <v>0</v>
      </c>
      <c r="F15" s="257" t="s">
        <v>281</v>
      </c>
    </row>
    <row r="16" ht="17.25" customHeight="1" spans="1:6">
      <c r="A16" s="249">
        <v>14</v>
      </c>
      <c r="B16" s="258" t="s">
        <v>282</v>
      </c>
      <c r="C16" s="259" t="s">
        <v>283</v>
      </c>
      <c r="D16" s="260" t="s">
        <v>284</v>
      </c>
      <c r="E16" s="261">
        <f>人物卡!P15*2+MAX(人物卡!J13,人物卡!D13)*2</f>
        <v>0</v>
      </c>
      <c r="F16" s="262" t="s">
        <v>285</v>
      </c>
    </row>
    <row r="17" ht="16.5" customHeight="1" spans="1:6">
      <c r="A17" s="252">
        <v>15</v>
      </c>
      <c r="B17" s="253" t="s">
        <v>286</v>
      </c>
      <c r="C17" s="254" t="s">
        <v>287</v>
      </c>
      <c r="D17" s="255" t="s">
        <v>288</v>
      </c>
      <c r="E17" s="256">
        <f>人物卡!P15*2+MAX(人物卡!J13,人物卡!D13)*2</f>
        <v>0</v>
      </c>
      <c r="F17" s="257" t="s">
        <v>289</v>
      </c>
    </row>
    <row r="18" spans="1:6">
      <c r="A18" s="249">
        <v>16</v>
      </c>
      <c r="B18" s="258" t="s">
        <v>290</v>
      </c>
      <c r="C18" s="259" t="s">
        <v>291</v>
      </c>
      <c r="D18" s="260" t="s">
        <v>263</v>
      </c>
      <c r="E18" s="261">
        <f>人物卡!P15*4</f>
        <v>0</v>
      </c>
      <c r="F18" s="262" t="s">
        <v>292</v>
      </c>
    </row>
    <row r="19" ht="16.5" customHeight="1" spans="1:6">
      <c r="A19" s="252">
        <v>17</v>
      </c>
      <c r="B19" s="253" t="s">
        <v>293</v>
      </c>
      <c r="C19" s="254" t="s">
        <v>294</v>
      </c>
      <c r="D19" s="255" t="s">
        <v>252</v>
      </c>
      <c r="E19" s="256">
        <f>人物卡!P15*2+人物卡!J15*2</f>
        <v>0</v>
      </c>
      <c r="F19" s="257" t="s">
        <v>295</v>
      </c>
    </row>
    <row r="20" ht="16.5" customHeight="1" spans="1:6">
      <c r="A20" s="249">
        <v>18</v>
      </c>
      <c r="B20" s="258" t="s">
        <v>296</v>
      </c>
      <c r="C20" s="259" t="s">
        <v>297</v>
      </c>
      <c r="D20" s="260" t="s">
        <v>288</v>
      </c>
      <c r="E20" s="261">
        <f>人物卡!P15*2+MAX(人物卡!J13,人物卡!D13)*2</f>
        <v>0</v>
      </c>
      <c r="F20" s="262" t="s">
        <v>298</v>
      </c>
    </row>
    <row r="21" spans="1:6">
      <c r="A21" s="252">
        <v>19</v>
      </c>
      <c r="B21" s="253" t="s">
        <v>299</v>
      </c>
      <c r="C21" s="254" t="s">
        <v>300</v>
      </c>
      <c r="D21" s="255" t="s">
        <v>263</v>
      </c>
      <c r="E21" s="256">
        <f>人物卡!P15*4</f>
        <v>0</v>
      </c>
      <c r="F21" s="257" t="s">
        <v>301</v>
      </c>
    </row>
    <row r="22" ht="16.5" customHeight="1" spans="1:6">
      <c r="A22" s="249">
        <v>20</v>
      </c>
      <c r="B22" s="258" t="s">
        <v>302</v>
      </c>
      <c r="C22" s="259" t="s">
        <v>291</v>
      </c>
      <c r="D22" s="260" t="s">
        <v>288</v>
      </c>
      <c r="E22" s="261">
        <f>人物卡!P15*2+MAX(人物卡!J13,人物卡!D13)*2</f>
        <v>0</v>
      </c>
      <c r="F22" s="262" t="s">
        <v>303</v>
      </c>
    </row>
    <row r="23" ht="16.5" customHeight="1" spans="1:6">
      <c r="A23" s="252">
        <v>21</v>
      </c>
      <c r="B23" s="253" t="s">
        <v>304</v>
      </c>
      <c r="C23" s="254" t="s">
        <v>305</v>
      </c>
      <c r="D23" s="255" t="s">
        <v>306</v>
      </c>
      <c r="E23" s="256">
        <f>人物卡!P15*2+人物卡!D13*2</f>
        <v>0</v>
      </c>
      <c r="F23" s="257" t="s">
        <v>307</v>
      </c>
    </row>
    <row r="24" spans="1:6">
      <c r="A24" s="249">
        <v>22</v>
      </c>
      <c r="B24" s="258" t="s">
        <v>308</v>
      </c>
      <c r="C24" s="259" t="s">
        <v>251</v>
      </c>
      <c r="D24" s="260" t="s">
        <v>263</v>
      </c>
      <c r="E24" s="261">
        <f>人物卡!P15*4</f>
        <v>0</v>
      </c>
      <c r="F24" s="262" t="s">
        <v>309</v>
      </c>
    </row>
    <row r="25" spans="1:6">
      <c r="A25" s="252">
        <v>23</v>
      </c>
      <c r="B25" s="253" t="s">
        <v>310</v>
      </c>
      <c r="C25" s="254" t="s">
        <v>305</v>
      </c>
      <c r="D25" s="255" t="s">
        <v>263</v>
      </c>
      <c r="E25" s="256">
        <f>人物卡!P15*4</f>
        <v>0</v>
      </c>
      <c r="F25" s="257" t="s">
        <v>311</v>
      </c>
    </row>
    <row r="26" spans="1:6">
      <c r="A26" s="249">
        <v>24</v>
      </c>
      <c r="B26" s="258" t="s">
        <v>312</v>
      </c>
      <c r="C26" s="259" t="s">
        <v>313</v>
      </c>
      <c r="D26" s="260" t="s">
        <v>263</v>
      </c>
      <c r="E26" s="261">
        <f>人物卡!P15*4</f>
        <v>0</v>
      </c>
      <c r="F26" s="262" t="s">
        <v>314</v>
      </c>
    </row>
    <row r="27" spans="1:6">
      <c r="A27" s="252">
        <v>25</v>
      </c>
      <c r="B27" s="253" t="s">
        <v>315</v>
      </c>
      <c r="C27" s="254" t="s">
        <v>313</v>
      </c>
      <c r="D27" s="255" t="s">
        <v>263</v>
      </c>
      <c r="E27" s="256">
        <f>人物卡!P15*4</f>
        <v>0</v>
      </c>
      <c r="F27" s="257" t="s">
        <v>316</v>
      </c>
    </row>
    <row r="28" ht="17.25" customHeight="1" spans="1:6">
      <c r="A28" s="249">
        <v>26</v>
      </c>
      <c r="B28" s="258" t="s">
        <v>317</v>
      </c>
      <c r="C28" s="259" t="s">
        <v>247</v>
      </c>
      <c r="D28" s="260" t="s">
        <v>318</v>
      </c>
      <c r="E28" s="261">
        <f>人物卡!P15*2+MAX(人物卡!J13,人物卡!D13)*2</f>
        <v>0</v>
      </c>
      <c r="F28" s="262" t="s">
        <v>319</v>
      </c>
    </row>
    <row r="29" ht="16.5" customHeight="1" spans="1:6">
      <c r="A29" s="252">
        <v>27</v>
      </c>
      <c r="B29" s="253" t="s">
        <v>320</v>
      </c>
      <c r="C29" s="254" t="s">
        <v>266</v>
      </c>
      <c r="D29" s="255" t="s">
        <v>321</v>
      </c>
      <c r="E29" s="256">
        <f>人物卡!P15*2+人物卡!J13*2</f>
        <v>0</v>
      </c>
      <c r="F29" s="257" t="s">
        <v>322</v>
      </c>
    </row>
    <row r="30" ht="17.25" customHeight="1" spans="1:6">
      <c r="A30" s="249">
        <v>28</v>
      </c>
      <c r="B30" s="258" t="s">
        <v>323</v>
      </c>
      <c r="C30" s="259" t="s">
        <v>324</v>
      </c>
      <c r="D30" s="260" t="s">
        <v>325</v>
      </c>
      <c r="E30" s="261">
        <f>人物卡!P15*2+MAX(人物卡!J13,人物卡!D13)*2</f>
        <v>0</v>
      </c>
      <c r="F30" s="262" t="s">
        <v>326</v>
      </c>
    </row>
    <row r="31" ht="17.25" customHeight="1" spans="1:6">
      <c r="A31" s="252">
        <v>29</v>
      </c>
      <c r="B31" s="253" t="s">
        <v>327</v>
      </c>
      <c r="C31" s="254" t="s">
        <v>328</v>
      </c>
      <c r="D31" s="255" t="s">
        <v>284</v>
      </c>
      <c r="E31" s="256">
        <f>人物卡!P15*2+MAX(人物卡!J13,人物卡!D13)*2</f>
        <v>0</v>
      </c>
      <c r="F31" s="257" t="s">
        <v>329</v>
      </c>
    </row>
    <row r="32" ht="17.25" customHeight="1" spans="1:6">
      <c r="A32" s="249">
        <v>30</v>
      </c>
      <c r="B32" s="258" t="s">
        <v>330</v>
      </c>
      <c r="C32" s="259" t="s">
        <v>331</v>
      </c>
      <c r="D32" s="260" t="s">
        <v>332</v>
      </c>
      <c r="E32" s="261">
        <f>人物卡!P15*2+人物卡!D13*2</f>
        <v>0</v>
      </c>
      <c r="F32" s="262" t="s">
        <v>333</v>
      </c>
    </row>
    <row r="33" ht="17.25" customHeight="1" spans="1:6">
      <c r="A33" s="252">
        <v>31</v>
      </c>
      <c r="B33" s="253" t="s">
        <v>334</v>
      </c>
      <c r="C33" s="254" t="s">
        <v>335</v>
      </c>
      <c r="D33" s="255" t="s">
        <v>248</v>
      </c>
      <c r="E33" s="256">
        <f>人物卡!P15*2+人物卡!J13*2</f>
        <v>0</v>
      </c>
      <c r="F33" s="257" t="s">
        <v>336</v>
      </c>
    </row>
    <row r="34" ht="17.25" customHeight="1" spans="1:6">
      <c r="A34" s="249">
        <v>32</v>
      </c>
      <c r="B34" s="258" t="s">
        <v>337</v>
      </c>
      <c r="C34" s="259" t="s">
        <v>338</v>
      </c>
      <c r="D34" s="260" t="s">
        <v>339</v>
      </c>
      <c r="E34" s="261">
        <f>人物卡!P15*2+人物卡!J15*2</f>
        <v>0</v>
      </c>
      <c r="F34" s="262" t="s">
        <v>340</v>
      </c>
    </row>
    <row r="35" ht="17.25" customHeight="1" spans="1:6">
      <c r="A35" s="252">
        <v>33</v>
      </c>
      <c r="B35" s="253" t="s">
        <v>341</v>
      </c>
      <c r="C35" s="254" t="s">
        <v>342</v>
      </c>
      <c r="D35" s="255" t="s">
        <v>343</v>
      </c>
      <c r="E35" s="256">
        <f>人物卡!P15*2+MAX(人物卡!J15,人物卡!J13)*2</f>
        <v>0</v>
      </c>
      <c r="F35" s="257" t="s">
        <v>344</v>
      </c>
    </row>
    <row r="36" ht="17.25" customHeight="1" spans="1:6">
      <c r="A36" s="249">
        <v>34</v>
      </c>
      <c r="B36" s="258" t="s">
        <v>345</v>
      </c>
      <c r="C36" s="259" t="s">
        <v>346</v>
      </c>
      <c r="D36" s="260" t="s">
        <v>339</v>
      </c>
      <c r="E36" s="261">
        <f>人物卡!P15*2+人物卡!J15*2</f>
        <v>0</v>
      </c>
      <c r="F36" s="262" t="s">
        <v>347</v>
      </c>
    </row>
    <row r="37" ht="17.25" customHeight="1" spans="1:6">
      <c r="A37" s="252">
        <v>35</v>
      </c>
      <c r="B37" s="253" t="s">
        <v>348</v>
      </c>
      <c r="C37" s="254" t="s">
        <v>300</v>
      </c>
      <c r="D37" s="255" t="s">
        <v>339</v>
      </c>
      <c r="E37" s="256">
        <f>人物卡!P15*2+人物卡!J15*2</f>
        <v>0</v>
      </c>
      <c r="F37" s="257" t="s">
        <v>349</v>
      </c>
    </row>
    <row r="38" spans="1:6">
      <c r="A38" s="249">
        <v>36</v>
      </c>
      <c r="B38" s="258" t="s">
        <v>350</v>
      </c>
      <c r="C38" s="259" t="s">
        <v>351</v>
      </c>
      <c r="D38" s="260" t="s">
        <v>263</v>
      </c>
      <c r="E38" s="261">
        <f>人物卡!P15*4</f>
        <v>0</v>
      </c>
      <c r="F38" s="262" t="s">
        <v>352</v>
      </c>
    </row>
    <row r="39" ht="17.25" customHeight="1" spans="1:6">
      <c r="A39" s="252">
        <v>37</v>
      </c>
      <c r="B39" s="253" t="s">
        <v>353</v>
      </c>
      <c r="C39" s="254" t="s">
        <v>351</v>
      </c>
      <c r="D39" s="255" t="s">
        <v>354</v>
      </c>
      <c r="E39" s="256">
        <f>人物卡!P15*2+MAX(人物卡!J15,人物卡!J13)*2</f>
        <v>0</v>
      </c>
      <c r="F39" s="257" t="s">
        <v>355</v>
      </c>
    </row>
    <row r="40" ht="17.25" customHeight="1" spans="1:6">
      <c r="A40" s="249">
        <v>38</v>
      </c>
      <c r="B40" s="258" t="s">
        <v>356</v>
      </c>
      <c r="C40" s="259" t="s">
        <v>357</v>
      </c>
      <c r="D40" s="260" t="s">
        <v>325</v>
      </c>
      <c r="E40" s="261">
        <f>人物卡!P15*2+MAX(人物卡!J13,人物卡!D13)*2</f>
        <v>0</v>
      </c>
      <c r="F40" s="262" t="s">
        <v>358</v>
      </c>
    </row>
    <row r="41" spans="1:6">
      <c r="A41" s="252">
        <v>39</v>
      </c>
      <c r="B41" s="253" t="s">
        <v>359</v>
      </c>
      <c r="C41" s="254" t="s">
        <v>324</v>
      </c>
      <c r="D41" s="255" t="s">
        <v>263</v>
      </c>
      <c r="E41" s="256">
        <f>人物卡!P15*4</f>
        <v>0</v>
      </c>
      <c r="F41" s="257" t="s">
        <v>360</v>
      </c>
    </row>
    <row r="42" spans="1:6">
      <c r="A42" s="249">
        <v>40</v>
      </c>
      <c r="B42" s="258" t="s">
        <v>361</v>
      </c>
      <c r="C42" s="259" t="s">
        <v>297</v>
      </c>
      <c r="D42" s="260" t="s">
        <v>263</v>
      </c>
      <c r="E42" s="261">
        <f>人物卡!P15*4</f>
        <v>0</v>
      </c>
      <c r="F42" s="262" t="s">
        <v>362</v>
      </c>
    </row>
    <row r="43" spans="1:6">
      <c r="A43" s="252">
        <v>41</v>
      </c>
      <c r="B43" s="253" t="s">
        <v>363</v>
      </c>
      <c r="C43" s="254" t="s">
        <v>351</v>
      </c>
      <c r="D43" s="255" t="s">
        <v>263</v>
      </c>
      <c r="E43" s="256">
        <f>人物卡!P15*4</f>
        <v>0</v>
      </c>
      <c r="F43" s="257" t="s">
        <v>364</v>
      </c>
    </row>
    <row r="44" ht="17.25" customHeight="1" spans="1:6">
      <c r="A44" s="249">
        <v>42</v>
      </c>
      <c r="B44" s="258" t="s">
        <v>365</v>
      </c>
      <c r="C44" s="259" t="s">
        <v>366</v>
      </c>
      <c r="D44" s="260" t="s">
        <v>252</v>
      </c>
      <c r="E44" s="261">
        <f>人物卡!P15*2+人物卡!J15*2</f>
        <v>0</v>
      </c>
      <c r="F44" s="262" t="s">
        <v>367</v>
      </c>
    </row>
    <row r="45" ht="17.25" customHeight="1" spans="1:6">
      <c r="A45" s="252">
        <v>43</v>
      </c>
      <c r="B45" s="253" t="s">
        <v>368</v>
      </c>
      <c r="C45" s="254" t="s">
        <v>291</v>
      </c>
      <c r="D45" s="255" t="s">
        <v>248</v>
      </c>
      <c r="E45" s="256">
        <f>人物卡!P15*2+人物卡!J13*2</f>
        <v>0</v>
      </c>
      <c r="F45" s="257" t="s">
        <v>369</v>
      </c>
    </row>
    <row r="46" spans="1:6">
      <c r="A46" s="249">
        <v>44</v>
      </c>
      <c r="B46" s="258" t="s">
        <v>370</v>
      </c>
      <c r="C46" s="259" t="s">
        <v>371</v>
      </c>
      <c r="D46" s="260" t="s">
        <v>263</v>
      </c>
      <c r="E46" s="261">
        <f>人物卡!P15*4</f>
        <v>0</v>
      </c>
      <c r="F46" s="262" t="s">
        <v>372</v>
      </c>
    </row>
    <row r="47" ht="33" customHeight="1" spans="1:6">
      <c r="A47" s="252">
        <v>45</v>
      </c>
      <c r="B47" s="253" t="s">
        <v>373</v>
      </c>
      <c r="C47" s="254" t="s">
        <v>374</v>
      </c>
      <c r="D47" s="255" t="s">
        <v>375</v>
      </c>
      <c r="E47" s="256">
        <f>(MAX(人物卡!J15,人物卡!J13,人物卡!D13))*2+人物卡!P15*2</f>
        <v>0</v>
      </c>
      <c r="F47" s="257" t="s">
        <v>376</v>
      </c>
    </row>
    <row r="48" ht="17.25" customHeight="1" spans="1:6">
      <c r="A48" s="249">
        <v>46</v>
      </c>
      <c r="B48" s="258" t="s">
        <v>377</v>
      </c>
      <c r="C48" s="259" t="s">
        <v>266</v>
      </c>
      <c r="D48" s="260" t="s">
        <v>248</v>
      </c>
      <c r="E48" s="261">
        <f>人物卡!P15*2+人物卡!J13*2</f>
        <v>0</v>
      </c>
      <c r="F48" s="262" t="s">
        <v>378</v>
      </c>
    </row>
    <row r="49" ht="17.25" customHeight="1" spans="1:6">
      <c r="A49" s="252">
        <v>47</v>
      </c>
      <c r="B49" s="253" t="s">
        <v>379</v>
      </c>
      <c r="C49" s="254" t="s">
        <v>247</v>
      </c>
      <c r="D49" s="255" t="s">
        <v>325</v>
      </c>
      <c r="E49" s="256">
        <f>人物卡!P15*2+MAX(人物卡!J13,人物卡!D13)*2</f>
        <v>0</v>
      </c>
      <c r="F49" s="257" t="s">
        <v>380</v>
      </c>
    </row>
    <row r="50" ht="17.25" customHeight="1" spans="1:6">
      <c r="A50" s="249">
        <v>48</v>
      </c>
      <c r="B50" s="258" t="s">
        <v>381</v>
      </c>
      <c r="C50" s="259" t="s">
        <v>291</v>
      </c>
      <c r="D50" s="260" t="s">
        <v>248</v>
      </c>
      <c r="E50" s="261">
        <f>人物卡!P15*2+人物卡!J13*2</f>
        <v>0</v>
      </c>
      <c r="F50" s="262" t="s">
        <v>382</v>
      </c>
    </row>
    <row r="51" spans="1:6">
      <c r="A51" s="252">
        <v>49</v>
      </c>
      <c r="B51" s="253" t="s">
        <v>383</v>
      </c>
      <c r="C51" s="254" t="s">
        <v>384</v>
      </c>
      <c r="D51" s="255" t="s">
        <v>263</v>
      </c>
      <c r="E51" s="256">
        <f>人物卡!P15*4</f>
        <v>0</v>
      </c>
      <c r="F51" s="257" t="s">
        <v>385</v>
      </c>
    </row>
    <row r="52" ht="17.25" customHeight="1" spans="1:6">
      <c r="A52" s="249">
        <v>50</v>
      </c>
      <c r="B52" s="258" t="s">
        <v>386</v>
      </c>
      <c r="C52" s="259" t="s">
        <v>387</v>
      </c>
      <c r="D52" s="260" t="s">
        <v>339</v>
      </c>
      <c r="E52" s="261">
        <f>人物卡!P15*2+人物卡!J15*2</f>
        <v>0</v>
      </c>
      <c r="F52" s="262" t="s">
        <v>388</v>
      </c>
    </row>
    <row r="53" spans="1:6">
      <c r="A53" s="252">
        <v>51</v>
      </c>
      <c r="B53" s="253" t="s">
        <v>389</v>
      </c>
      <c r="C53" s="254" t="s">
        <v>324</v>
      </c>
      <c r="D53" s="255" t="s">
        <v>263</v>
      </c>
      <c r="E53" s="256">
        <f>人物卡!P15*4</f>
        <v>0</v>
      </c>
      <c r="F53" s="257" t="s">
        <v>390</v>
      </c>
    </row>
    <row r="54" ht="16.5" customHeight="1" spans="1:6">
      <c r="A54" s="249">
        <v>52</v>
      </c>
      <c r="B54" s="258" t="s">
        <v>391</v>
      </c>
      <c r="C54" s="259" t="s">
        <v>287</v>
      </c>
      <c r="D54" s="260" t="s">
        <v>252</v>
      </c>
      <c r="E54" s="261">
        <f>人物卡!P15*2+人物卡!J15*2</f>
        <v>0</v>
      </c>
      <c r="F54" s="262" t="s">
        <v>392</v>
      </c>
    </row>
    <row r="55" ht="33" customHeight="1" spans="1:6">
      <c r="A55" s="252">
        <v>53</v>
      </c>
      <c r="B55" s="253" t="s">
        <v>393</v>
      </c>
      <c r="C55" s="254" t="s">
        <v>394</v>
      </c>
      <c r="D55" s="255" t="s">
        <v>375</v>
      </c>
      <c r="E55" s="256">
        <f>(MAX(人物卡!J15,人物卡!J13,人物卡!D13))*2+人物卡!P15*2</f>
        <v>0</v>
      </c>
      <c r="F55" s="257" t="s">
        <v>395</v>
      </c>
    </row>
    <row r="56" ht="16.5" customHeight="1" spans="1:6">
      <c r="A56" s="249">
        <v>54</v>
      </c>
      <c r="B56" s="258" t="s">
        <v>396</v>
      </c>
      <c r="C56" s="259" t="s">
        <v>291</v>
      </c>
      <c r="D56" s="260" t="s">
        <v>288</v>
      </c>
      <c r="E56" s="261">
        <f>人物卡!P15*2+MAX(人物卡!J13,人物卡!D13)*2</f>
        <v>0</v>
      </c>
      <c r="F56" s="262" t="s">
        <v>397</v>
      </c>
    </row>
    <row r="57" spans="1:6">
      <c r="A57" s="252">
        <v>55</v>
      </c>
      <c r="B57" s="253" t="s">
        <v>398</v>
      </c>
      <c r="C57" s="254" t="s">
        <v>300</v>
      </c>
      <c r="D57" s="255" t="s">
        <v>263</v>
      </c>
      <c r="E57" s="256">
        <f>人物卡!P15*4</f>
        <v>0</v>
      </c>
      <c r="F57" s="257" t="s">
        <v>399</v>
      </c>
    </row>
    <row r="58" ht="16.5" customHeight="1" spans="1:6">
      <c r="A58" s="249">
        <v>56</v>
      </c>
      <c r="B58" s="258" t="s">
        <v>400</v>
      </c>
      <c r="C58" s="259" t="s">
        <v>291</v>
      </c>
      <c r="D58" s="260" t="s">
        <v>288</v>
      </c>
      <c r="E58" s="261">
        <f>人物卡!P15*2+MAX(人物卡!J13,人物卡!D13)*2</f>
        <v>0</v>
      </c>
      <c r="F58" s="262" t="s">
        <v>401</v>
      </c>
    </row>
    <row r="59" spans="1:6">
      <c r="A59" s="252">
        <v>57</v>
      </c>
      <c r="B59" s="253" t="s">
        <v>402</v>
      </c>
      <c r="C59" s="254" t="s">
        <v>266</v>
      </c>
      <c r="D59" s="255" t="s">
        <v>263</v>
      </c>
      <c r="E59" s="256">
        <f>人物卡!P15*4</f>
        <v>0</v>
      </c>
      <c r="F59" s="257" t="s">
        <v>403</v>
      </c>
    </row>
    <row r="60" spans="1:6">
      <c r="A60" s="249">
        <v>58</v>
      </c>
      <c r="B60" s="258" t="s">
        <v>404</v>
      </c>
      <c r="C60" s="259" t="s">
        <v>405</v>
      </c>
      <c r="D60" s="260" t="s">
        <v>263</v>
      </c>
      <c r="E60" s="261">
        <f>人物卡!P15*4</f>
        <v>0</v>
      </c>
      <c r="F60" s="262" t="s">
        <v>406</v>
      </c>
    </row>
    <row r="61" spans="1:6">
      <c r="A61" s="252">
        <v>59</v>
      </c>
      <c r="B61" s="253" t="s">
        <v>407</v>
      </c>
      <c r="C61" s="254" t="s">
        <v>408</v>
      </c>
      <c r="D61" s="255" t="s">
        <v>354</v>
      </c>
      <c r="E61" s="256">
        <f>人物卡!P15*2+MAX(人物卡!J15,人物卡!J13)*2</f>
        <v>0</v>
      </c>
      <c r="F61" s="257" t="s">
        <v>409</v>
      </c>
    </row>
    <row r="62" spans="1:6">
      <c r="A62" s="249">
        <v>60</v>
      </c>
      <c r="B62" s="258" t="s">
        <v>410</v>
      </c>
      <c r="C62" s="259" t="s">
        <v>411</v>
      </c>
      <c r="D62" s="260" t="s">
        <v>252</v>
      </c>
      <c r="E62" s="261">
        <f>人物卡!P15*2+人物卡!J15*2</f>
        <v>0</v>
      </c>
      <c r="F62" s="262" t="s">
        <v>412</v>
      </c>
    </row>
    <row r="63" ht="27" spans="1:6">
      <c r="A63" s="252">
        <v>61</v>
      </c>
      <c r="B63" s="253" t="s">
        <v>413</v>
      </c>
      <c r="C63" s="254" t="s">
        <v>247</v>
      </c>
      <c r="D63" s="255" t="s">
        <v>288</v>
      </c>
      <c r="E63" s="256">
        <f>人物卡!P15*2+MAX(人物卡!J13,人物卡!D13)*2</f>
        <v>0</v>
      </c>
      <c r="F63" s="257" t="s">
        <v>414</v>
      </c>
    </row>
    <row r="64" spans="1:6">
      <c r="A64" s="249">
        <v>62</v>
      </c>
      <c r="B64" s="258" t="s">
        <v>415</v>
      </c>
      <c r="C64" s="259" t="s">
        <v>416</v>
      </c>
      <c r="D64" s="260" t="s">
        <v>339</v>
      </c>
      <c r="E64" s="261">
        <f>人物卡!P15*2+人物卡!J15*2</f>
        <v>0</v>
      </c>
      <c r="F64" s="262" t="s">
        <v>417</v>
      </c>
    </row>
    <row r="65" ht="27" spans="1:6">
      <c r="A65" s="252">
        <v>63</v>
      </c>
      <c r="B65" s="253" t="s">
        <v>418</v>
      </c>
      <c r="C65" s="254" t="s">
        <v>374</v>
      </c>
      <c r="D65" s="255" t="s">
        <v>419</v>
      </c>
      <c r="E65" s="256">
        <f>人物卡!P15*2+MAX(人物卡!J15,人物卡!J13)*2</f>
        <v>0</v>
      </c>
      <c r="F65" s="257" t="s">
        <v>420</v>
      </c>
    </row>
    <row r="66" spans="1:6">
      <c r="A66" s="249">
        <v>64</v>
      </c>
      <c r="B66" s="258" t="s">
        <v>421</v>
      </c>
      <c r="C66" s="259" t="s">
        <v>422</v>
      </c>
      <c r="D66" s="260" t="s">
        <v>332</v>
      </c>
      <c r="E66" s="261">
        <f>人物卡!P15*2+人物卡!D13*2</f>
        <v>0</v>
      </c>
      <c r="F66" s="262" t="s">
        <v>423</v>
      </c>
    </row>
    <row r="67" spans="1:6">
      <c r="A67" s="252">
        <v>65</v>
      </c>
      <c r="B67" s="253" t="s">
        <v>424</v>
      </c>
      <c r="C67" s="254" t="s">
        <v>291</v>
      </c>
      <c r="D67" s="255" t="s">
        <v>263</v>
      </c>
      <c r="E67" s="256">
        <f>人物卡!P15*4</f>
        <v>0</v>
      </c>
      <c r="F67" s="257" t="s">
        <v>425</v>
      </c>
    </row>
    <row r="68" spans="1:6">
      <c r="A68" s="249">
        <v>66</v>
      </c>
      <c r="B68" s="258" t="s">
        <v>426</v>
      </c>
      <c r="C68" s="259" t="s">
        <v>291</v>
      </c>
      <c r="D68" s="260" t="s">
        <v>263</v>
      </c>
      <c r="E68" s="261">
        <f>人物卡!P15*4</f>
        <v>0</v>
      </c>
      <c r="F68" s="262" t="s">
        <v>427</v>
      </c>
    </row>
    <row r="69" spans="1:6">
      <c r="A69" s="252">
        <v>67</v>
      </c>
      <c r="B69" s="253" t="s">
        <v>428</v>
      </c>
      <c r="C69" s="254" t="s">
        <v>429</v>
      </c>
      <c r="D69" s="255" t="s">
        <v>263</v>
      </c>
      <c r="E69" s="256">
        <f>人物卡!P15*4</f>
        <v>0</v>
      </c>
      <c r="F69" s="257" t="s">
        <v>430</v>
      </c>
    </row>
    <row r="70" spans="1:6">
      <c r="A70" s="249">
        <v>68</v>
      </c>
      <c r="B70" s="258" t="s">
        <v>431</v>
      </c>
      <c r="C70" s="259" t="s">
        <v>384</v>
      </c>
      <c r="D70" s="260" t="s">
        <v>263</v>
      </c>
      <c r="E70" s="261">
        <f>人物卡!P15*4</f>
        <v>0</v>
      </c>
      <c r="F70" s="262" t="s">
        <v>432</v>
      </c>
    </row>
    <row r="71" ht="16.5" customHeight="1" spans="1:6">
      <c r="A71" s="252">
        <v>69</v>
      </c>
      <c r="B71" s="253" t="s">
        <v>433</v>
      </c>
      <c r="C71" s="254" t="s">
        <v>291</v>
      </c>
      <c r="D71" s="255" t="s">
        <v>288</v>
      </c>
      <c r="E71" s="256">
        <f>人物卡!P15*2+MAX(人物卡!J13,人物卡!D13)*2</f>
        <v>0</v>
      </c>
      <c r="F71" s="257" t="s">
        <v>434</v>
      </c>
    </row>
    <row r="72" ht="16.5" customHeight="1" spans="1:6">
      <c r="A72" s="249">
        <v>70</v>
      </c>
      <c r="B72" s="258" t="s">
        <v>435</v>
      </c>
      <c r="C72" s="259" t="s">
        <v>291</v>
      </c>
      <c r="D72" s="260" t="s">
        <v>288</v>
      </c>
      <c r="E72" s="261">
        <f>人物卡!P15*2+MAX(人物卡!J13,人物卡!D13)*2</f>
        <v>0</v>
      </c>
      <c r="F72" s="262" t="s">
        <v>436</v>
      </c>
    </row>
    <row r="73" spans="1:6">
      <c r="A73" s="252">
        <v>71</v>
      </c>
      <c r="B73" s="253" t="s">
        <v>437</v>
      </c>
      <c r="C73" s="254" t="s">
        <v>371</v>
      </c>
      <c r="D73" s="255" t="s">
        <v>263</v>
      </c>
      <c r="E73" s="256">
        <f>人物卡!P15*4</f>
        <v>0</v>
      </c>
      <c r="F73" s="257" t="s">
        <v>438</v>
      </c>
    </row>
    <row r="74" spans="1:6">
      <c r="A74" s="249">
        <v>72</v>
      </c>
      <c r="B74" s="258" t="s">
        <v>439</v>
      </c>
      <c r="C74" s="259" t="s">
        <v>440</v>
      </c>
      <c r="D74" s="260" t="s">
        <v>263</v>
      </c>
      <c r="E74" s="261">
        <f>人物卡!P15*4</f>
        <v>0</v>
      </c>
      <c r="F74" s="262" t="s">
        <v>441</v>
      </c>
    </row>
    <row r="75" spans="1:6">
      <c r="A75" s="252">
        <v>73</v>
      </c>
      <c r="B75" s="253" t="s">
        <v>442</v>
      </c>
      <c r="C75" s="254" t="s">
        <v>251</v>
      </c>
      <c r="D75" s="255" t="s">
        <v>263</v>
      </c>
      <c r="E75" s="256">
        <f>人物卡!P15*4</f>
        <v>0</v>
      </c>
      <c r="F75" s="257" t="s">
        <v>443</v>
      </c>
    </row>
    <row r="76" ht="16.5" customHeight="1" spans="1:6">
      <c r="A76" s="249">
        <v>74</v>
      </c>
      <c r="B76" s="258" t="s">
        <v>444</v>
      </c>
      <c r="C76" s="259" t="s">
        <v>445</v>
      </c>
      <c r="D76" s="260" t="s">
        <v>288</v>
      </c>
      <c r="E76" s="261">
        <f>人物卡!P15*2+MAX(人物卡!J13,人物卡!D13)*2</f>
        <v>0</v>
      </c>
      <c r="F76" s="262" t="s">
        <v>446</v>
      </c>
    </row>
    <row r="77" ht="17.25" customHeight="1" spans="1:6">
      <c r="A77" s="252">
        <v>75</v>
      </c>
      <c r="B77" s="253" t="s">
        <v>447</v>
      </c>
      <c r="C77" s="254" t="s">
        <v>448</v>
      </c>
      <c r="D77" s="255" t="s">
        <v>252</v>
      </c>
      <c r="E77" s="256">
        <f>人物卡!P15*2+人物卡!J15*2</f>
        <v>0</v>
      </c>
      <c r="F77" s="257" t="s">
        <v>449</v>
      </c>
    </row>
    <row r="78" ht="17.25" customHeight="1" spans="1:6">
      <c r="A78" s="249">
        <v>76</v>
      </c>
      <c r="B78" s="258" t="s">
        <v>450</v>
      </c>
      <c r="C78" s="259" t="s">
        <v>324</v>
      </c>
      <c r="D78" s="260" t="s">
        <v>325</v>
      </c>
      <c r="E78" s="261">
        <f>人物卡!P15*2+MAX(人物卡!J13,人物卡!D13)*2</f>
        <v>0</v>
      </c>
      <c r="F78" s="262" t="s">
        <v>451</v>
      </c>
    </row>
    <row r="79" spans="1:6">
      <c r="A79" s="252">
        <v>77</v>
      </c>
      <c r="B79" s="253" t="s">
        <v>452</v>
      </c>
      <c r="C79" s="254" t="s">
        <v>384</v>
      </c>
      <c r="D79" s="255" t="s">
        <v>263</v>
      </c>
      <c r="E79" s="256">
        <f>人物卡!P15*4</f>
        <v>0</v>
      </c>
      <c r="F79" s="257" t="s">
        <v>453</v>
      </c>
    </row>
    <row r="80" ht="16.5" customHeight="1" spans="1:6">
      <c r="A80" s="249">
        <v>78</v>
      </c>
      <c r="B80" s="258" t="s">
        <v>454</v>
      </c>
      <c r="C80" s="259" t="s">
        <v>291</v>
      </c>
      <c r="D80" s="260" t="s">
        <v>455</v>
      </c>
      <c r="E80" s="261">
        <f>人物卡!P15*2+MAX(人物卡!J13,人物卡!P13)*2</f>
        <v>0</v>
      </c>
      <c r="F80" s="262" t="s">
        <v>456</v>
      </c>
    </row>
    <row r="81" spans="1:6">
      <c r="A81" s="252">
        <v>79</v>
      </c>
      <c r="B81" s="253" t="s">
        <v>457</v>
      </c>
      <c r="C81" s="254" t="s">
        <v>291</v>
      </c>
      <c r="D81" s="255" t="s">
        <v>263</v>
      </c>
      <c r="E81" s="256">
        <f>人物卡!P15*4</f>
        <v>0</v>
      </c>
      <c r="F81" s="257" t="s">
        <v>458</v>
      </c>
    </row>
    <row r="82" spans="1:6">
      <c r="A82" s="249">
        <v>80</v>
      </c>
      <c r="B82" s="258" t="s">
        <v>459</v>
      </c>
      <c r="C82" s="259" t="s">
        <v>460</v>
      </c>
      <c r="D82" s="260" t="s">
        <v>263</v>
      </c>
      <c r="E82" s="261">
        <f>人物卡!P15*4</f>
        <v>0</v>
      </c>
      <c r="F82" s="262" t="s">
        <v>461</v>
      </c>
    </row>
    <row r="83" ht="16.5" customHeight="1" spans="1:6">
      <c r="A83" s="252">
        <v>81</v>
      </c>
      <c r="B83" s="253" t="s">
        <v>462</v>
      </c>
      <c r="C83" s="254" t="s">
        <v>463</v>
      </c>
      <c r="D83" s="255" t="s">
        <v>288</v>
      </c>
      <c r="E83" s="256">
        <f>人物卡!P15*2+MAX(人物卡!J13,人物卡!D13)*2</f>
        <v>0</v>
      </c>
      <c r="F83" s="257" t="s">
        <v>464</v>
      </c>
    </row>
    <row r="84" spans="1:6">
      <c r="A84" s="249">
        <v>82</v>
      </c>
      <c r="B84" s="258" t="s">
        <v>465</v>
      </c>
      <c r="C84" s="259" t="s">
        <v>291</v>
      </c>
      <c r="D84" s="260" t="s">
        <v>263</v>
      </c>
      <c r="E84" s="261">
        <f>人物卡!P15*4</f>
        <v>0</v>
      </c>
      <c r="F84" s="262" t="s">
        <v>466</v>
      </c>
    </row>
    <row r="85" spans="1:6">
      <c r="A85" s="252">
        <v>83</v>
      </c>
      <c r="B85" s="253" t="s">
        <v>467</v>
      </c>
      <c r="C85" s="254" t="s">
        <v>468</v>
      </c>
      <c r="D85" s="255" t="s">
        <v>263</v>
      </c>
      <c r="E85" s="256">
        <f>人物卡!P15*4</f>
        <v>0</v>
      </c>
      <c r="F85" s="257" t="s">
        <v>469</v>
      </c>
    </row>
    <row r="86" spans="1:6">
      <c r="A86" s="249">
        <v>84</v>
      </c>
      <c r="B86" s="258" t="s">
        <v>470</v>
      </c>
      <c r="C86" s="259" t="s">
        <v>291</v>
      </c>
      <c r="D86" s="260" t="s">
        <v>263</v>
      </c>
      <c r="E86" s="261">
        <f>人物卡!P15*4</f>
        <v>0</v>
      </c>
      <c r="F86" s="262" t="s">
        <v>471</v>
      </c>
    </row>
    <row r="87" spans="1:6">
      <c r="A87" s="252">
        <v>85</v>
      </c>
      <c r="B87" s="253" t="s">
        <v>472</v>
      </c>
      <c r="C87" s="254" t="s">
        <v>384</v>
      </c>
      <c r="D87" s="255" t="s">
        <v>263</v>
      </c>
      <c r="E87" s="256">
        <f>人物卡!P15*4</f>
        <v>0</v>
      </c>
      <c r="F87" s="257" t="s">
        <v>473</v>
      </c>
    </row>
    <row r="88" ht="16.5" customHeight="1" spans="1:6">
      <c r="A88" s="249">
        <v>86</v>
      </c>
      <c r="B88" s="258" t="s">
        <v>474</v>
      </c>
      <c r="C88" s="259" t="s">
        <v>445</v>
      </c>
      <c r="D88" s="260" t="s">
        <v>321</v>
      </c>
      <c r="E88" s="261">
        <f>人物卡!P15*2+人物卡!J13*2</f>
        <v>0</v>
      </c>
      <c r="F88" s="262" t="s">
        <v>475</v>
      </c>
    </row>
    <row r="89" spans="1:6">
      <c r="A89" s="252">
        <v>87</v>
      </c>
      <c r="B89" s="253" t="s">
        <v>476</v>
      </c>
      <c r="C89" s="254" t="s">
        <v>324</v>
      </c>
      <c r="D89" s="255" t="s">
        <v>263</v>
      </c>
      <c r="E89" s="256">
        <f>人物卡!P15*4</f>
        <v>0</v>
      </c>
      <c r="F89" s="257" t="s">
        <v>477</v>
      </c>
    </row>
    <row r="90" ht="16.5" customHeight="1" spans="1:6">
      <c r="A90" s="249">
        <v>88</v>
      </c>
      <c r="B90" s="258" t="s">
        <v>478</v>
      </c>
      <c r="C90" s="259" t="s">
        <v>297</v>
      </c>
      <c r="D90" s="260" t="s">
        <v>288</v>
      </c>
      <c r="E90" s="261">
        <f>人物卡!P15*2+MAX(人物卡!J13,人物卡!D13)*2</f>
        <v>0</v>
      </c>
      <c r="F90" s="262" t="s">
        <v>479</v>
      </c>
    </row>
    <row r="91" ht="16.5" customHeight="1" spans="1:6">
      <c r="A91" s="252">
        <v>89</v>
      </c>
      <c r="B91" s="253" t="s">
        <v>480</v>
      </c>
      <c r="C91" s="254" t="s">
        <v>291</v>
      </c>
      <c r="D91" s="255" t="s">
        <v>288</v>
      </c>
      <c r="E91" s="256">
        <f>人物卡!P15*2+MAX(人物卡!J13,人物卡!D13)*2</f>
        <v>0</v>
      </c>
      <c r="F91" s="257" t="s">
        <v>481</v>
      </c>
    </row>
    <row r="92" ht="16.5" customHeight="1" spans="1:6">
      <c r="A92" s="249">
        <v>90</v>
      </c>
      <c r="B92" s="258" t="s">
        <v>482</v>
      </c>
      <c r="C92" s="259" t="s">
        <v>291</v>
      </c>
      <c r="D92" s="260" t="s">
        <v>288</v>
      </c>
      <c r="E92" s="261">
        <f>人物卡!P15*2+MAX(人物卡!J13,人物卡!D13)*2</f>
        <v>0</v>
      </c>
      <c r="F92" s="262" t="s">
        <v>483</v>
      </c>
    </row>
    <row r="93" spans="1:6">
      <c r="A93" s="252">
        <v>91</v>
      </c>
      <c r="B93" s="253" t="s">
        <v>484</v>
      </c>
      <c r="C93" s="254" t="s">
        <v>445</v>
      </c>
      <c r="D93" s="255" t="s">
        <v>263</v>
      </c>
      <c r="E93" s="256">
        <f>人物卡!P15*4</f>
        <v>0</v>
      </c>
      <c r="F93" s="257" t="s">
        <v>485</v>
      </c>
    </row>
    <row r="94" ht="16.5" customHeight="1" spans="1:6">
      <c r="A94" s="249">
        <v>92</v>
      </c>
      <c r="B94" s="258" t="s">
        <v>486</v>
      </c>
      <c r="C94" s="259" t="s">
        <v>487</v>
      </c>
      <c r="D94" s="260" t="s">
        <v>288</v>
      </c>
      <c r="E94" s="261">
        <f>人物卡!P15*2+MAX(人物卡!J13,人物卡!D13)*2</f>
        <v>0</v>
      </c>
      <c r="F94" s="262" t="s">
        <v>488</v>
      </c>
    </row>
    <row r="95" ht="17.25" customHeight="1" spans="1:6">
      <c r="A95" s="252">
        <v>93</v>
      </c>
      <c r="B95" s="253" t="s">
        <v>489</v>
      </c>
      <c r="C95" s="254" t="s">
        <v>490</v>
      </c>
      <c r="D95" s="255" t="s">
        <v>252</v>
      </c>
      <c r="E95" s="256">
        <f>人物卡!P15*2+人物卡!J15*2</f>
        <v>0</v>
      </c>
      <c r="F95" s="257" t="s">
        <v>491</v>
      </c>
    </row>
    <row r="96" spans="1:6">
      <c r="A96" s="249">
        <v>94</v>
      </c>
      <c r="B96" s="258" t="s">
        <v>492</v>
      </c>
      <c r="C96" s="259" t="s">
        <v>371</v>
      </c>
      <c r="D96" s="260" t="s">
        <v>263</v>
      </c>
      <c r="E96" s="261">
        <f>人物卡!P15*4</f>
        <v>0</v>
      </c>
      <c r="F96" s="262" t="s">
        <v>493</v>
      </c>
    </row>
    <row r="97" spans="1:6">
      <c r="A97" s="252">
        <v>95</v>
      </c>
      <c r="B97" s="253" t="s">
        <v>494</v>
      </c>
      <c r="C97" s="254" t="s">
        <v>266</v>
      </c>
      <c r="D97" s="255" t="s">
        <v>263</v>
      </c>
      <c r="E97" s="256">
        <f>人物卡!P15*4</f>
        <v>0</v>
      </c>
      <c r="F97" s="257" t="s">
        <v>495</v>
      </c>
    </row>
    <row r="98" spans="1:6">
      <c r="A98" s="249">
        <v>96</v>
      </c>
      <c r="B98" s="258" t="s">
        <v>496</v>
      </c>
      <c r="C98" s="259" t="s">
        <v>291</v>
      </c>
      <c r="D98" s="260" t="s">
        <v>263</v>
      </c>
      <c r="E98" s="261">
        <f>人物卡!P15*4</f>
        <v>0</v>
      </c>
      <c r="F98" s="262" t="s">
        <v>497</v>
      </c>
    </row>
    <row r="99" spans="1:6">
      <c r="A99" s="252">
        <v>97</v>
      </c>
      <c r="B99" s="253" t="s">
        <v>498</v>
      </c>
      <c r="C99" s="254" t="s">
        <v>291</v>
      </c>
      <c r="D99" s="255" t="s">
        <v>263</v>
      </c>
      <c r="E99" s="256">
        <f>人物卡!P15*4</f>
        <v>0</v>
      </c>
      <c r="F99" s="257" t="s">
        <v>499</v>
      </c>
    </row>
    <row r="100" spans="1:6">
      <c r="A100" s="249">
        <v>98</v>
      </c>
      <c r="B100" s="258" t="s">
        <v>500</v>
      </c>
      <c r="C100" s="259" t="s">
        <v>300</v>
      </c>
      <c r="D100" s="260" t="s">
        <v>263</v>
      </c>
      <c r="E100" s="261">
        <f>人物卡!P15*4</f>
        <v>0</v>
      </c>
      <c r="F100" s="262" t="s">
        <v>501</v>
      </c>
    </row>
    <row r="101" ht="17.25" customHeight="1" spans="1:6">
      <c r="A101" s="252">
        <v>99</v>
      </c>
      <c r="B101" s="253" t="s">
        <v>502</v>
      </c>
      <c r="C101" s="254" t="s">
        <v>251</v>
      </c>
      <c r="D101" s="255" t="s">
        <v>339</v>
      </c>
      <c r="E101" s="256">
        <f>人物卡!P15*2+人物卡!J15*2</f>
        <v>0</v>
      </c>
      <c r="F101" s="257" t="s">
        <v>503</v>
      </c>
    </row>
    <row r="102" spans="1:6">
      <c r="A102" s="249">
        <v>100</v>
      </c>
      <c r="B102" s="258" t="s">
        <v>504</v>
      </c>
      <c r="C102" s="259" t="s">
        <v>279</v>
      </c>
      <c r="D102" s="260" t="s">
        <v>263</v>
      </c>
      <c r="E102" s="261">
        <f>人物卡!P15*4</f>
        <v>0</v>
      </c>
      <c r="F102" s="262" t="s">
        <v>505</v>
      </c>
    </row>
    <row r="103" ht="17.25" customHeight="1" spans="1:6">
      <c r="A103" s="252">
        <v>101</v>
      </c>
      <c r="B103" s="253" t="s">
        <v>506</v>
      </c>
      <c r="C103" s="254" t="s">
        <v>291</v>
      </c>
      <c r="D103" s="255" t="s">
        <v>343</v>
      </c>
      <c r="E103" s="256">
        <f>人物卡!P15*2+MAX(人物卡!J15,人物卡!J13)*2</f>
        <v>0</v>
      </c>
      <c r="F103" s="257" t="s">
        <v>507</v>
      </c>
    </row>
    <row r="104" ht="17.25" customHeight="1" spans="1:6">
      <c r="A104" s="249">
        <v>102</v>
      </c>
      <c r="B104" s="258" t="s">
        <v>508</v>
      </c>
      <c r="C104" s="259" t="s">
        <v>300</v>
      </c>
      <c r="D104" s="260" t="s">
        <v>354</v>
      </c>
      <c r="E104" s="261">
        <f>人物卡!P15*2+MAX(人物卡!J15,人物卡!J13)*2</f>
        <v>0</v>
      </c>
      <c r="F104" s="262" t="s">
        <v>509</v>
      </c>
    </row>
    <row r="105" ht="16.5" customHeight="1" spans="1:6">
      <c r="A105" s="252">
        <v>103</v>
      </c>
      <c r="B105" s="253" t="s">
        <v>510</v>
      </c>
      <c r="C105" s="254" t="s">
        <v>291</v>
      </c>
      <c r="D105" s="255" t="s">
        <v>288</v>
      </c>
      <c r="E105" s="256">
        <f>人物卡!P15*2+MAX(人物卡!J13,人物卡!D13)*2</f>
        <v>0</v>
      </c>
      <c r="F105" s="257" t="s">
        <v>511</v>
      </c>
    </row>
    <row r="106" ht="17.25" customHeight="1" spans="1:6">
      <c r="A106" s="249">
        <v>104</v>
      </c>
      <c r="B106" s="258" t="s">
        <v>512</v>
      </c>
      <c r="C106" s="259" t="s">
        <v>351</v>
      </c>
      <c r="D106" s="260" t="s">
        <v>354</v>
      </c>
      <c r="E106" s="261">
        <f>人物卡!P15*2+MAX(人物卡!J15,人物卡!J13)*2</f>
        <v>0</v>
      </c>
      <c r="F106" s="262" t="s">
        <v>513</v>
      </c>
    </row>
    <row r="107" spans="1:6">
      <c r="A107" s="252">
        <v>105</v>
      </c>
      <c r="B107" s="253" t="s">
        <v>514</v>
      </c>
      <c r="C107" s="254" t="s">
        <v>515</v>
      </c>
      <c r="D107" s="255" t="s">
        <v>263</v>
      </c>
      <c r="E107" s="256">
        <f>人物卡!P15*4</f>
        <v>0</v>
      </c>
      <c r="F107" s="257" t="s">
        <v>516</v>
      </c>
    </row>
    <row r="108" ht="16.5" customHeight="1" spans="1:6">
      <c r="A108" s="249">
        <v>106</v>
      </c>
      <c r="B108" s="258" t="s">
        <v>517</v>
      </c>
      <c r="C108" s="259" t="s">
        <v>518</v>
      </c>
      <c r="D108" s="260" t="s">
        <v>288</v>
      </c>
      <c r="E108" s="261">
        <f>人物卡!P15*2+MAX(人物卡!J13,人物卡!D13)*2</f>
        <v>0</v>
      </c>
      <c r="F108" s="262" t="s">
        <v>519</v>
      </c>
    </row>
    <row r="109" ht="16.5" customHeight="1" spans="1:6">
      <c r="A109" s="252">
        <v>107</v>
      </c>
      <c r="B109" s="253" t="s">
        <v>520</v>
      </c>
      <c r="C109" s="254" t="s">
        <v>521</v>
      </c>
      <c r="D109" s="255" t="s">
        <v>288</v>
      </c>
      <c r="E109" s="256">
        <f>人物卡!P15*2+MAX(人物卡!J13,人物卡!D13)*2</f>
        <v>0</v>
      </c>
      <c r="F109" s="257" t="s">
        <v>522</v>
      </c>
    </row>
    <row r="110" spans="1:6">
      <c r="A110" s="249">
        <v>108</v>
      </c>
      <c r="B110" s="258" t="s">
        <v>523</v>
      </c>
      <c r="C110" s="259" t="s">
        <v>300</v>
      </c>
      <c r="D110" s="260" t="s">
        <v>263</v>
      </c>
      <c r="E110" s="261">
        <f>人物卡!P15*4</f>
        <v>0</v>
      </c>
      <c r="F110" s="262" t="s">
        <v>524</v>
      </c>
    </row>
    <row r="111" spans="1:6">
      <c r="A111" s="252">
        <v>109</v>
      </c>
      <c r="B111" s="253" t="s">
        <v>525</v>
      </c>
      <c r="C111" s="254" t="s">
        <v>490</v>
      </c>
      <c r="D111" s="255" t="s">
        <v>263</v>
      </c>
      <c r="E111" s="256">
        <f>人物卡!P15*4</f>
        <v>0</v>
      </c>
      <c r="F111" s="257" t="s">
        <v>526</v>
      </c>
    </row>
    <row r="112" ht="17.25" customHeight="1" spans="1:6">
      <c r="A112" s="249">
        <v>110</v>
      </c>
      <c r="B112" s="258" t="s">
        <v>527</v>
      </c>
      <c r="C112" s="259" t="s">
        <v>247</v>
      </c>
      <c r="D112" s="260" t="s">
        <v>419</v>
      </c>
      <c r="E112" s="261">
        <f>人物卡!P15*2+MAX(人物卡!J15,人物卡!J13)*2</f>
        <v>0</v>
      </c>
      <c r="F112" s="262" t="s">
        <v>528</v>
      </c>
    </row>
    <row r="113" spans="1:6">
      <c r="A113" s="252">
        <v>111</v>
      </c>
      <c r="B113" s="253" t="s">
        <v>529</v>
      </c>
      <c r="C113" s="254" t="s">
        <v>247</v>
      </c>
      <c r="D113" s="255" t="s">
        <v>263</v>
      </c>
      <c r="E113" s="256">
        <f>人物卡!P15*4</f>
        <v>0</v>
      </c>
      <c r="F113" s="257" t="s">
        <v>530</v>
      </c>
    </row>
    <row r="114" spans="1:6">
      <c r="A114" s="249">
        <v>112</v>
      </c>
      <c r="B114" s="258" t="s">
        <v>531</v>
      </c>
      <c r="C114" s="259" t="s">
        <v>532</v>
      </c>
      <c r="D114" s="260" t="s">
        <v>263</v>
      </c>
      <c r="E114" s="261">
        <f>人物卡!P15*4</f>
        <v>0</v>
      </c>
      <c r="F114" s="262" t="s">
        <v>533</v>
      </c>
    </row>
    <row r="115" ht="16.5" customHeight="1" spans="1:6">
      <c r="A115" s="252">
        <v>113</v>
      </c>
      <c r="B115" s="253" t="s">
        <v>534</v>
      </c>
      <c r="C115" s="254" t="s">
        <v>448</v>
      </c>
      <c r="D115" s="255" t="s">
        <v>267</v>
      </c>
      <c r="E115" s="256">
        <f>人物卡!P15*2+MAX(人物卡!J15,人物卡!P13)*2</f>
        <v>0</v>
      </c>
      <c r="F115" s="257" t="s">
        <v>535</v>
      </c>
    </row>
    <row r="116" ht="14.25" spans="1:6">
      <c r="A116" s="263">
        <v>114</v>
      </c>
      <c r="B116" s="264" t="s">
        <v>536</v>
      </c>
      <c r="C116" s="265" t="s">
        <v>251</v>
      </c>
      <c r="D116" s="266" t="s">
        <v>263</v>
      </c>
      <c r="E116" s="267">
        <f>人物卡!P15*4</f>
        <v>0</v>
      </c>
      <c r="F116" s="268" t="s">
        <v>537</v>
      </c>
    </row>
  </sheetData>
  <sheetProtection selectLockedCells="1"/>
  <mergeCells count="1">
    <mergeCell ref="B2:F2"/>
  </mergeCell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
  <sheetViews>
    <sheetView workbookViewId="0">
      <selection activeCell="S3" sqref="S3"/>
    </sheetView>
  </sheetViews>
  <sheetFormatPr defaultColWidth="9" defaultRowHeight="13.5"/>
  <cols>
    <col min="1" max="11" width="10.8666666666667" customWidth="1"/>
    <col min="17" max="17" width="10.375" customWidth="1"/>
  </cols>
  <sheetData>
    <row r="1" ht="16.5" spans="1:24">
      <c r="A1" s="228">
        <v>9</v>
      </c>
      <c r="B1" s="229" t="s">
        <v>538</v>
      </c>
      <c r="C1" s="230" t="s">
        <v>539</v>
      </c>
      <c r="D1" s="230" t="s">
        <v>540</v>
      </c>
      <c r="E1" s="230" t="s">
        <v>541</v>
      </c>
      <c r="F1" s="230" t="s">
        <v>542</v>
      </c>
      <c r="G1" s="230" t="s">
        <v>543</v>
      </c>
      <c r="H1" s="230" t="s">
        <v>544</v>
      </c>
      <c r="I1" s="230" t="s">
        <v>545</v>
      </c>
      <c r="J1" s="230" t="s">
        <v>546</v>
      </c>
      <c r="K1" s="230" t="s">
        <v>547</v>
      </c>
      <c r="L1" s="230" t="s">
        <v>548</v>
      </c>
      <c r="M1" s="230" t="s">
        <v>549</v>
      </c>
      <c r="N1" s="230" t="s">
        <v>550</v>
      </c>
      <c r="O1" s="230" t="s">
        <v>551</v>
      </c>
      <c r="P1" s="230" t="s">
        <v>552</v>
      </c>
      <c r="Q1" s="230" t="s">
        <v>553</v>
      </c>
      <c r="R1" s="230" t="s">
        <v>554</v>
      </c>
      <c r="S1" s="230" t="s">
        <v>555</v>
      </c>
      <c r="T1" s="230" t="s">
        <v>437</v>
      </c>
      <c r="U1" s="230" t="s">
        <v>556</v>
      </c>
      <c r="V1" s="230" t="s">
        <v>296</v>
      </c>
      <c r="W1" s="230" t="s">
        <v>557</v>
      </c>
      <c r="X1" s="236" t="s">
        <v>558</v>
      </c>
    </row>
    <row r="2" ht="16.5" spans="1:24">
      <c r="A2" s="231">
        <v>8</v>
      </c>
      <c r="B2" s="229" t="s">
        <v>538</v>
      </c>
      <c r="C2" s="232" t="s">
        <v>559</v>
      </c>
      <c r="D2" s="232" t="s">
        <v>560</v>
      </c>
      <c r="E2" s="232" t="s">
        <v>561</v>
      </c>
      <c r="F2" s="232" t="s">
        <v>562</v>
      </c>
      <c r="G2" s="232" t="s">
        <v>563</v>
      </c>
      <c r="H2" s="232" t="s">
        <v>564</v>
      </c>
      <c r="I2" s="232" t="s">
        <v>565</v>
      </c>
      <c r="J2" s="232" t="s">
        <v>566</v>
      </c>
      <c r="K2" s="232" t="s">
        <v>567</v>
      </c>
      <c r="L2" s="232" t="s">
        <v>568</v>
      </c>
      <c r="M2" s="232" t="s">
        <v>569</v>
      </c>
      <c r="N2" s="232" t="s">
        <v>570</v>
      </c>
      <c r="O2" s="232" t="s">
        <v>571</v>
      </c>
      <c r="P2" s="232" t="s">
        <v>572</v>
      </c>
      <c r="Q2" s="232" t="s">
        <v>573</v>
      </c>
      <c r="R2" s="232" t="s">
        <v>574</v>
      </c>
      <c r="S2" s="232" t="s">
        <v>575</v>
      </c>
      <c r="T2" s="232" t="s">
        <v>576</v>
      </c>
      <c r="U2" s="232" t="s">
        <v>577</v>
      </c>
      <c r="V2" s="232" t="s">
        <v>578</v>
      </c>
      <c r="W2" s="232" t="s">
        <v>579</v>
      </c>
      <c r="X2" s="237" t="s">
        <v>580</v>
      </c>
    </row>
    <row r="3" ht="16.5" spans="1:24">
      <c r="A3" s="231">
        <v>7</v>
      </c>
      <c r="B3" s="229" t="s">
        <v>538</v>
      </c>
      <c r="C3" s="232" t="s">
        <v>581</v>
      </c>
      <c r="D3" s="232" t="s">
        <v>582</v>
      </c>
      <c r="E3" s="232" t="s">
        <v>583</v>
      </c>
      <c r="F3" s="232" t="s">
        <v>584</v>
      </c>
      <c r="G3" s="232" t="s">
        <v>585</v>
      </c>
      <c r="H3" s="232" t="s">
        <v>586</v>
      </c>
      <c r="I3" s="232" t="s">
        <v>587</v>
      </c>
      <c r="J3" s="232" t="s">
        <v>588</v>
      </c>
      <c r="K3" s="232" t="s">
        <v>589</v>
      </c>
      <c r="L3" s="232" t="s">
        <v>590</v>
      </c>
      <c r="M3" s="232" t="s">
        <v>591</v>
      </c>
      <c r="N3" s="232" t="s">
        <v>592</v>
      </c>
      <c r="O3" s="232" t="s">
        <v>593</v>
      </c>
      <c r="P3" s="232" t="s">
        <v>594</v>
      </c>
      <c r="Q3" s="232" t="s">
        <v>595</v>
      </c>
      <c r="R3" s="232" t="s">
        <v>596</v>
      </c>
      <c r="S3" s="232" t="s">
        <v>597</v>
      </c>
      <c r="T3" s="232" t="s">
        <v>598</v>
      </c>
      <c r="U3" s="232" t="s">
        <v>599</v>
      </c>
      <c r="V3" s="232" t="s">
        <v>600</v>
      </c>
      <c r="W3" s="232" t="s">
        <v>601</v>
      </c>
      <c r="X3" s="237" t="s">
        <v>602</v>
      </c>
    </row>
    <row r="4" ht="16.5" spans="1:24">
      <c r="A4" s="231">
        <v>6</v>
      </c>
      <c r="B4" s="229" t="s">
        <v>538</v>
      </c>
      <c r="C4" s="232" t="s">
        <v>603</v>
      </c>
      <c r="D4" s="232" t="s">
        <v>604</v>
      </c>
      <c r="E4" s="232" t="s">
        <v>605</v>
      </c>
      <c r="F4" s="232" t="s">
        <v>606</v>
      </c>
      <c r="G4" s="232" t="s">
        <v>607</v>
      </c>
      <c r="H4" s="232" t="s">
        <v>608</v>
      </c>
      <c r="I4" s="232" t="s">
        <v>609</v>
      </c>
      <c r="J4" s="232" t="s">
        <v>610</v>
      </c>
      <c r="K4" s="232" t="s">
        <v>611</v>
      </c>
      <c r="L4" s="232" t="s">
        <v>612</v>
      </c>
      <c r="M4" s="232" t="s">
        <v>613</v>
      </c>
      <c r="N4" s="232" t="s">
        <v>614</v>
      </c>
      <c r="O4" s="232" t="s">
        <v>615</v>
      </c>
      <c r="P4" s="232" t="s">
        <v>616</v>
      </c>
      <c r="Q4" s="232" t="s">
        <v>617</v>
      </c>
      <c r="R4" s="232" t="s">
        <v>618</v>
      </c>
      <c r="S4" s="232" t="s">
        <v>428</v>
      </c>
      <c r="T4" s="232" t="s">
        <v>619</v>
      </c>
      <c r="U4" s="232" t="s">
        <v>620</v>
      </c>
      <c r="V4" s="232" t="s">
        <v>621</v>
      </c>
      <c r="W4" s="232" t="s">
        <v>622</v>
      </c>
      <c r="X4" s="237" t="s">
        <v>623</v>
      </c>
    </row>
    <row r="5" ht="16.5" spans="1:24">
      <c r="A5" s="231">
        <v>5</v>
      </c>
      <c r="B5" s="229" t="s">
        <v>538</v>
      </c>
      <c r="C5" s="232" t="s">
        <v>624</v>
      </c>
      <c r="D5" s="232" t="s">
        <v>625</v>
      </c>
      <c r="E5" s="232" t="s">
        <v>626</v>
      </c>
      <c r="F5" s="232" t="s">
        <v>627</v>
      </c>
      <c r="G5" s="232" t="s">
        <v>628</v>
      </c>
      <c r="H5" s="232" t="s">
        <v>629</v>
      </c>
      <c r="I5" s="232" t="s">
        <v>630</v>
      </c>
      <c r="J5" s="232" t="s">
        <v>631</v>
      </c>
      <c r="K5" s="232" t="s">
        <v>632</v>
      </c>
      <c r="L5" s="232" t="s">
        <v>462</v>
      </c>
      <c r="M5" s="232" t="s">
        <v>633</v>
      </c>
      <c r="N5" s="232" t="s">
        <v>634</v>
      </c>
      <c r="O5" s="232" t="s">
        <v>635</v>
      </c>
      <c r="P5" s="232" t="s">
        <v>636</v>
      </c>
      <c r="Q5" s="232" t="s">
        <v>637</v>
      </c>
      <c r="R5" s="232" t="s">
        <v>638</v>
      </c>
      <c r="S5" s="232" t="s">
        <v>639</v>
      </c>
      <c r="T5" s="232" t="s">
        <v>640</v>
      </c>
      <c r="U5" s="232" t="s">
        <v>641</v>
      </c>
      <c r="V5" s="232" t="s">
        <v>642</v>
      </c>
      <c r="W5" s="232" t="s">
        <v>643</v>
      </c>
      <c r="X5" s="237" t="s">
        <v>644</v>
      </c>
    </row>
    <row r="6" ht="16.5" spans="1:24">
      <c r="A6" s="231">
        <v>4</v>
      </c>
      <c r="B6" s="229" t="s">
        <v>538</v>
      </c>
      <c r="C6" s="232" t="s">
        <v>645</v>
      </c>
      <c r="D6" s="232" t="s">
        <v>646</v>
      </c>
      <c r="E6" s="232" t="s">
        <v>647</v>
      </c>
      <c r="F6" s="232" t="s">
        <v>648</v>
      </c>
      <c r="G6" s="232" t="s">
        <v>649</v>
      </c>
      <c r="H6" s="232" t="s">
        <v>650</v>
      </c>
      <c r="I6" s="232" t="s">
        <v>651</v>
      </c>
      <c r="J6" s="232" t="s">
        <v>459</v>
      </c>
      <c r="K6" s="232" t="s">
        <v>652</v>
      </c>
      <c r="L6" s="232" t="s">
        <v>653</v>
      </c>
      <c r="M6" s="232" t="s">
        <v>654</v>
      </c>
      <c r="N6" s="232" t="s">
        <v>655</v>
      </c>
      <c r="O6" s="232" t="s">
        <v>656</v>
      </c>
      <c r="P6" s="232" t="s">
        <v>657</v>
      </c>
      <c r="Q6" s="232" t="s">
        <v>658</v>
      </c>
      <c r="R6" s="232" t="s">
        <v>659</v>
      </c>
      <c r="S6" s="232" t="s">
        <v>660</v>
      </c>
      <c r="T6" s="232" t="s">
        <v>661</v>
      </c>
      <c r="U6" s="232" t="s">
        <v>662</v>
      </c>
      <c r="V6" s="232" t="s">
        <v>663</v>
      </c>
      <c r="W6" s="232" t="s">
        <v>664</v>
      </c>
      <c r="X6" s="237" t="s">
        <v>665</v>
      </c>
    </row>
    <row r="7" ht="16.5" spans="1:24">
      <c r="A7" s="231">
        <v>3</v>
      </c>
      <c r="B7" s="229" t="s">
        <v>538</v>
      </c>
      <c r="C7" s="232" t="s">
        <v>666</v>
      </c>
      <c r="D7" s="232" t="s">
        <v>667</v>
      </c>
      <c r="E7" s="232" t="s">
        <v>668</v>
      </c>
      <c r="F7" s="232" t="s">
        <v>669</v>
      </c>
      <c r="G7" s="232" t="s">
        <v>670</v>
      </c>
      <c r="H7" s="232" t="s">
        <v>671</v>
      </c>
      <c r="I7" s="232" t="s">
        <v>672</v>
      </c>
      <c r="J7" s="232" t="s">
        <v>673</v>
      </c>
      <c r="K7" s="232" t="s">
        <v>674</v>
      </c>
      <c r="L7" s="232" t="s">
        <v>675</v>
      </c>
      <c r="M7" s="232" t="s">
        <v>676</v>
      </c>
      <c r="N7" s="232" t="s">
        <v>677</v>
      </c>
      <c r="O7" s="232" t="s">
        <v>678</v>
      </c>
      <c r="P7" s="232" t="s">
        <v>679</v>
      </c>
      <c r="Q7" s="232" t="s">
        <v>680</v>
      </c>
      <c r="R7" s="232" t="s">
        <v>681</v>
      </c>
      <c r="S7" s="232" t="s">
        <v>682</v>
      </c>
      <c r="T7" s="232" t="s">
        <v>683</v>
      </c>
      <c r="U7" s="232" t="s">
        <v>684</v>
      </c>
      <c r="V7" s="232" t="s">
        <v>685</v>
      </c>
      <c r="W7" s="232" t="s">
        <v>686</v>
      </c>
      <c r="X7" s="237" t="s">
        <v>687</v>
      </c>
    </row>
    <row r="8" ht="16.5" spans="1:24">
      <c r="A8" s="231">
        <v>2</v>
      </c>
      <c r="B8" s="229" t="s">
        <v>538</v>
      </c>
      <c r="C8" s="232" t="s">
        <v>688</v>
      </c>
      <c r="D8" s="232" t="s">
        <v>689</v>
      </c>
      <c r="E8" s="232" t="s">
        <v>690</v>
      </c>
      <c r="F8" s="232" t="s">
        <v>691</v>
      </c>
      <c r="G8" s="232" t="s">
        <v>692</v>
      </c>
      <c r="H8" s="232" t="s">
        <v>693</v>
      </c>
      <c r="I8" s="232" t="s">
        <v>694</v>
      </c>
      <c r="J8" s="232" t="s">
        <v>695</v>
      </c>
      <c r="K8" s="232" t="s">
        <v>696</v>
      </c>
      <c r="L8" s="232" t="s">
        <v>697</v>
      </c>
      <c r="M8" s="232" t="s">
        <v>698</v>
      </c>
      <c r="N8" s="232" t="s">
        <v>699</v>
      </c>
      <c r="O8" s="232" t="s">
        <v>700</v>
      </c>
      <c r="P8" s="232" t="s">
        <v>701</v>
      </c>
      <c r="Q8" s="232" t="s">
        <v>702</v>
      </c>
      <c r="R8" s="232" t="s">
        <v>703</v>
      </c>
      <c r="S8" s="232" t="s">
        <v>704</v>
      </c>
      <c r="T8" s="232" t="s">
        <v>705</v>
      </c>
      <c r="U8" s="232" t="s">
        <v>706</v>
      </c>
      <c r="V8" s="232" t="s">
        <v>707</v>
      </c>
      <c r="W8" s="232" t="s">
        <v>708</v>
      </c>
      <c r="X8" s="237" t="s">
        <v>709</v>
      </c>
    </row>
    <row r="9" ht="16.5" spans="1:24">
      <c r="A9" s="231">
        <v>1</v>
      </c>
      <c r="B9" s="229" t="s">
        <v>538</v>
      </c>
      <c r="C9" s="232" t="s">
        <v>710</v>
      </c>
      <c r="D9" s="232" t="s">
        <v>711</v>
      </c>
      <c r="E9" s="232" t="s">
        <v>712</v>
      </c>
      <c r="F9" s="232" t="s">
        <v>713</v>
      </c>
      <c r="G9" s="232" t="s">
        <v>714</v>
      </c>
      <c r="H9" s="232" t="s">
        <v>715</v>
      </c>
      <c r="I9" s="232" t="s">
        <v>716</v>
      </c>
      <c r="J9" s="232" t="s">
        <v>717</v>
      </c>
      <c r="K9" s="232" t="s">
        <v>718</v>
      </c>
      <c r="L9" s="232" t="s">
        <v>719</v>
      </c>
      <c r="M9" s="232" t="s">
        <v>720</v>
      </c>
      <c r="N9" s="232" t="s">
        <v>721</v>
      </c>
      <c r="O9" s="232" t="s">
        <v>722</v>
      </c>
      <c r="P9" s="232" t="s">
        <v>723</v>
      </c>
      <c r="Q9" s="232" t="s">
        <v>724</v>
      </c>
      <c r="R9" s="232" t="s">
        <v>725</v>
      </c>
      <c r="S9" s="232" t="s">
        <v>726</v>
      </c>
      <c r="T9" s="232" t="s">
        <v>727</v>
      </c>
      <c r="U9" s="232" t="s">
        <v>728</v>
      </c>
      <c r="V9" s="232" t="s">
        <v>729</v>
      </c>
      <c r="W9" s="232" t="s">
        <v>730</v>
      </c>
      <c r="X9" s="237" t="s">
        <v>731</v>
      </c>
    </row>
    <row r="10" ht="16.5" spans="1:24">
      <c r="A10" s="231">
        <v>0</v>
      </c>
      <c r="B10" s="229" t="s">
        <v>538</v>
      </c>
      <c r="C10" s="232" t="s">
        <v>732</v>
      </c>
      <c r="D10" s="232" t="s">
        <v>733</v>
      </c>
      <c r="E10" s="232" t="s">
        <v>734</v>
      </c>
      <c r="F10" s="232" t="s">
        <v>735</v>
      </c>
      <c r="G10" s="232" t="s">
        <v>736</v>
      </c>
      <c r="H10" s="232" t="s">
        <v>737</v>
      </c>
      <c r="I10" s="232" t="s">
        <v>738</v>
      </c>
      <c r="J10" s="232" t="s">
        <v>739</v>
      </c>
      <c r="K10" s="232" t="s">
        <v>740</v>
      </c>
      <c r="L10" s="232" t="s">
        <v>741</v>
      </c>
      <c r="M10" s="232" t="s">
        <v>742</v>
      </c>
      <c r="N10" s="232" t="s">
        <v>743</v>
      </c>
      <c r="O10" s="232" t="s">
        <v>744</v>
      </c>
      <c r="P10" s="232" t="s">
        <v>745</v>
      </c>
      <c r="Q10" s="232" t="s">
        <v>746</v>
      </c>
      <c r="R10" s="232" t="s">
        <v>747</v>
      </c>
      <c r="S10" s="232" t="s">
        <v>748</v>
      </c>
      <c r="T10" s="232" t="s">
        <v>749</v>
      </c>
      <c r="U10" s="232" t="s">
        <v>750</v>
      </c>
      <c r="V10" s="232" t="s">
        <v>751</v>
      </c>
      <c r="W10" s="232" t="s">
        <v>752</v>
      </c>
      <c r="X10" s="237" t="s">
        <v>753</v>
      </c>
    </row>
    <row r="11" ht="17.25" spans="1:24">
      <c r="A11" s="233"/>
      <c r="B11" s="234">
        <v>0</v>
      </c>
      <c r="C11" s="235">
        <v>1</v>
      </c>
      <c r="D11" s="235">
        <v>2</v>
      </c>
      <c r="E11" s="235">
        <v>3</v>
      </c>
      <c r="F11" s="235">
        <v>4</v>
      </c>
      <c r="G11" s="235">
        <v>5</v>
      </c>
      <c r="H11" s="235">
        <v>6</v>
      </c>
      <c r="I11" s="235">
        <v>7</v>
      </c>
      <c r="J11" s="235">
        <v>8</v>
      </c>
      <c r="K11" s="235">
        <v>9</v>
      </c>
      <c r="L11" s="235">
        <v>10</v>
      </c>
      <c r="M11" s="235">
        <v>11</v>
      </c>
      <c r="N11" s="235">
        <v>12</v>
      </c>
      <c r="O11" s="235">
        <v>13</v>
      </c>
      <c r="P11" s="235">
        <v>14</v>
      </c>
      <c r="Q11" s="235">
        <v>15</v>
      </c>
      <c r="R11" s="235">
        <v>16</v>
      </c>
      <c r="S11" s="235">
        <v>17</v>
      </c>
      <c r="T11" s="235">
        <v>18</v>
      </c>
      <c r="U11" s="235">
        <v>19</v>
      </c>
      <c r="V11" s="235">
        <v>20</v>
      </c>
      <c r="W11" s="235">
        <v>21</v>
      </c>
      <c r="X11" s="238">
        <v>22</v>
      </c>
    </row>
  </sheetData>
  <sheetProtection selectLockedCells="1"/>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
  <sheetViews>
    <sheetView showGridLines="0" workbookViewId="0">
      <selection activeCell="A2" sqref="A2"/>
    </sheetView>
  </sheetViews>
  <sheetFormatPr defaultColWidth="10" defaultRowHeight="16.5"/>
  <cols>
    <col min="1" max="1" width="8.21666666666667" style="12" customWidth="1"/>
    <col min="2" max="2" width="13" style="12" customWidth="1"/>
    <col min="3" max="10" width="8.21666666666667" style="12" customWidth="1"/>
    <col min="11" max="11" width="11.2166666666667" style="12" customWidth="1"/>
    <col min="12" max="16384" width="8.21666666666667" style="12" customWidth="1"/>
  </cols>
  <sheetData>
    <row r="2" s="215" customFormat="1" spans="2:15">
      <c r="B2" s="216" t="s">
        <v>754</v>
      </c>
      <c r="C2" s="217"/>
      <c r="E2" s="216" t="s">
        <v>755</v>
      </c>
      <c r="F2" s="217"/>
      <c r="H2" s="216" t="s">
        <v>147</v>
      </c>
      <c r="I2" s="217"/>
      <c r="K2" s="216" t="s">
        <v>756</v>
      </c>
      <c r="L2" s="217"/>
      <c r="N2" s="216" t="s">
        <v>757</v>
      </c>
      <c r="O2" s="217"/>
    </row>
    <row r="3" spans="2:15">
      <c r="B3" s="218" t="s">
        <v>758</v>
      </c>
      <c r="C3" s="219" t="s">
        <v>759</v>
      </c>
      <c r="E3" s="218" t="s">
        <v>758</v>
      </c>
      <c r="F3" s="219" t="s">
        <v>759</v>
      </c>
      <c r="H3" s="218" t="s">
        <v>758</v>
      </c>
      <c r="I3" s="219" t="s">
        <v>759</v>
      </c>
      <c r="K3" s="218" t="s">
        <v>758</v>
      </c>
      <c r="L3" s="219" t="s">
        <v>759</v>
      </c>
      <c r="N3" s="222" t="s">
        <v>758</v>
      </c>
      <c r="O3" s="223" t="s">
        <v>759</v>
      </c>
    </row>
    <row r="4" spans="2:15">
      <c r="B4" s="220" t="s">
        <v>84</v>
      </c>
      <c r="C4" s="221">
        <v>5</v>
      </c>
      <c r="E4" s="220" t="s">
        <v>760</v>
      </c>
      <c r="F4" s="221">
        <v>1</v>
      </c>
      <c r="H4" s="220" t="s">
        <v>114</v>
      </c>
      <c r="I4" s="221">
        <v>5</v>
      </c>
      <c r="K4" s="220" t="s">
        <v>119</v>
      </c>
      <c r="L4" s="221">
        <v>25</v>
      </c>
      <c r="N4" s="220" t="s">
        <v>761</v>
      </c>
      <c r="O4" s="221">
        <v>1</v>
      </c>
    </row>
    <row r="5" spans="2:15">
      <c r="B5" s="222" t="s">
        <v>86</v>
      </c>
      <c r="C5" s="223">
        <v>5</v>
      </c>
      <c r="E5" s="222" t="s">
        <v>762</v>
      </c>
      <c r="F5" s="223">
        <v>1</v>
      </c>
      <c r="H5" s="222" t="s">
        <v>763</v>
      </c>
      <c r="I5" s="223">
        <v>10</v>
      </c>
      <c r="K5" s="222" t="s">
        <v>121</v>
      </c>
      <c r="L5" s="223">
        <v>15</v>
      </c>
      <c r="N5" s="222" t="s">
        <v>764</v>
      </c>
      <c r="O5" s="223">
        <v>1</v>
      </c>
    </row>
    <row r="6" spans="2:15">
      <c r="B6" s="220" t="s">
        <v>89</v>
      </c>
      <c r="C6" s="221">
        <v>5</v>
      </c>
      <c r="E6" s="220" t="s">
        <v>765</v>
      </c>
      <c r="F6" s="221">
        <v>1</v>
      </c>
      <c r="H6" s="220" t="s">
        <v>108</v>
      </c>
      <c r="I6" s="221">
        <v>25</v>
      </c>
      <c r="K6" s="220" t="s">
        <v>766</v>
      </c>
      <c r="L6" s="221">
        <v>15</v>
      </c>
      <c r="N6" s="220" t="s">
        <v>767</v>
      </c>
      <c r="O6" s="221">
        <v>5</v>
      </c>
    </row>
    <row r="7" spans="2:15">
      <c r="B7" s="222" t="s">
        <v>768</v>
      </c>
      <c r="C7" s="223">
        <v>5</v>
      </c>
      <c r="E7" s="222" t="s">
        <v>88</v>
      </c>
      <c r="F7" s="223">
        <v>1</v>
      </c>
      <c r="H7" s="222" t="s">
        <v>769</v>
      </c>
      <c r="I7" s="223">
        <v>15</v>
      </c>
      <c r="K7" s="222" t="s">
        <v>770</v>
      </c>
      <c r="L7" s="223">
        <v>10</v>
      </c>
      <c r="N7" s="222" t="s">
        <v>771</v>
      </c>
      <c r="O7" s="223">
        <v>1</v>
      </c>
    </row>
    <row r="8" spans="2:15">
      <c r="B8" s="220" t="s">
        <v>772</v>
      </c>
      <c r="C8" s="221">
        <v>5</v>
      </c>
      <c r="E8" s="220" t="s">
        <v>773</v>
      </c>
      <c r="F8" s="221">
        <v>1</v>
      </c>
      <c r="H8" s="220" t="s">
        <v>111</v>
      </c>
      <c r="I8" s="221">
        <v>20</v>
      </c>
      <c r="K8" s="220" t="s">
        <v>774</v>
      </c>
      <c r="L8" s="221">
        <v>10</v>
      </c>
      <c r="N8" s="220" t="s">
        <v>775</v>
      </c>
      <c r="O8" s="221">
        <v>1</v>
      </c>
    </row>
    <row r="9" ht="17.25" spans="2:15">
      <c r="B9" s="222" t="s">
        <v>776</v>
      </c>
      <c r="C9" s="223">
        <v>5</v>
      </c>
      <c r="E9" s="222" t="s">
        <v>90</v>
      </c>
      <c r="F9" s="223">
        <v>1</v>
      </c>
      <c r="H9" s="222" t="s">
        <v>777</v>
      </c>
      <c r="I9" s="223">
        <v>15</v>
      </c>
      <c r="K9" s="222" t="s">
        <v>117</v>
      </c>
      <c r="L9" s="223">
        <v>20</v>
      </c>
      <c r="N9" s="224" t="s">
        <v>110</v>
      </c>
      <c r="O9" s="227">
        <v>1</v>
      </c>
    </row>
    <row r="10" ht="17.25" spans="2:12">
      <c r="B10" s="220" t="s">
        <v>778</v>
      </c>
      <c r="C10" s="221">
        <v>5</v>
      </c>
      <c r="E10" s="220" t="s">
        <v>779</v>
      </c>
      <c r="F10" s="221">
        <v>1</v>
      </c>
      <c r="H10" s="220" t="s">
        <v>780</v>
      </c>
      <c r="I10" s="221">
        <v>10</v>
      </c>
      <c r="K10" s="225" t="s">
        <v>781</v>
      </c>
      <c r="L10" s="226">
        <v>10</v>
      </c>
    </row>
    <row r="11" ht="17.25" spans="2:9">
      <c r="B11" s="222" t="s">
        <v>782</v>
      </c>
      <c r="C11" s="223">
        <v>5</v>
      </c>
      <c r="E11" s="222" t="s">
        <v>92</v>
      </c>
      <c r="F11" s="223">
        <v>1</v>
      </c>
      <c r="H11" s="224" t="s">
        <v>783</v>
      </c>
      <c r="I11" s="227">
        <v>20</v>
      </c>
    </row>
    <row r="12" spans="2:6">
      <c r="B12" s="220" t="s">
        <v>84</v>
      </c>
      <c r="C12" s="221">
        <v>5</v>
      </c>
      <c r="E12" s="220" t="s">
        <v>784</v>
      </c>
      <c r="F12" s="221">
        <v>1</v>
      </c>
    </row>
    <row r="13" spans="2:6">
      <c r="B13" s="222" t="s">
        <v>785</v>
      </c>
      <c r="C13" s="223">
        <v>5</v>
      </c>
      <c r="E13" s="222" t="s">
        <v>786</v>
      </c>
      <c r="F13" s="223">
        <v>1</v>
      </c>
    </row>
    <row r="14" spans="2:6">
      <c r="B14" s="220" t="s">
        <v>787</v>
      </c>
      <c r="C14" s="221">
        <v>5</v>
      </c>
      <c r="E14" s="220" t="s">
        <v>788</v>
      </c>
      <c r="F14" s="221">
        <v>1</v>
      </c>
    </row>
    <row r="15" spans="2:6">
      <c r="B15" s="222" t="s">
        <v>789</v>
      </c>
      <c r="C15" s="223">
        <v>5</v>
      </c>
      <c r="E15" s="222" t="s">
        <v>790</v>
      </c>
      <c r="F15" s="223">
        <v>1</v>
      </c>
    </row>
    <row r="16" ht="17.25" spans="2:6">
      <c r="B16" s="220" t="s">
        <v>791</v>
      </c>
      <c r="C16" s="221">
        <v>5</v>
      </c>
      <c r="E16" s="225" t="s">
        <v>792</v>
      </c>
      <c r="F16" s="226">
        <v>1</v>
      </c>
    </row>
    <row r="17" spans="2:3">
      <c r="B17" s="222" t="s">
        <v>793</v>
      </c>
      <c r="C17" s="223">
        <v>5</v>
      </c>
    </row>
    <row r="18" spans="2:3">
      <c r="B18" s="220" t="s">
        <v>794</v>
      </c>
      <c r="C18" s="221">
        <v>5</v>
      </c>
    </row>
    <row r="19" spans="2:3">
      <c r="B19" s="222" t="s">
        <v>795</v>
      </c>
      <c r="C19" s="223">
        <v>5</v>
      </c>
    </row>
    <row r="20" ht="17.25" spans="2:3">
      <c r="B20" s="225" t="s">
        <v>796</v>
      </c>
      <c r="C20" s="226">
        <v>5</v>
      </c>
    </row>
  </sheetData>
  <sheetProtection sheet="1" selectLockedCells="1" objects="1"/>
  <mergeCells count="6">
    <mergeCell ref="A1:P1"/>
    <mergeCell ref="B2:C2"/>
    <mergeCell ref="E2:F2"/>
    <mergeCell ref="H2:I2"/>
    <mergeCell ref="K2:L2"/>
    <mergeCell ref="N2:O2"/>
  </mergeCells>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ubmachine Gun (15%)" prompt="用于发射任何一把机械手枪或是半机枪；也包括使用连发的突击步枪。" sqref="K5"/>
    <dataValidation allowBlank="1" showInputMessage="1" showErrorMessage="1" promptTitle="Sword (20%)" prompt="所有半米长以上的刃器。" sqref="H8"/>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Whip (05%)" prompt="套牛绳和鞭子。" sqref="H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Chainsaw (10%)" prompt="即电锯&#10;第一个量产的瓦斯动力的链锯于1927 年面世；早期也有各种版本存在。" sqref="H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N5"/>
    <dataValidation allowBlank="1" showInputMessage="1" showErrorMessage="1" promptTitle="Heavy Weapons (10%)" prompt="用于榴弹发射器、反坦克火箭等。" sqref="K1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Axe (15%)" prompt="使用长柄斧的技能。如果是短柄小斧则使用打架。如果拿来投掷，使用投掷技能。" sqref="H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55"/>
  <sheetViews>
    <sheetView showGridLines="0" showRowColHeaders="0" workbookViewId="0">
      <selection activeCell="B2" sqref="B2:F2"/>
    </sheetView>
  </sheetViews>
  <sheetFormatPr defaultColWidth="9" defaultRowHeight="16.5" outlineLevelCol="5"/>
  <cols>
    <col min="1" max="1" width="9" style="194" customWidth="1"/>
    <col min="2" max="3" width="9.25" style="194" customWidth="1"/>
    <col min="4" max="4" width="11.25" style="194" customWidth="1"/>
    <col min="5" max="5" width="12.5" style="194" customWidth="1"/>
    <col min="6" max="6" width="10.75" style="194" customWidth="1"/>
    <col min="7" max="16384" width="9" style="194" customWidth="1"/>
  </cols>
  <sheetData>
    <row r="2" spans="2:6">
      <c r="B2" s="195" t="s">
        <v>797</v>
      </c>
      <c r="C2" s="196"/>
      <c r="D2" s="196"/>
      <c r="E2" s="196"/>
      <c r="F2" s="197"/>
    </row>
    <row r="3" spans="2:6">
      <c r="B3" s="198" t="s">
        <v>798</v>
      </c>
      <c r="C3" s="199" t="s">
        <v>95</v>
      </c>
      <c r="D3" s="199" t="s">
        <v>799</v>
      </c>
      <c r="E3" s="199" t="s">
        <v>800</v>
      </c>
      <c r="F3" s="200" t="s">
        <v>801</v>
      </c>
    </row>
    <row r="4" spans="2:6">
      <c r="B4" s="201" t="s">
        <v>802</v>
      </c>
      <c r="C4" s="202" t="s">
        <v>803</v>
      </c>
      <c r="D4" s="202" t="s">
        <v>804</v>
      </c>
      <c r="E4" s="202" t="s">
        <v>50</v>
      </c>
      <c r="F4" s="203" t="s">
        <v>804</v>
      </c>
    </row>
    <row r="5" spans="2:6">
      <c r="B5" s="204" t="s">
        <v>805</v>
      </c>
      <c r="C5" s="205" t="s">
        <v>806</v>
      </c>
      <c r="D5" s="206" t="s">
        <v>807</v>
      </c>
      <c r="E5" s="206" t="s">
        <v>808</v>
      </c>
      <c r="F5" s="207" t="s">
        <v>809</v>
      </c>
    </row>
    <row r="6" spans="2:6">
      <c r="B6" s="201" t="s">
        <v>810</v>
      </c>
      <c r="C6" s="202" t="s">
        <v>811</v>
      </c>
      <c r="D6" s="202" t="s">
        <v>808</v>
      </c>
      <c r="E6" s="208" t="s">
        <v>812</v>
      </c>
      <c r="F6" s="209" t="s">
        <v>813</v>
      </c>
    </row>
    <row r="7" spans="2:6">
      <c r="B7" s="204" t="s">
        <v>814</v>
      </c>
      <c r="C7" s="205" t="s">
        <v>815</v>
      </c>
      <c r="D7" s="205" t="s">
        <v>816</v>
      </c>
      <c r="E7" s="206" t="s">
        <v>817</v>
      </c>
      <c r="F7" s="207" t="s">
        <v>818</v>
      </c>
    </row>
    <row r="8" spans="2:6">
      <c r="B8" s="201" t="s">
        <v>819</v>
      </c>
      <c r="C8" s="202" t="s">
        <v>820</v>
      </c>
      <c r="D8" s="202" t="s">
        <v>821</v>
      </c>
      <c r="E8" s="208" t="s">
        <v>822</v>
      </c>
      <c r="F8" s="209" t="s">
        <v>823</v>
      </c>
    </row>
    <row r="9" spans="2:6">
      <c r="B9" s="204" t="s">
        <v>824</v>
      </c>
      <c r="C9" s="205" t="s">
        <v>825</v>
      </c>
      <c r="D9" s="205" t="s">
        <v>826</v>
      </c>
      <c r="E9" s="206" t="s">
        <v>827</v>
      </c>
      <c r="F9" s="207" t="s">
        <v>828</v>
      </c>
    </row>
    <row r="10" spans="2:6">
      <c r="B10" s="210" t="s">
        <v>829</v>
      </c>
      <c r="C10" s="208"/>
      <c r="D10" s="208"/>
      <c r="E10" s="208"/>
      <c r="F10" s="211"/>
    </row>
    <row r="11" spans="2:6">
      <c r="B11" s="212"/>
      <c r="C11" s="213"/>
      <c r="D11" s="213"/>
      <c r="E11" s="213"/>
      <c r="F11" s="214"/>
    </row>
    <row r="12" spans="2:6">
      <c r="B12"/>
      <c r="C12"/>
      <c r="D12"/>
      <c r="E12"/>
      <c r="F12"/>
    </row>
    <row r="13" spans="2:6">
      <c r="B13"/>
      <c r="C13"/>
      <c r="D13"/>
      <c r="E13"/>
      <c r="F13"/>
    </row>
    <row r="14" spans="2:6">
      <c r="B14"/>
      <c r="C14"/>
      <c r="D14"/>
      <c r="E14"/>
      <c r="F14"/>
    </row>
    <row r="15" spans="2:6">
      <c r="B15"/>
      <c r="C15"/>
      <c r="D15"/>
      <c r="E15"/>
      <c r="F15"/>
    </row>
    <row r="16" spans="2:6">
      <c r="B16"/>
      <c r="C16"/>
      <c r="D16"/>
      <c r="E16"/>
      <c r="F16"/>
    </row>
    <row r="17" spans="2:6">
      <c r="B17"/>
      <c r="C17"/>
      <c r="D17"/>
      <c r="E17"/>
      <c r="F17"/>
    </row>
    <row r="18" spans="2:6">
      <c r="B18"/>
      <c r="C18"/>
      <c r="D18"/>
      <c r="E18"/>
      <c r="F18"/>
    </row>
    <row r="19" spans="2:6">
      <c r="B19"/>
      <c r="C19"/>
      <c r="D19"/>
      <c r="E19"/>
      <c r="F19"/>
    </row>
    <row r="20" spans="2:6">
      <c r="B20"/>
      <c r="C20"/>
      <c r="D20"/>
      <c r="E20"/>
      <c r="F20"/>
    </row>
    <row r="21" spans="2:6">
      <c r="B21"/>
      <c r="C21"/>
      <c r="D21"/>
      <c r="E21"/>
      <c r="F21"/>
    </row>
    <row r="22" spans="2:6">
      <c r="B22"/>
      <c r="C22"/>
      <c r="D22"/>
      <c r="E22"/>
      <c r="F22"/>
    </row>
    <row r="23" spans="2:6">
      <c r="B23"/>
      <c r="C23"/>
      <c r="D23"/>
      <c r="E23"/>
      <c r="F23"/>
    </row>
    <row r="24" spans="2:6">
      <c r="B24"/>
      <c r="C24"/>
      <c r="D24"/>
      <c r="E24"/>
      <c r="F24"/>
    </row>
    <row r="25" spans="2:6">
      <c r="B25"/>
      <c r="C25"/>
      <c r="D25"/>
      <c r="E25"/>
      <c r="F25"/>
    </row>
    <row r="26" spans="2:6">
      <c r="B26"/>
      <c r="C26"/>
      <c r="D26"/>
      <c r="E26"/>
      <c r="F26"/>
    </row>
    <row r="27" spans="2:6">
      <c r="B27"/>
      <c r="C27"/>
      <c r="D27"/>
      <c r="E27"/>
      <c r="F27"/>
    </row>
    <row r="28" spans="2:6">
      <c r="B28"/>
      <c r="C28"/>
      <c r="D28"/>
      <c r="E28"/>
      <c r="F28"/>
    </row>
    <row r="29" spans="2:6">
      <c r="B29"/>
      <c r="C29"/>
      <c r="D29"/>
      <c r="E29"/>
      <c r="F29"/>
    </row>
    <row r="30" ht="17.25" customHeight="1" spans="2:6">
      <c r="B30"/>
      <c r="C30"/>
      <c r="D30"/>
      <c r="E30"/>
      <c r="F30"/>
    </row>
    <row r="31" spans="2:6">
      <c r="B31"/>
      <c r="C31"/>
      <c r="D31"/>
      <c r="E31"/>
      <c r="F31"/>
    </row>
    <row r="32" spans="2:6">
      <c r="B32"/>
      <c r="C32"/>
      <c r="D32"/>
      <c r="E32"/>
      <c r="F32"/>
    </row>
    <row r="33" spans="2:6">
      <c r="B33"/>
      <c r="C33"/>
      <c r="D33"/>
      <c r="E33"/>
      <c r="F33"/>
    </row>
    <row r="34" spans="2:6">
      <c r="B34"/>
      <c r="C34"/>
      <c r="D34"/>
      <c r="E34"/>
      <c r="F34"/>
    </row>
    <row r="35" spans="2:6">
      <c r="B35"/>
      <c r="C35"/>
      <c r="D35"/>
      <c r="E35"/>
      <c r="F35"/>
    </row>
    <row r="36" spans="2:6">
      <c r="B36"/>
      <c r="C36"/>
      <c r="D36"/>
      <c r="E36"/>
      <c r="F36"/>
    </row>
    <row r="37" spans="2:6">
      <c r="B37"/>
      <c r="C37"/>
      <c r="D37"/>
      <c r="E37"/>
      <c r="F37"/>
    </row>
    <row r="38" spans="2:6">
      <c r="B38"/>
      <c r="C38"/>
      <c r="D38"/>
      <c r="E38"/>
      <c r="F38"/>
    </row>
    <row r="39" spans="2:6">
      <c r="B39"/>
      <c r="C39"/>
      <c r="D39"/>
      <c r="E39"/>
      <c r="F39"/>
    </row>
    <row r="40" spans="2:6">
      <c r="B40"/>
      <c r="C40"/>
      <c r="D40"/>
      <c r="E40"/>
      <c r="F40"/>
    </row>
    <row r="41" spans="2:6">
      <c r="B41"/>
      <c r="C41"/>
      <c r="D41"/>
      <c r="E41"/>
      <c r="F41"/>
    </row>
    <row r="42" spans="2:6">
      <c r="B42"/>
      <c r="C42"/>
      <c r="D42"/>
      <c r="E42"/>
      <c r="F42"/>
    </row>
    <row r="43" spans="2:6">
      <c r="B43"/>
      <c r="C43"/>
      <c r="D43"/>
      <c r="E43"/>
      <c r="F43"/>
    </row>
    <row r="44" spans="2:6">
      <c r="B44"/>
      <c r="C44"/>
      <c r="D44"/>
      <c r="E44"/>
      <c r="F44"/>
    </row>
    <row r="45" spans="2:6">
      <c r="B45"/>
      <c r="C45"/>
      <c r="D45"/>
      <c r="E45"/>
      <c r="F45"/>
    </row>
    <row r="46" spans="2:6">
      <c r="B46"/>
      <c r="C46"/>
      <c r="D46"/>
      <c r="E46"/>
      <c r="F46"/>
    </row>
    <row r="47" spans="2:6">
      <c r="B47"/>
      <c r="C47"/>
      <c r="D47"/>
      <c r="E47"/>
      <c r="F47"/>
    </row>
    <row r="48" spans="2:6">
      <c r="B48"/>
      <c r="C48"/>
      <c r="D48"/>
      <c r="E48"/>
      <c r="F48"/>
    </row>
    <row r="49" spans="2:6">
      <c r="B49"/>
      <c r="C49"/>
      <c r="D49"/>
      <c r="E49"/>
      <c r="F49"/>
    </row>
    <row r="50" spans="2:6">
      <c r="B50"/>
      <c r="C50"/>
      <c r="D50"/>
      <c r="E50"/>
      <c r="F50"/>
    </row>
    <row r="51" spans="2:6">
      <c r="B51"/>
      <c r="C51"/>
      <c r="D51"/>
      <c r="E51"/>
      <c r="F51"/>
    </row>
    <row r="52" spans="2:6">
      <c r="B52"/>
      <c r="C52"/>
      <c r="D52"/>
      <c r="E52"/>
      <c r="F52"/>
    </row>
    <row r="53" spans="2:6">
      <c r="B53"/>
      <c r="C53"/>
      <c r="D53"/>
      <c r="E53"/>
      <c r="F53"/>
    </row>
    <row r="54" spans="2:6">
      <c r="B54"/>
      <c r="C54"/>
      <c r="D54"/>
      <c r="E54"/>
      <c r="F54"/>
    </row>
    <row r="55" spans="2:6">
      <c r="B55"/>
      <c r="C55"/>
      <c r="D55"/>
      <c r="E55"/>
      <c r="F55"/>
    </row>
  </sheetData>
  <sheetProtection sheet="1" selectLockedCells="1" objects="1"/>
  <mergeCells count="2">
    <mergeCell ref="B2:F2"/>
    <mergeCell ref="B10:F11"/>
  </mergeCell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1"/>
  <sheetViews>
    <sheetView showGridLines="0" zoomScale="130" zoomScaleNormal="130" workbookViewId="0">
      <selection activeCell="K34" sqref="K34"/>
    </sheetView>
  </sheetViews>
  <sheetFormatPr defaultColWidth="10" defaultRowHeight="13.5"/>
  <cols>
    <col min="1" max="1" width="19.4416666666667" style="180" customWidth="1"/>
    <col min="2" max="2" width="10.3333333333333" style="180" customWidth="1"/>
    <col min="3" max="3" width="14.8833333333333" style="180" customWidth="1"/>
    <col min="4" max="16384" width="8.88333333333333" style="180" customWidth="1"/>
  </cols>
  <sheetData>
    <row r="1" ht="16.95" customHeight="1" spans="1:10">
      <c r="A1" s="181" t="s">
        <v>830</v>
      </c>
      <c r="B1" s="182" t="s">
        <v>831</v>
      </c>
      <c r="C1" s="182" t="s">
        <v>149</v>
      </c>
      <c r="D1" s="182" t="s">
        <v>150</v>
      </c>
      <c r="E1" s="182" t="s">
        <v>151</v>
      </c>
      <c r="F1" s="182" t="s">
        <v>152</v>
      </c>
      <c r="G1" s="182" t="s">
        <v>153</v>
      </c>
      <c r="H1" s="182" t="s">
        <v>154</v>
      </c>
      <c r="I1" s="192" t="s">
        <v>832</v>
      </c>
      <c r="J1" s="192" t="s">
        <v>833</v>
      </c>
    </row>
    <row r="2" ht="14.25" spans="1:10">
      <c r="A2" s="183" t="s">
        <v>834</v>
      </c>
      <c r="B2" s="184" t="s">
        <v>766</v>
      </c>
      <c r="C2" s="184" t="s">
        <v>835</v>
      </c>
      <c r="D2" s="184" t="s">
        <v>836</v>
      </c>
      <c r="E2" s="184" t="s">
        <v>837</v>
      </c>
      <c r="F2" s="184" t="s">
        <v>838</v>
      </c>
      <c r="G2" s="184" t="s">
        <v>838</v>
      </c>
      <c r="H2" s="184" t="s">
        <v>839</v>
      </c>
      <c r="I2" s="184" t="s">
        <v>840</v>
      </c>
      <c r="J2" s="184" t="s">
        <v>841</v>
      </c>
    </row>
    <row r="3" ht="14.25" spans="1:10">
      <c r="A3" s="185" t="s">
        <v>842</v>
      </c>
      <c r="B3" s="186" t="s">
        <v>108</v>
      </c>
      <c r="C3" s="186" t="s">
        <v>843</v>
      </c>
      <c r="D3" s="186" t="s">
        <v>844</v>
      </c>
      <c r="E3" s="186" t="s">
        <v>837</v>
      </c>
      <c r="F3" s="186" t="s">
        <v>838</v>
      </c>
      <c r="G3" s="186" t="s">
        <v>158</v>
      </c>
      <c r="H3" s="186" t="s">
        <v>158</v>
      </c>
      <c r="I3" s="186" t="s">
        <v>840</v>
      </c>
      <c r="J3" s="186" t="s">
        <v>845</v>
      </c>
    </row>
    <row r="4" ht="14.25" spans="1:10">
      <c r="A4" s="183" t="s">
        <v>846</v>
      </c>
      <c r="B4" s="187" t="s">
        <v>114</v>
      </c>
      <c r="C4" s="187" t="s">
        <v>847</v>
      </c>
      <c r="D4" s="187" t="s">
        <v>848</v>
      </c>
      <c r="E4" s="187" t="s">
        <v>837</v>
      </c>
      <c r="F4" s="187" t="s">
        <v>838</v>
      </c>
      <c r="G4" s="187" t="s">
        <v>158</v>
      </c>
      <c r="H4" s="187" t="s">
        <v>158</v>
      </c>
      <c r="I4" s="187" t="s">
        <v>849</v>
      </c>
      <c r="J4" s="187" t="s">
        <v>850</v>
      </c>
    </row>
    <row r="5" ht="14.25" spans="1:10">
      <c r="A5" s="185" t="s">
        <v>851</v>
      </c>
      <c r="B5" s="186" t="s">
        <v>108</v>
      </c>
      <c r="C5" s="186" t="s">
        <v>852</v>
      </c>
      <c r="D5" s="186" t="s">
        <v>844</v>
      </c>
      <c r="E5" s="186" t="s">
        <v>837</v>
      </c>
      <c r="F5" s="186" t="s">
        <v>838</v>
      </c>
      <c r="G5" s="186" t="s">
        <v>158</v>
      </c>
      <c r="H5" s="186" t="s">
        <v>158</v>
      </c>
      <c r="I5" s="186" t="s">
        <v>840</v>
      </c>
      <c r="J5" s="186" t="s">
        <v>853</v>
      </c>
    </row>
    <row r="6" ht="14.25" spans="1:10">
      <c r="A6" s="183" t="s">
        <v>854</v>
      </c>
      <c r="B6" s="187" t="s">
        <v>108</v>
      </c>
      <c r="C6" s="187" t="s">
        <v>855</v>
      </c>
      <c r="D6" s="187" t="s">
        <v>844</v>
      </c>
      <c r="E6" s="187" t="s">
        <v>837</v>
      </c>
      <c r="F6" s="187" t="s">
        <v>838</v>
      </c>
      <c r="G6" s="187" t="s">
        <v>158</v>
      </c>
      <c r="H6" s="187" t="s">
        <v>158</v>
      </c>
      <c r="I6" s="187" t="s">
        <v>840</v>
      </c>
      <c r="J6" s="187" t="s">
        <v>856</v>
      </c>
    </row>
    <row r="7" ht="21.75" spans="1:10">
      <c r="A7" s="188" t="s">
        <v>857</v>
      </c>
      <c r="B7" s="189" t="s">
        <v>108</v>
      </c>
      <c r="C7" s="189" t="s">
        <v>855</v>
      </c>
      <c r="D7" s="189" t="s">
        <v>844</v>
      </c>
      <c r="E7" s="189" t="s">
        <v>837</v>
      </c>
      <c r="F7" s="189" t="s">
        <v>838</v>
      </c>
      <c r="G7" s="189" t="s">
        <v>158</v>
      </c>
      <c r="H7" s="189" t="s">
        <v>158</v>
      </c>
      <c r="I7" s="189" t="s">
        <v>840</v>
      </c>
      <c r="J7" s="189" t="s">
        <v>858</v>
      </c>
    </row>
    <row r="8" ht="14.25" spans="1:10">
      <c r="A8" s="183" t="s">
        <v>859</v>
      </c>
      <c r="B8" s="187" t="s">
        <v>108</v>
      </c>
      <c r="C8" s="187" t="s">
        <v>860</v>
      </c>
      <c r="D8" s="187" t="s">
        <v>844</v>
      </c>
      <c r="E8" s="187" t="s">
        <v>837</v>
      </c>
      <c r="F8" s="187" t="s">
        <v>838</v>
      </c>
      <c r="G8" s="187" t="s">
        <v>158</v>
      </c>
      <c r="H8" s="187" t="s">
        <v>158</v>
      </c>
      <c r="I8" s="187" t="s">
        <v>840</v>
      </c>
      <c r="J8" s="187" t="s">
        <v>858</v>
      </c>
    </row>
    <row r="9" ht="14.25" spans="1:10">
      <c r="A9" s="188" t="s">
        <v>861</v>
      </c>
      <c r="B9" s="189" t="s">
        <v>766</v>
      </c>
      <c r="C9" s="189" t="s">
        <v>862</v>
      </c>
      <c r="D9" s="189" t="s">
        <v>863</v>
      </c>
      <c r="E9" s="189" t="s">
        <v>864</v>
      </c>
      <c r="F9" s="189" t="s">
        <v>865</v>
      </c>
      <c r="G9" s="189" t="s">
        <v>838</v>
      </c>
      <c r="H9" s="189" t="s">
        <v>866</v>
      </c>
      <c r="I9" s="189" t="s">
        <v>840</v>
      </c>
      <c r="J9" s="189" t="s">
        <v>867</v>
      </c>
    </row>
    <row r="10" ht="14.25" spans="1:10">
      <c r="A10" s="183" t="s">
        <v>868</v>
      </c>
      <c r="B10" s="187" t="s">
        <v>868</v>
      </c>
      <c r="C10" s="187" t="s">
        <v>860</v>
      </c>
      <c r="D10" s="187" t="s">
        <v>844</v>
      </c>
      <c r="E10" s="187" t="s">
        <v>864</v>
      </c>
      <c r="F10" s="187" t="s">
        <v>838</v>
      </c>
      <c r="G10" s="187" t="s">
        <v>158</v>
      </c>
      <c r="H10" s="187" t="s">
        <v>158</v>
      </c>
      <c r="I10" s="187" t="s">
        <v>840</v>
      </c>
      <c r="J10" s="187" t="s">
        <v>869</v>
      </c>
    </row>
    <row r="11" ht="14.25" spans="1:10">
      <c r="A11" s="188" t="s">
        <v>870</v>
      </c>
      <c r="B11" s="189" t="s">
        <v>769</v>
      </c>
      <c r="C11" s="189" t="s">
        <v>871</v>
      </c>
      <c r="D11" s="189" t="s">
        <v>844</v>
      </c>
      <c r="E11" s="189" t="s">
        <v>864</v>
      </c>
      <c r="F11" s="189" t="s">
        <v>838</v>
      </c>
      <c r="G11" s="189" t="s">
        <v>158</v>
      </c>
      <c r="H11" s="189" t="s">
        <v>158</v>
      </c>
      <c r="I11" s="189" t="s">
        <v>840</v>
      </c>
      <c r="J11" s="189" t="s">
        <v>872</v>
      </c>
    </row>
    <row r="12" ht="14.25" spans="1:10">
      <c r="A12" s="183" t="s">
        <v>873</v>
      </c>
      <c r="B12" s="187" t="s">
        <v>108</v>
      </c>
      <c r="C12" s="187" t="s">
        <v>855</v>
      </c>
      <c r="D12" s="187" t="s">
        <v>844</v>
      </c>
      <c r="E12" s="187" t="s">
        <v>864</v>
      </c>
      <c r="F12" s="187" t="s">
        <v>838</v>
      </c>
      <c r="G12" s="187" t="s">
        <v>158</v>
      </c>
      <c r="H12" s="187" t="s">
        <v>158</v>
      </c>
      <c r="I12" s="187" t="s">
        <v>840</v>
      </c>
      <c r="J12" s="187" t="s">
        <v>874</v>
      </c>
    </row>
    <row r="13" ht="14.25" spans="1:10">
      <c r="A13" s="188" t="s">
        <v>875</v>
      </c>
      <c r="B13" s="189" t="s">
        <v>108</v>
      </c>
      <c r="C13" s="189" t="s">
        <v>876</v>
      </c>
      <c r="D13" s="189" t="s">
        <v>844</v>
      </c>
      <c r="E13" s="189" t="s">
        <v>864</v>
      </c>
      <c r="F13" s="189" t="s">
        <v>838</v>
      </c>
      <c r="G13" s="189" t="s">
        <v>158</v>
      </c>
      <c r="H13" s="189" t="s">
        <v>158</v>
      </c>
      <c r="I13" s="189" t="s">
        <v>840</v>
      </c>
      <c r="J13" s="189" t="s">
        <v>856</v>
      </c>
    </row>
    <row r="14" ht="14.25" spans="1:10">
      <c r="A14" s="183" t="s">
        <v>877</v>
      </c>
      <c r="B14" s="187" t="s">
        <v>108</v>
      </c>
      <c r="C14" s="187" t="s">
        <v>878</v>
      </c>
      <c r="D14" s="187" t="s">
        <v>844</v>
      </c>
      <c r="E14" s="187" t="s">
        <v>864</v>
      </c>
      <c r="F14" s="187" t="s">
        <v>838</v>
      </c>
      <c r="G14" s="187" t="s">
        <v>158</v>
      </c>
      <c r="H14" s="187" t="s">
        <v>158</v>
      </c>
      <c r="I14" s="187" t="s">
        <v>840</v>
      </c>
      <c r="J14" s="187" t="s">
        <v>879</v>
      </c>
    </row>
    <row r="15" ht="14.25" spans="1:10">
      <c r="A15" s="188" t="s">
        <v>880</v>
      </c>
      <c r="B15" s="189" t="s">
        <v>108</v>
      </c>
      <c r="C15" s="189" t="s">
        <v>881</v>
      </c>
      <c r="D15" s="189" t="s">
        <v>882</v>
      </c>
      <c r="E15" s="189" t="s">
        <v>837</v>
      </c>
      <c r="F15" s="189" t="s">
        <v>838</v>
      </c>
      <c r="G15" s="189" t="s">
        <v>883</v>
      </c>
      <c r="H15" s="189" t="s">
        <v>884</v>
      </c>
      <c r="I15" s="189" t="s">
        <v>840</v>
      </c>
      <c r="J15" s="189" t="s">
        <v>885</v>
      </c>
    </row>
    <row r="16" ht="14.25" spans="1:10">
      <c r="A16" s="183" t="s">
        <v>886</v>
      </c>
      <c r="B16" s="187" t="s">
        <v>780</v>
      </c>
      <c r="C16" s="187" t="s">
        <v>855</v>
      </c>
      <c r="D16" s="187" t="s">
        <v>844</v>
      </c>
      <c r="E16" s="187" t="s">
        <v>837</v>
      </c>
      <c r="F16" s="187" t="s">
        <v>838</v>
      </c>
      <c r="G16" s="187" t="s">
        <v>158</v>
      </c>
      <c r="H16" s="187" t="s">
        <v>158</v>
      </c>
      <c r="I16" s="187" t="s">
        <v>840</v>
      </c>
      <c r="J16" s="187" t="s">
        <v>845</v>
      </c>
    </row>
    <row r="17" ht="14.25" spans="1:10">
      <c r="A17" s="188" t="s">
        <v>887</v>
      </c>
      <c r="B17" s="189" t="s">
        <v>104</v>
      </c>
      <c r="C17" s="189" t="s">
        <v>888</v>
      </c>
      <c r="D17" s="189" t="s">
        <v>889</v>
      </c>
      <c r="E17" s="189" t="s">
        <v>837</v>
      </c>
      <c r="F17" s="189" t="s">
        <v>838</v>
      </c>
      <c r="G17" s="189" t="s">
        <v>158</v>
      </c>
      <c r="H17" s="189" t="s">
        <v>158</v>
      </c>
      <c r="I17" s="189" t="s">
        <v>840</v>
      </c>
      <c r="J17" s="189" t="s">
        <v>158</v>
      </c>
    </row>
    <row r="18" ht="14.25" spans="1:10">
      <c r="A18" s="183" t="s">
        <v>890</v>
      </c>
      <c r="B18" s="187" t="s">
        <v>104</v>
      </c>
      <c r="C18" s="187" t="s">
        <v>847</v>
      </c>
      <c r="D18" s="187" t="s">
        <v>891</v>
      </c>
      <c r="E18" s="187" t="s">
        <v>864</v>
      </c>
      <c r="F18" s="187" t="s">
        <v>892</v>
      </c>
      <c r="G18" s="187" t="s">
        <v>893</v>
      </c>
      <c r="H18" s="187" t="s">
        <v>894</v>
      </c>
      <c r="I18" s="187" t="s">
        <v>840</v>
      </c>
      <c r="J18" s="187" t="s">
        <v>869</v>
      </c>
    </row>
    <row r="19" ht="14.25" spans="1:10">
      <c r="A19" s="188" t="s">
        <v>895</v>
      </c>
      <c r="B19" s="189" t="s">
        <v>783</v>
      </c>
      <c r="C19" s="189" t="s">
        <v>896</v>
      </c>
      <c r="D19" s="189" t="s">
        <v>844</v>
      </c>
      <c r="E19" s="189" t="s">
        <v>837</v>
      </c>
      <c r="F19" s="189" t="s">
        <v>838</v>
      </c>
      <c r="G19" s="189" t="s">
        <v>158</v>
      </c>
      <c r="H19" s="189" t="s">
        <v>158</v>
      </c>
      <c r="I19" s="189" t="s">
        <v>840</v>
      </c>
      <c r="J19" s="189" t="s">
        <v>897</v>
      </c>
    </row>
    <row r="20" ht="14.25" spans="1:10">
      <c r="A20" s="183" t="s">
        <v>898</v>
      </c>
      <c r="B20" s="187" t="s">
        <v>104</v>
      </c>
      <c r="C20" s="187" t="s">
        <v>899</v>
      </c>
      <c r="D20" s="187" t="s">
        <v>900</v>
      </c>
      <c r="E20" s="187" t="s">
        <v>864</v>
      </c>
      <c r="F20" s="187" t="s">
        <v>838</v>
      </c>
      <c r="G20" s="187" t="s">
        <v>158</v>
      </c>
      <c r="H20" s="187" t="s">
        <v>158</v>
      </c>
      <c r="I20" s="187" t="s">
        <v>901</v>
      </c>
      <c r="J20" s="187" t="s">
        <v>902</v>
      </c>
    </row>
    <row r="21" ht="14.25" spans="1:10">
      <c r="A21" s="188" t="s">
        <v>903</v>
      </c>
      <c r="B21" s="189" t="s">
        <v>111</v>
      </c>
      <c r="C21" s="189" t="s">
        <v>904</v>
      </c>
      <c r="D21" s="189" t="s">
        <v>844</v>
      </c>
      <c r="E21" s="189" t="s">
        <v>837</v>
      </c>
      <c r="F21" s="189" t="s">
        <v>838</v>
      </c>
      <c r="G21" s="189" t="s">
        <v>158</v>
      </c>
      <c r="H21" s="189" t="s">
        <v>158</v>
      </c>
      <c r="I21" s="189" t="s">
        <v>840</v>
      </c>
      <c r="J21" s="189" t="s">
        <v>905</v>
      </c>
    </row>
    <row r="22" ht="14.25" spans="1:10">
      <c r="A22" s="183" t="s">
        <v>906</v>
      </c>
      <c r="B22" s="187" t="s">
        <v>111</v>
      </c>
      <c r="C22" s="187" t="s">
        <v>871</v>
      </c>
      <c r="D22" s="187" t="s">
        <v>844</v>
      </c>
      <c r="E22" s="187" t="s">
        <v>864</v>
      </c>
      <c r="F22" s="187" t="s">
        <v>838</v>
      </c>
      <c r="G22" s="187" t="s">
        <v>158</v>
      </c>
      <c r="H22" s="187" t="s">
        <v>158</v>
      </c>
      <c r="I22" s="187" t="s">
        <v>840</v>
      </c>
      <c r="J22" s="187" t="s">
        <v>907</v>
      </c>
    </row>
    <row r="23" ht="14.25" spans="1:10">
      <c r="A23" s="188" t="s">
        <v>908</v>
      </c>
      <c r="B23" s="189" t="s">
        <v>111</v>
      </c>
      <c r="C23" s="189" t="s">
        <v>860</v>
      </c>
      <c r="D23" s="189" t="s">
        <v>844</v>
      </c>
      <c r="E23" s="189" t="s">
        <v>864</v>
      </c>
      <c r="F23" s="189" t="s">
        <v>838</v>
      </c>
      <c r="G23" s="189" t="s">
        <v>158</v>
      </c>
      <c r="H23" s="189" t="s">
        <v>158</v>
      </c>
      <c r="I23" s="189" t="s">
        <v>840</v>
      </c>
      <c r="J23" s="189" t="s">
        <v>909</v>
      </c>
    </row>
    <row r="24" ht="27.9" customHeight="1" spans="1:10">
      <c r="A24" s="183" t="s">
        <v>910</v>
      </c>
      <c r="B24" s="187" t="s">
        <v>104</v>
      </c>
      <c r="C24" s="187" t="s">
        <v>911</v>
      </c>
      <c r="D24" s="187" t="s">
        <v>900</v>
      </c>
      <c r="E24" s="187" t="s">
        <v>837</v>
      </c>
      <c r="F24" s="187" t="s">
        <v>838</v>
      </c>
      <c r="G24" s="187" t="s">
        <v>158</v>
      </c>
      <c r="H24" s="187" t="s">
        <v>158</v>
      </c>
      <c r="I24" s="187" t="s">
        <v>901</v>
      </c>
      <c r="J24" s="187" t="s">
        <v>912</v>
      </c>
    </row>
    <row r="25" ht="14.25" spans="1:10">
      <c r="A25" s="188" t="s">
        <v>913</v>
      </c>
      <c r="B25" s="189" t="s">
        <v>769</v>
      </c>
      <c r="C25" s="189" t="s">
        <v>914</v>
      </c>
      <c r="D25" s="189" t="s">
        <v>844</v>
      </c>
      <c r="E25" s="189" t="s">
        <v>864</v>
      </c>
      <c r="F25" s="189" t="s">
        <v>838</v>
      </c>
      <c r="G25" s="189" t="s">
        <v>158</v>
      </c>
      <c r="H25" s="189" t="s">
        <v>158</v>
      </c>
      <c r="I25" s="189" t="s">
        <v>840</v>
      </c>
      <c r="J25" s="189" t="s">
        <v>915</v>
      </c>
    </row>
    <row r="26" ht="15.45" customHeight="1" spans="1:10">
      <c r="A26" s="183" t="s">
        <v>916</v>
      </c>
      <c r="B26" s="184" t="s">
        <v>117</v>
      </c>
      <c r="C26" s="184" t="s">
        <v>917</v>
      </c>
      <c r="D26" s="184" t="s">
        <v>918</v>
      </c>
      <c r="E26" s="184" t="s">
        <v>864</v>
      </c>
      <c r="F26" s="184" t="s">
        <v>919</v>
      </c>
      <c r="G26" s="184" t="s">
        <v>838</v>
      </c>
      <c r="H26" s="184" t="s">
        <v>884</v>
      </c>
      <c r="I26" s="184" t="s">
        <v>901</v>
      </c>
      <c r="J26" s="184" t="s">
        <v>920</v>
      </c>
    </row>
    <row r="27" ht="14.25" spans="1:10">
      <c r="A27" s="188" t="s">
        <v>921</v>
      </c>
      <c r="B27" s="190" t="s">
        <v>117</v>
      </c>
      <c r="C27" s="189" t="s">
        <v>922</v>
      </c>
      <c r="D27" s="189" t="s">
        <v>918</v>
      </c>
      <c r="E27" s="189" t="s">
        <v>864</v>
      </c>
      <c r="F27" s="189" t="s">
        <v>923</v>
      </c>
      <c r="G27" s="189" t="s">
        <v>924</v>
      </c>
      <c r="H27" s="189" t="s">
        <v>894</v>
      </c>
      <c r="I27" s="189" t="s">
        <v>840</v>
      </c>
      <c r="J27" s="189" t="s">
        <v>925</v>
      </c>
    </row>
    <row r="28" ht="14.25" spans="1:10">
      <c r="A28" s="183" t="s">
        <v>926</v>
      </c>
      <c r="B28" s="184" t="s">
        <v>117</v>
      </c>
      <c r="C28" s="187" t="s">
        <v>922</v>
      </c>
      <c r="D28" s="187" t="s">
        <v>927</v>
      </c>
      <c r="E28" s="187" t="s">
        <v>864</v>
      </c>
      <c r="F28" s="187" t="s">
        <v>838</v>
      </c>
      <c r="G28" s="187" t="s">
        <v>838</v>
      </c>
      <c r="H28" s="187" t="s">
        <v>894</v>
      </c>
      <c r="I28" s="187" t="s">
        <v>849</v>
      </c>
      <c r="J28" s="187" t="s">
        <v>928</v>
      </c>
    </row>
    <row r="29" ht="14.25" spans="1:10">
      <c r="A29" s="188" t="s">
        <v>929</v>
      </c>
      <c r="B29" s="190" t="s">
        <v>117</v>
      </c>
      <c r="C29" s="189" t="s">
        <v>930</v>
      </c>
      <c r="D29" s="189" t="s">
        <v>818</v>
      </c>
      <c r="E29" s="189" t="s">
        <v>864</v>
      </c>
      <c r="F29" s="189" t="s">
        <v>923</v>
      </c>
      <c r="G29" s="189" t="s">
        <v>924</v>
      </c>
      <c r="H29" s="189" t="s">
        <v>894</v>
      </c>
      <c r="I29" s="189" t="s">
        <v>840</v>
      </c>
      <c r="J29" s="189" t="s">
        <v>931</v>
      </c>
    </row>
    <row r="30" ht="14.25" spans="1:10">
      <c r="A30" s="183" t="s">
        <v>932</v>
      </c>
      <c r="B30" s="184" t="s">
        <v>117</v>
      </c>
      <c r="C30" s="187" t="s">
        <v>933</v>
      </c>
      <c r="D30" s="187" t="s">
        <v>818</v>
      </c>
      <c r="E30" s="187" t="s">
        <v>864</v>
      </c>
      <c r="F30" s="187" t="s">
        <v>923</v>
      </c>
      <c r="G30" s="187" t="s">
        <v>924</v>
      </c>
      <c r="H30" s="187" t="s">
        <v>894</v>
      </c>
      <c r="I30" s="187" t="s">
        <v>840</v>
      </c>
      <c r="J30" s="187" t="s">
        <v>934</v>
      </c>
    </row>
    <row r="31" ht="14.25" spans="1:10">
      <c r="A31" s="188" t="s">
        <v>935</v>
      </c>
      <c r="B31" s="190" t="s">
        <v>117</v>
      </c>
      <c r="C31" s="189" t="s">
        <v>933</v>
      </c>
      <c r="D31" s="189" t="s">
        <v>818</v>
      </c>
      <c r="E31" s="189" t="s">
        <v>864</v>
      </c>
      <c r="F31" s="189" t="s">
        <v>923</v>
      </c>
      <c r="G31" s="189" t="s">
        <v>936</v>
      </c>
      <c r="H31" s="189" t="s">
        <v>825</v>
      </c>
      <c r="I31" s="189" t="s">
        <v>840</v>
      </c>
      <c r="J31" s="189" t="s">
        <v>937</v>
      </c>
    </row>
    <row r="32" ht="14.25" spans="1:10">
      <c r="A32" s="183" t="s">
        <v>938</v>
      </c>
      <c r="B32" s="184" t="s">
        <v>117</v>
      </c>
      <c r="C32" s="187" t="s">
        <v>933</v>
      </c>
      <c r="D32" s="187" t="s">
        <v>818</v>
      </c>
      <c r="E32" s="187" t="s">
        <v>864</v>
      </c>
      <c r="F32" s="187" t="s">
        <v>923</v>
      </c>
      <c r="G32" s="187" t="s">
        <v>936</v>
      </c>
      <c r="H32" s="187" t="s">
        <v>894</v>
      </c>
      <c r="I32" s="187" t="s">
        <v>939</v>
      </c>
      <c r="J32" s="187" t="s">
        <v>940</v>
      </c>
    </row>
    <row r="33" ht="14.25" spans="1:10">
      <c r="A33" s="188" t="s">
        <v>941</v>
      </c>
      <c r="B33" s="190" t="s">
        <v>117</v>
      </c>
      <c r="C33" s="189" t="s">
        <v>942</v>
      </c>
      <c r="D33" s="189" t="s">
        <v>818</v>
      </c>
      <c r="E33" s="189" t="s">
        <v>864</v>
      </c>
      <c r="F33" s="189" t="s">
        <v>923</v>
      </c>
      <c r="G33" s="189" t="s">
        <v>924</v>
      </c>
      <c r="H33" s="189" t="s">
        <v>894</v>
      </c>
      <c r="I33" s="189" t="s">
        <v>840</v>
      </c>
      <c r="J33" s="189" t="s">
        <v>920</v>
      </c>
    </row>
    <row r="34" ht="27.9" customHeight="1" spans="1:11">
      <c r="A34" s="183" t="s">
        <v>943</v>
      </c>
      <c r="B34" s="184" t="s">
        <v>119</v>
      </c>
      <c r="C34" s="184" t="s">
        <v>944</v>
      </c>
      <c r="D34" s="184" t="s">
        <v>945</v>
      </c>
      <c r="E34" s="184" t="s">
        <v>864</v>
      </c>
      <c r="F34" s="184" t="s">
        <v>919</v>
      </c>
      <c r="G34" s="184" t="s">
        <v>838</v>
      </c>
      <c r="H34" s="184" t="s">
        <v>884</v>
      </c>
      <c r="I34" s="184" t="s">
        <v>901</v>
      </c>
      <c r="J34" s="184" t="s">
        <v>946</v>
      </c>
      <c r="K34" s="193"/>
    </row>
    <row r="35" ht="14.25" spans="1:10">
      <c r="A35" s="188" t="s">
        <v>947</v>
      </c>
      <c r="B35" s="190" t="s">
        <v>119</v>
      </c>
      <c r="C35" s="189" t="s">
        <v>917</v>
      </c>
      <c r="D35" s="189" t="s">
        <v>948</v>
      </c>
      <c r="E35" s="189" t="s">
        <v>864</v>
      </c>
      <c r="F35" s="189" t="s">
        <v>838</v>
      </c>
      <c r="G35" s="189" t="s">
        <v>924</v>
      </c>
      <c r="H35" s="189" t="s">
        <v>825</v>
      </c>
      <c r="I35" s="189" t="s">
        <v>840</v>
      </c>
      <c r="J35" s="189" t="s">
        <v>949</v>
      </c>
    </row>
    <row r="36" ht="14.25" spans="1:10">
      <c r="A36" s="183" t="s">
        <v>950</v>
      </c>
      <c r="B36" s="184" t="s">
        <v>119</v>
      </c>
      <c r="C36" s="187" t="s">
        <v>951</v>
      </c>
      <c r="D36" s="187" t="s">
        <v>823</v>
      </c>
      <c r="E36" s="187" t="s">
        <v>864</v>
      </c>
      <c r="F36" s="187" t="s">
        <v>838</v>
      </c>
      <c r="G36" s="187" t="s">
        <v>924</v>
      </c>
      <c r="H36" s="187" t="s">
        <v>952</v>
      </c>
      <c r="I36" s="187" t="s">
        <v>840</v>
      </c>
      <c r="J36" s="187" t="s">
        <v>953</v>
      </c>
    </row>
    <row r="37" ht="14.25" spans="1:10">
      <c r="A37" s="188" t="s">
        <v>954</v>
      </c>
      <c r="B37" s="190" t="s">
        <v>119</v>
      </c>
      <c r="C37" s="189" t="s">
        <v>955</v>
      </c>
      <c r="D37" s="189" t="s">
        <v>956</v>
      </c>
      <c r="E37" s="189" t="s">
        <v>864</v>
      </c>
      <c r="F37" s="189" t="s">
        <v>957</v>
      </c>
      <c r="G37" s="189" t="s">
        <v>838</v>
      </c>
      <c r="H37" s="189" t="s">
        <v>894</v>
      </c>
      <c r="I37" s="189" t="s">
        <v>849</v>
      </c>
      <c r="J37" s="189" t="s">
        <v>958</v>
      </c>
    </row>
    <row r="38" ht="14.25" spans="1:10">
      <c r="A38" s="183" t="s">
        <v>959</v>
      </c>
      <c r="B38" s="184" t="s">
        <v>119</v>
      </c>
      <c r="C38" s="187" t="s">
        <v>960</v>
      </c>
      <c r="D38" s="187" t="s">
        <v>961</v>
      </c>
      <c r="E38" s="187" t="s">
        <v>864</v>
      </c>
      <c r="F38" s="187" t="s">
        <v>957</v>
      </c>
      <c r="G38" s="187" t="s">
        <v>838</v>
      </c>
      <c r="H38" s="187" t="s">
        <v>962</v>
      </c>
      <c r="I38" s="187" t="s">
        <v>849</v>
      </c>
      <c r="J38" s="187" t="s">
        <v>963</v>
      </c>
    </row>
    <row r="39" ht="14.25" spans="1:10">
      <c r="A39" s="188" t="s">
        <v>964</v>
      </c>
      <c r="B39" s="190" t="s">
        <v>119</v>
      </c>
      <c r="C39" s="189" t="s">
        <v>965</v>
      </c>
      <c r="D39" s="189" t="s">
        <v>966</v>
      </c>
      <c r="E39" s="189" t="s">
        <v>864</v>
      </c>
      <c r="F39" s="189" t="s">
        <v>838</v>
      </c>
      <c r="G39" s="189" t="s">
        <v>967</v>
      </c>
      <c r="H39" s="189" t="s">
        <v>839</v>
      </c>
      <c r="I39" s="189" t="s">
        <v>901</v>
      </c>
      <c r="J39" s="189" t="s">
        <v>158</v>
      </c>
    </row>
    <row r="40" ht="14.25" spans="1:10">
      <c r="A40" s="183" t="s">
        <v>968</v>
      </c>
      <c r="B40" s="184" t="s">
        <v>119</v>
      </c>
      <c r="C40" s="187" t="s">
        <v>969</v>
      </c>
      <c r="D40" s="187" t="s">
        <v>970</v>
      </c>
      <c r="E40" s="187" t="s">
        <v>864</v>
      </c>
      <c r="F40" s="187" t="s">
        <v>838</v>
      </c>
      <c r="G40" s="187" t="s">
        <v>967</v>
      </c>
      <c r="H40" s="187" t="s">
        <v>894</v>
      </c>
      <c r="I40" s="187" t="s">
        <v>840</v>
      </c>
      <c r="J40" s="187" t="s">
        <v>971</v>
      </c>
    </row>
    <row r="41" ht="21.75" spans="1:10">
      <c r="A41" s="188" t="s">
        <v>972</v>
      </c>
      <c r="B41" s="190" t="s">
        <v>119</v>
      </c>
      <c r="C41" s="189" t="s">
        <v>969</v>
      </c>
      <c r="D41" s="189" t="s">
        <v>970</v>
      </c>
      <c r="E41" s="189" t="s">
        <v>864</v>
      </c>
      <c r="F41" s="189" t="s">
        <v>838</v>
      </c>
      <c r="G41" s="189" t="s">
        <v>967</v>
      </c>
      <c r="H41" s="189" t="s">
        <v>894</v>
      </c>
      <c r="I41" s="189" t="s">
        <v>840</v>
      </c>
      <c r="J41" s="189" t="s">
        <v>973</v>
      </c>
    </row>
    <row r="42" ht="14.25" spans="1:10">
      <c r="A42" s="183" t="s">
        <v>974</v>
      </c>
      <c r="B42" s="184" t="s">
        <v>119</v>
      </c>
      <c r="C42" s="187" t="s">
        <v>975</v>
      </c>
      <c r="D42" s="187" t="s">
        <v>894</v>
      </c>
      <c r="E42" s="187" t="s">
        <v>864</v>
      </c>
      <c r="F42" s="187" t="s">
        <v>976</v>
      </c>
      <c r="G42" s="187" t="s">
        <v>892</v>
      </c>
      <c r="H42" s="187" t="s">
        <v>894</v>
      </c>
      <c r="I42" s="187" t="s">
        <v>840</v>
      </c>
      <c r="J42" s="187" t="s">
        <v>977</v>
      </c>
    </row>
    <row r="43" ht="27.9" customHeight="1" spans="1:10">
      <c r="A43" s="188" t="s">
        <v>978</v>
      </c>
      <c r="B43" s="190" t="s">
        <v>119</v>
      </c>
      <c r="C43" s="190" t="s">
        <v>979</v>
      </c>
      <c r="D43" s="190" t="s">
        <v>980</v>
      </c>
      <c r="E43" s="190" t="s">
        <v>837</v>
      </c>
      <c r="F43" s="190" t="s">
        <v>976</v>
      </c>
      <c r="G43" s="190" t="s">
        <v>892</v>
      </c>
      <c r="H43" s="190" t="s">
        <v>894</v>
      </c>
      <c r="I43" s="190" t="s">
        <v>849</v>
      </c>
      <c r="J43" s="190" t="s">
        <v>981</v>
      </c>
    </row>
    <row r="44" ht="14.25" spans="1:10">
      <c r="A44" s="183" t="s">
        <v>982</v>
      </c>
      <c r="B44" s="184" t="s">
        <v>119</v>
      </c>
      <c r="C44" s="187" t="s">
        <v>983</v>
      </c>
      <c r="D44" s="187" t="s">
        <v>980</v>
      </c>
      <c r="E44" s="187" t="s">
        <v>837</v>
      </c>
      <c r="F44" s="187" t="s">
        <v>976</v>
      </c>
      <c r="G44" s="187" t="s">
        <v>892</v>
      </c>
      <c r="H44" s="187" t="s">
        <v>894</v>
      </c>
      <c r="I44" s="187" t="s">
        <v>849</v>
      </c>
      <c r="J44" s="187" t="s">
        <v>984</v>
      </c>
    </row>
    <row r="45" ht="14.25" spans="1:10">
      <c r="A45" s="188" t="s">
        <v>985</v>
      </c>
      <c r="B45" s="190" t="s">
        <v>119</v>
      </c>
      <c r="C45" s="189" t="s">
        <v>986</v>
      </c>
      <c r="D45" s="189" t="s">
        <v>980</v>
      </c>
      <c r="E45" s="189" t="s">
        <v>837</v>
      </c>
      <c r="F45" s="189" t="s">
        <v>976</v>
      </c>
      <c r="G45" s="189" t="s">
        <v>892</v>
      </c>
      <c r="H45" s="189" t="s">
        <v>894</v>
      </c>
      <c r="I45" s="189" t="s">
        <v>840</v>
      </c>
      <c r="J45" s="189" t="s">
        <v>987</v>
      </c>
    </row>
    <row r="46" ht="14.25" spans="1:10">
      <c r="A46" s="183" t="s">
        <v>988</v>
      </c>
      <c r="B46" s="184" t="s">
        <v>119</v>
      </c>
      <c r="C46" s="187" t="s">
        <v>989</v>
      </c>
      <c r="D46" s="187" t="s">
        <v>915</v>
      </c>
      <c r="E46" s="187" t="s">
        <v>837</v>
      </c>
      <c r="F46" s="187" t="s">
        <v>976</v>
      </c>
      <c r="G46" s="187" t="s">
        <v>892</v>
      </c>
      <c r="H46" s="187" t="s">
        <v>894</v>
      </c>
      <c r="I46" s="187" t="s">
        <v>849</v>
      </c>
      <c r="J46" s="187" t="s">
        <v>990</v>
      </c>
    </row>
    <row r="47" ht="14.25" spans="1:10">
      <c r="A47" s="188" t="s">
        <v>991</v>
      </c>
      <c r="B47" s="190" t="s">
        <v>119</v>
      </c>
      <c r="C47" s="189" t="s">
        <v>992</v>
      </c>
      <c r="D47" s="189" t="s">
        <v>980</v>
      </c>
      <c r="E47" s="189" t="s">
        <v>837</v>
      </c>
      <c r="F47" s="189" t="s">
        <v>976</v>
      </c>
      <c r="G47" s="189" t="s">
        <v>892</v>
      </c>
      <c r="H47" s="189" t="s">
        <v>894</v>
      </c>
      <c r="I47" s="189" t="s">
        <v>993</v>
      </c>
      <c r="J47" s="189" t="s">
        <v>994</v>
      </c>
    </row>
    <row r="48" ht="14.25" spans="1:10">
      <c r="A48" s="183" t="s">
        <v>995</v>
      </c>
      <c r="B48" s="184" t="s">
        <v>104</v>
      </c>
      <c r="C48" s="184" t="s">
        <v>996</v>
      </c>
      <c r="D48" s="184" t="s">
        <v>900</v>
      </c>
      <c r="E48" s="184" t="s">
        <v>864</v>
      </c>
      <c r="F48" s="184" t="s">
        <v>865</v>
      </c>
      <c r="G48" s="184" t="s">
        <v>893</v>
      </c>
      <c r="H48" s="184" t="s">
        <v>884</v>
      </c>
      <c r="I48" s="184" t="s">
        <v>840</v>
      </c>
      <c r="J48" s="184" t="s">
        <v>990</v>
      </c>
    </row>
    <row r="49" ht="14.25" spans="1:10">
      <c r="A49" s="188" t="s">
        <v>997</v>
      </c>
      <c r="B49" s="189" t="s">
        <v>117</v>
      </c>
      <c r="C49" s="189" t="s">
        <v>998</v>
      </c>
      <c r="D49" s="189" t="s">
        <v>918</v>
      </c>
      <c r="E49" s="189" t="s">
        <v>864</v>
      </c>
      <c r="F49" s="189" t="s">
        <v>865</v>
      </c>
      <c r="G49" s="189" t="s">
        <v>838</v>
      </c>
      <c r="H49" s="189" t="s">
        <v>894</v>
      </c>
      <c r="I49" s="189" t="s">
        <v>840</v>
      </c>
      <c r="J49" s="189" t="s">
        <v>999</v>
      </c>
    </row>
    <row r="50" ht="14.25" spans="1:10">
      <c r="A50" s="183" t="s">
        <v>1000</v>
      </c>
      <c r="B50" s="187" t="s">
        <v>104</v>
      </c>
      <c r="C50" s="187" t="s">
        <v>1001</v>
      </c>
      <c r="D50" s="187" t="s">
        <v>889</v>
      </c>
      <c r="E50" s="187" t="s">
        <v>864</v>
      </c>
      <c r="F50" s="187" t="s">
        <v>865</v>
      </c>
      <c r="G50" s="187" t="s">
        <v>893</v>
      </c>
      <c r="H50" s="187" t="s">
        <v>825</v>
      </c>
      <c r="I50" s="187" t="s">
        <v>840</v>
      </c>
      <c r="J50" s="187" t="s">
        <v>1002</v>
      </c>
    </row>
    <row r="51" ht="14.25" spans="1:10">
      <c r="A51" s="188" t="s">
        <v>1003</v>
      </c>
      <c r="B51" s="189" t="s">
        <v>1004</v>
      </c>
      <c r="C51" s="189" t="s">
        <v>1005</v>
      </c>
      <c r="D51" s="189" t="s">
        <v>990</v>
      </c>
      <c r="E51" s="189" t="s">
        <v>864</v>
      </c>
      <c r="F51" s="189" t="s">
        <v>990</v>
      </c>
      <c r="G51" s="189" t="s">
        <v>893</v>
      </c>
      <c r="H51" s="189" t="s">
        <v>894</v>
      </c>
      <c r="I51" s="189" t="s">
        <v>840</v>
      </c>
      <c r="J51" s="189" t="s">
        <v>1006</v>
      </c>
    </row>
    <row r="52" ht="14.25" spans="1:10">
      <c r="A52" s="183" t="s">
        <v>1007</v>
      </c>
      <c r="B52" s="187" t="s">
        <v>761</v>
      </c>
      <c r="C52" s="187" t="s">
        <v>1008</v>
      </c>
      <c r="D52" s="187" t="s">
        <v>1009</v>
      </c>
      <c r="E52" s="187" t="s">
        <v>864</v>
      </c>
      <c r="F52" s="187" t="s">
        <v>1010</v>
      </c>
      <c r="G52" s="187" t="s">
        <v>893</v>
      </c>
      <c r="H52" s="187" t="s">
        <v>884</v>
      </c>
      <c r="I52" s="187" t="s">
        <v>840</v>
      </c>
      <c r="J52" s="187" t="s">
        <v>990</v>
      </c>
    </row>
    <row r="53" ht="14.25" spans="1:10">
      <c r="A53" s="188" t="s">
        <v>1011</v>
      </c>
      <c r="B53" s="189" t="s">
        <v>775</v>
      </c>
      <c r="C53" s="189" t="s">
        <v>1012</v>
      </c>
      <c r="D53" s="189" t="s">
        <v>1013</v>
      </c>
      <c r="E53" s="189" t="s">
        <v>864</v>
      </c>
      <c r="F53" s="189" t="s">
        <v>919</v>
      </c>
      <c r="G53" s="189" t="s">
        <v>1014</v>
      </c>
      <c r="H53" s="189" t="s">
        <v>825</v>
      </c>
      <c r="I53" s="189" t="s">
        <v>840</v>
      </c>
      <c r="J53" s="189" t="s">
        <v>1015</v>
      </c>
    </row>
    <row r="54" ht="14.25" spans="1:10">
      <c r="A54" s="183" t="s">
        <v>1016</v>
      </c>
      <c r="B54" s="187" t="s">
        <v>761</v>
      </c>
      <c r="C54" s="187" t="s">
        <v>1017</v>
      </c>
      <c r="D54" s="187" t="s">
        <v>1009</v>
      </c>
      <c r="E54" s="187" t="s">
        <v>864</v>
      </c>
      <c r="F54" s="187" t="s">
        <v>1009</v>
      </c>
      <c r="G54" s="187" t="s">
        <v>893</v>
      </c>
      <c r="H54" s="187" t="s">
        <v>825</v>
      </c>
      <c r="I54" s="187" t="s">
        <v>840</v>
      </c>
      <c r="J54" s="187" t="s">
        <v>990</v>
      </c>
    </row>
    <row r="55" ht="14.25" spans="1:10">
      <c r="A55" s="188" t="s">
        <v>770</v>
      </c>
      <c r="B55" s="189" t="s">
        <v>770</v>
      </c>
      <c r="C55" s="189" t="s">
        <v>996</v>
      </c>
      <c r="D55" s="189" t="s">
        <v>1018</v>
      </c>
      <c r="E55" s="189" t="s">
        <v>864</v>
      </c>
      <c r="F55" s="189" t="s">
        <v>838</v>
      </c>
      <c r="G55" s="189" t="s">
        <v>1019</v>
      </c>
      <c r="H55" s="189" t="s">
        <v>1020</v>
      </c>
      <c r="I55" s="189" t="s">
        <v>840</v>
      </c>
      <c r="J55" s="189" t="s">
        <v>990</v>
      </c>
    </row>
    <row r="56" spans="1:10">
      <c r="A56" s="191"/>
      <c r="B56" s="191"/>
      <c r="C56" s="191"/>
      <c r="D56" s="191"/>
      <c r="E56" s="191"/>
      <c r="F56" s="191"/>
      <c r="G56" s="191"/>
      <c r="H56" s="191"/>
      <c r="I56" s="191"/>
      <c r="J56" s="191"/>
    </row>
    <row r="57" spans="1:10">
      <c r="A57" s="191"/>
      <c r="B57" s="191"/>
      <c r="C57" s="191"/>
      <c r="D57" s="191"/>
      <c r="E57" s="191"/>
      <c r="F57" s="191"/>
      <c r="G57" s="191"/>
      <c r="H57" s="191"/>
      <c r="I57" s="191"/>
      <c r="J57" s="191"/>
    </row>
    <row r="58" spans="1:10">
      <c r="A58" s="191"/>
      <c r="B58" s="191"/>
      <c r="C58" s="191"/>
      <c r="D58" s="191"/>
      <c r="E58" s="191"/>
      <c r="F58" s="191"/>
      <c r="G58" s="191"/>
      <c r="H58" s="191"/>
      <c r="I58" s="191"/>
      <c r="J58" s="191"/>
    </row>
    <row r="59" spans="1:10">
      <c r="A59" s="191"/>
      <c r="B59" s="191"/>
      <c r="C59" s="191"/>
      <c r="D59" s="191"/>
      <c r="E59" s="191"/>
      <c r="F59" s="191"/>
      <c r="G59" s="191"/>
      <c r="H59" s="191"/>
      <c r="I59" s="191"/>
      <c r="J59" s="191"/>
    </row>
    <row r="60" spans="1:10">
      <c r="A60" s="191"/>
      <c r="B60" s="191"/>
      <c r="C60" s="191"/>
      <c r="D60" s="191"/>
      <c r="E60" s="191"/>
      <c r="F60" s="191"/>
      <c r="G60" s="191"/>
      <c r="H60" s="191"/>
      <c r="I60" s="191"/>
      <c r="J60" s="191"/>
    </row>
    <row r="61" spans="1:10">
      <c r="A61" s="191"/>
      <c r="B61" s="191"/>
      <c r="C61" s="191"/>
      <c r="D61" s="191"/>
      <c r="E61" s="191"/>
      <c r="F61" s="191"/>
      <c r="G61" s="191"/>
      <c r="H61" s="191"/>
      <c r="I61" s="191"/>
      <c r="J61" s="191"/>
    </row>
    <row r="62" spans="1:10">
      <c r="A62" s="191"/>
      <c r="B62" s="191"/>
      <c r="C62" s="191"/>
      <c r="D62" s="191"/>
      <c r="E62" s="191"/>
      <c r="F62" s="191"/>
      <c r="G62" s="191"/>
      <c r="H62" s="191"/>
      <c r="I62" s="191"/>
      <c r="J62" s="191"/>
    </row>
    <row r="63" spans="1:10">
      <c r="A63" s="191"/>
      <c r="B63" s="191"/>
      <c r="C63" s="191"/>
      <c r="D63" s="191"/>
      <c r="E63" s="191"/>
      <c r="F63" s="191"/>
      <c r="G63" s="191"/>
      <c r="H63" s="191"/>
      <c r="I63" s="191"/>
      <c r="J63" s="191"/>
    </row>
    <row r="64" spans="1:10">
      <c r="A64" s="191"/>
      <c r="B64" s="191"/>
      <c r="C64" s="191"/>
      <c r="D64" s="191"/>
      <c r="E64" s="191"/>
      <c r="F64" s="191"/>
      <c r="G64" s="191"/>
      <c r="H64" s="191"/>
      <c r="I64" s="191"/>
      <c r="J64" s="191"/>
    </row>
    <row r="65" spans="1:10">
      <c r="A65" s="191"/>
      <c r="B65" s="191"/>
      <c r="C65" s="191"/>
      <c r="D65" s="191"/>
      <c r="E65" s="191"/>
      <c r="F65" s="191"/>
      <c r="G65" s="191"/>
      <c r="H65" s="191"/>
      <c r="I65" s="191"/>
      <c r="J65" s="191"/>
    </row>
    <row r="66" spans="1:10">
      <c r="A66" s="191"/>
      <c r="B66" s="191"/>
      <c r="C66" s="191"/>
      <c r="D66" s="191"/>
      <c r="E66" s="191"/>
      <c r="F66" s="191"/>
      <c r="G66" s="191"/>
      <c r="H66" s="191"/>
      <c r="I66" s="191"/>
      <c r="J66" s="191"/>
    </row>
    <row r="67" spans="1:10">
      <c r="A67" s="191"/>
      <c r="B67" s="191"/>
      <c r="C67" s="191"/>
      <c r="D67" s="191"/>
      <c r="E67" s="191"/>
      <c r="F67" s="191"/>
      <c r="G67" s="191"/>
      <c r="H67" s="191"/>
      <c r="I67" s="191"/>
      <c r="J67" s="191"/>
    </row>
    <row r="68" spans="1:10">
      <c r="A68" s="191"/>
      <c r="B68" s="191"/>
      <c r="C68" s="191"/>
      <c r="D68" s="191"/>
      <c r="E68" s="191"/>
      <c r="F68" s="191"/>
      <c r="G68" s="191"/>
      <c r="H68" s="191"/>
      <c r="I68" s="191"/>
      <c r="J68" s="191"/>
    </row>
    <row r="69" spans="1:10">
      <c r="A69" s="191"/>
      <c r="B69" s="191"/>
      <c r="C69" s="191"/>
      <c r="D69" s="191"/>
      <c r="E69" s="191"/>
      <c r="F69" s="191"/>
      <c r="G69" s="191"/>
      <c r="H69" s="191"/>
      <c r="I69" s="191"/>
      <c r="J69" s="191"/>
    </row>
    <row r="70" spans="1:10">
      <c r="A70" s="191"/>
      <c r="B70" s="191"/>
      <c r="C70" s="191"/>
      <c r="D70" s="191"/>
      <c r="E70" s="191"/>
      <c r="F70" s="191"/>
      <c r="G70" s="191"/>
      <c r="H70" s="191"/>
      <c r="I70" s="191"/>
      <c r="J70" s="191"/>
    </row>
    <row r="71" spans="1:10">
      <c r="A71" s="191"/>
      <c r="B71" s="191"/>
      <c r="C71" s="191"/>
      <c r="D71" s="191"/>
      <c r="E71" s="191"/>
      <c r="F71" s="191"/>
      <c r="G71" s="191"/>
      <c r="H71" s="191"/>
      <c r="I71" s="191"/>
      <c r="J71" s="191"/>
    </row>
    <row r="72" spans="1:10">
      <c r="A72" s="191"/>
      <c r="B72" s="191"/>
      <c r="C72" s="191"/>
      <c r="D72" s="191"/>
      <c r="E72" s="191"/>
      <c r="F72" s="191"/>
      <c r="G72" s="191"/>
      <c r="H72" s="191"/>
      <c r="I72" s="191"/>
      <c r="J72" s="191"/>
    </row>
    <row r="73" spans="1:10">
      <c r="A73" s="191"/>
      <c r="B73" s="191"/>
      <c r="C73" s="191"/>
      <c r="D73" s="191"/>
      <c r="E73" s="191"/>
      <c r="F73" s="191"/>
      <c r="G73" s="191"/>
      <c r="H73" s="191"/>
      <c r="I73" s="191"/>
      <c r="J73" s="191"/>
    </row>
    <row r="74" spans="1:10">
      <c r="A74" s="191"/>
      <c r="B74" s="191"/>
      <c r="C74" s="191"/>
      <c r="D74" s="191"/>
      <c r="E74" s="191"/>
      <c r="F74" s="191"/>
      <c r="G74" s="191"/>
      <c r="H74" s="191"/>
      <c r="I74" s="191"/>
      <c r="J74" s="191"/>
    </row>
    <row r="75" spans="1:10">
      <c r="A75" s="191"/>
      <c r="B75" s="191"/>
      <c r="C75" s="191"/>
      <c r="D75" s="191"/>
      <c r="E75" s="191"/>
      <c r="F75" s="191"/>
      <c r="G75" s="191"/>
      <c r="H75" s="191"/>
      <c r="I75" s="191"/>
      <c r="J75" s="191"/>
    </row>
    <row r="76" spans="1:10">
      <c r="A76" s="191"/>
      <c r="B76" s="191"/>
      <c r="C76" s="191"/>
      <c r="D76" s="191"/>
      <c r="E76" s="191"/>
      <c r="F76" s="191"/>
      <c r="G76" s="191"/>
      <c r="H76" s="191"/>
      <c r="I76" s="191"/>
      <c r="J76" s="191"/>
    </row>
    <row r="77" spans="1:10">
      <c r="A77" s="191"/>
      <c r="B77" s="191"/>
      <c r="C77" s="191"/>
      <c r="D77" s="191"/>
      <c r="E77" s="191"/>
      <c r="F77" s="191"/>
      <c r="G77" s="191"/>
      <c r="H77" s="191"/>
      <c r="I77" s="191"/>
      <c r="J77" s="191"/>
    </row>
    <row r="78" spans="1:10">
      <c r="A78" s="191"/>
      <c r="B78" s="191"/>
      <c r="C78" s="191"/>
      <c r="D78" s="191"/>
      <c r="E78" s="191"/>
      <c r="F78" s="191"/>
      <c r="G78" s="191"/>
      <c r="H78" s="191"/>
      <c r="I78" s="191"/>
      <c r="J78" s="191"/>
    </row>
    <row r="79" spans="1:10">
      <c r="A79" s="191"/>
      <c r="B79" s="191"/>
      <c r="C79" s="191"/>
      <c r="D79" s="191"/>
      <c r="E79" s="191"/>
      <c r="F79" s="191"/>
      <c r="G79" s="191"/>
      <c r="H79" s="191"/>
      <c r="I79" s="191"/>
      <c r="J79" s="191"/>
    </row>
    <row r="80" spans="1:10">
      <c r="A80" s="191"/>
      <c r="B80" s="191"/>
      <c r="C80" s="191"/>
      <c r="D80" s="191"/>
      <c r="E80" s="191"/>
      <c r="F80" s="191"/>
      <c r="G80" s="191"/>
      <c r="H80" s="191"/>
      <c r="I80" s="191"/>
      <c r="J80" s="191"/>
    </row>
    <row r="81" spans="1:10">
      <c r="A81" s="191"/>
      <c r="B81" s="191"/>
      <c r="C81" s="191"/>
      <c r="D81" s="191"/>
      <c r="E81" s="191"/>
      <c r="F81" s="191"/>
      <c r="G81" s="191"/>
      <c r="H81" s="191"/>
      <c r="I81" s="191"/>
      <c r="J81" s="191"/>
    </row>
    <row r="82" spans="1:10">
      <c r="A82" s="191"/>
      <c r="B82" s="191"/>
      <c r="C82" s="191"/>
      <c r="D82" s="191"/>
      <c r="E82" s="191"/>
      <c r="F82" s="191"/>
      <c r="G82" s="191"/>
      <c r="H82" s="191"/>
      <c r="I82" s="191"/>
      <c r="J82" s="191"/>
    </row>
    <row r="83" spans="1:10">
      <c r="A83" s="191"/>
      <c r="B83" s="191"/>
      <c r="C83" s="191"/>
      <c r="D83" s="191"/>
      <c r="E83" s="191"/>
      <c r="F83" s="191"/>
      <c r="G83" s="191"/>
      <c r="H83" s="191"/>
      <c r="I83" s="191"/>
      <c r="J83" s="191"/>
    </row>
    <row r="84" spans="1:10">
      <c r="A84" s="191"/>
      <c r="B84" s="191"/>
      <c r="C84" s="191"/>
      <c r="D84" s="191"/>
      <c r="E84" s="191"/>
      <c r="F84" s="191"/>
      <c r="G84" s="191"/>
      <c r="H84" s="191"/>
      <c r="I84" s="191"/>
      <c r="J84" s="191"/>
    </row>
    <row r="85" spans="1:10">
      <c r="A85" s="191"/>
      <c r="B85" s="191"/>
      <c r="C85" s="191"/>
      <c r="D85" s="191"/>
      <c r="E85" s="191"/>
      <c r="F85" s="191"/>
      <c r="G85" s="191"/>
      <c r="H85" s="191"/>
      <c r="I85" s="191"/>
      <c r="J85" s="191"/>
    </row>
    <row r="86" spans="1:10">
      <c r="A86" s="191"/>
      <c r="B86" s="191"/>
      <c r="C86" s="191"/>
      <c r="D86" s="191"/>
      <c r="E86" s="191"/>
      <c r="F86" s="191"/>
      <c r="G86" s="191"/>
      <c r="H86" s="191"/>
      <c r="I86" s="191"/>
      <c r="J86" s="191"/>
    </row>
    <row r="87" spans="1:10">
      <c r="A87" s="191"/>
      <c r="B87" s="191"/>
      <c r="C87" s="191"/>
      <c r="D87" s="191"/>
      <c r="E87" s="191"/>
      <c r="F87" s="191"/>
      <c r="G87" s="191"/>
      <c r="H87" s="191"/>
      <c r="I87" s="191"/>
      <c r="J87" s="191"/>
    </row>
    <row r="88" spans="1:10">
      <c r="A88" s="191"/>
      <c r="B88" s="191"/>
      <c r="C88" s="191"/>
      <c r="D88" s="191"/>
      <c r="E88" s="191"/>
      <c r="F88" s="191"/>
      <c r="G88" s="191"/>
      <c r="H88" s="191"/>
      <c r="I88" s="191"/>
      <c r="J88" s="191"/>
    </row>
    <row r="89" spans="1:10">
      <c r="A89" s="191"/>
      <c r="B89" s="191"/>
      <c r="C89" s="191"/>
      <c r="D89" s="191"/>
      <c r="E89" s="191"/>
      <c r="F89" s="191"/>
      <c r="G89" s="191"/>
      <c r="H89" s="191"/>
      <c r="I89" s="191"/>
      <c r="J89" s="191"/>
    </row>
    <row r="90" spans="1:10">
      <c r="A90" s="191"/>
      <c r="B90" s="191"/>
      <c r="C90" s="191"/>
      <c r="D90" s="191"/>
      <c r="E90" s="191"/>
      <c r="F90" s="191"/>
      <c r="G90" s="191"/>
      <c r="H90" s="191"/>
      <c r="I90" s="191"/>
      <c r="J90" s="191"/>
    </row>
    <row r="91" spans="1:10">
      <c r="A91" s="191"/>
      <c r="B91" s="191"/>
      <c r="C91" s="191"/>
      <c r="D91" s="191"/>
      <c r="E91" s="191"/>
      <c r="F91" s="191"/>
      <c r="G91" s="191"/>
      <c r="H91" s="191"/>
      <c r="I91" s="191"/>
      <c r="J91" s="191"/>
    </row>
    <row r="92" spans="1:10">
      <c r="A92" s="191"/>
      <c r="B92" s="191"/>
      <c r="C92" s="191"/>
      <c r="D92" s="191"/>
      <c r="E92" s="191"/>
      <c r="F92" s="191"/>
      <c r="G92" s="191"/>
      <c r="H92" s="191"/>
      <c r="I92" s="191"/>
      <c r="J92" s="191"/>
    </row>
    <row r="93" spans="1:10">
      <c r="A93" s="191"/>
      <c r="B93" s="191"/>
      <c r="C93" s="191"/>
      <c r="D93" s="191"/>
      <c r="E93" s="191"/>
      <c r="F93" s="191"/>
      <c r="G93" s="191"/>
      <c r="H93" s="191"/>
      <c r="I93" s="191"/>
      <c r="J93" s="191"/>
    </row>
    <row r="94" spans="1:10">
      <c r="A94" s="191"/>
      <c r="B94" s="191"/>
      <c r="C94" s="191"/>
      <c r="D94" s="191"/>
      <c r="E94" s="191"/>
      <c r="F94" s="191"/>
      <c r="G94" s="191"/>
      <c r="H94" s="191"/>
      <c r="I94" s="191"/>
      <c r="J94" s="191"/>
    </row>
    <row r="95" spans="1:10">
      <c r="A95" s="191"/>
      <c r="B95" s="191"/>
      <c r="C95" s="191"/>
      <c r="D95" s="191"/>
      <c r="E95" s="191"/>
      <c r="F95" s="191"/>
      <c r="G95" s="191"/>
      <c r="H95" s="191"/>
      <c r="I95" s="191"/>
      <c r="J95" s="191"/>
    </row>
    <row r="96" spans="1:10">
      <c r="A96" s="191"/>
      <c r="B96" s="191"/>
      <c r="C96" s="191"/>
      <c r="D96" s="191"/>
      <c r="E96" s="191"/>
      <c r="F96" s="191"/>
      <c r="G96" s="191"/>
      <c r="H96" s="191"/>
      <c r="I96" s="191"/>
      <c r="J96" s="191"/>
    </row>
    <row r="97" spans="1:10">
      <c r="A97" s="191"/>
      <c r="B97" s="191"/>
      <c r="C97" s="191"/>
      <c r="D97" s="191"/>
      <c r="E97" s="191"/>
      <c r="F97" s="191"/>
      <c r="G97" s="191"/>
      <c r="H97" s="191"/>
      <c r="I97" s="191"/>
      <c r="J97" s="191"/>
    </row>
    <row r="98" spans="1:10">
      <c r="A98" s="191"/>
      <c r="B98" s="191"/>
      <c r="C98" s="191"/>
      <c r="D98" s="191"/>
      <c r="E98" s="191"/>
      <c r="F98" s="191"/>
      <c r="G98" s="191"/>
      <c r="H98" s="191"/>
      <c r="I98" s="191"/>
      <c r="J98" s="191"/>
    </row>
    <row r="99" spans="1:10">
      <c r="A99" s="191"/>
      <c r="B99" s="191"/>
      <c r="C99" s="191"/>
      <c r="D99" s="191"/>
      <c r="E99" s="191"/>
      <c r="F99" s="191"/>
      <c r="G99" s="191"/>
      <c r="H99" s="191"/>
      <c r="I99" s="191"/>
      <c r="J99" s="191"/>
    </row>
    <row r="100" spans="1:10">
      <c r="A100" s="191"/>
      <c r="B100" s="191"/>
      <c r="C100" s="191"/>
      <c r="D100" s="191"/>
      <c r="E100" s="191"/>
      <c r="F100" s="191"/>
      <c r="G100" s="191"/>
      <c r="H100" s="191"/>
      <c r="I100" s="191"/>
      <c r="J100" s="191"/>
    </row>
    <row r="101" spans="1:10">
      <c r="A101" s="191"/>
      <c r="B101" s="191"/>
      <c r="C101" s="191"/>
      <c r="D101" s="191"/>
      <c r="E101" s="191"/>
      <c r="F101" s="191"/>
      <c r="G101" s="191"/>
      <c r="H101" s="191"/>
      <c r="I101" s="191"/>
      <c r="J101" s="191"/>
    </row>
    <row r="102" spans="1:10">
      <c r="A102" s="191"/>
      <c r="B102" s="191"/>
      <c r="C102" s="191"/>
      <c r="D102" s="191"/>
      <c r="E102" s="191"/>
      <c r="F102" s="191"/>
      <c r="G102" s="191"/>
      <c r="H102" s="191"/>
      <c r="I102" s="191"/>
      <c r="J102" s="191"/>
    </row>
    <row r="103" spans="1:10">
      <c r="A103" s="191"/>
      <c r="B103" s="191"/>
      <c r="C103" s="191"/>
      <c r="D103" s="191"/>
      <c r="E103" s="191"/>
      <c r="F103" s="191"/>
      <c r="G103" s="191"/>
      <c r="H103" s="191"/>
      <c r="I103" s="191"/>
      <c r="J103" s="191"/>
    </row>
    <row r="104" spans="1:10">
      <c r="A104" s="191"/>
      <c r="B104" s="191"/>
      <c r="C104" s="191"/>
      <c r="D104" s="191"/>
      <c r="E104" s="191"/>
      <c r="F104" s="191"/>
      <c r="G104" s="191"/>
      <c r="H104" s="191"/>
      <c r="I104" s="191"/>
      <c r="J104" s="191"/>
    </row>
    <row r="105" spans="1:10">
      <c r="A105" s="191"/>
      <c r="B105" s="191"/>
      <c r="C105" s="191"/>
      <c r="D105" s="191"/>
      <c r="E105" s="191"/>
      <c r="F105" s="191"/>
      <c r="G105" s="191"/>
      <c r="H105" s="191"/>
      <c r="I105" s="191"/>
      <c r="J105" s="191"/>
    </row>
    <row r="106" spans="1:10">
      <c r="A106" s="191"/>
      <c r="B106" s="191"/>
      <c r="C106" s="191"/>
      <c r="D106" s="191"/>
      <c r="E106" s="191"/>
      <c r="F106" s="191"/>
      <c r="G106" s="191"/>
      <c r="H106" s="191"/>
      <c r="I106" s="191"/>
      <c r="J106" s="191"/>
    </row>
    <row r="107" spans="1:10">
      <c r="A107" s="191"/>
      <c r="B107" s="191"/>
      <c r="C107" s="191"/>
      <c r="D107" s="191"/>
      <c r="E107" s="191"/>
      <c r="F107" s="191"/>
      <c r="G107" s="191"/>
      <c r="H107" s="191"/>
      <c r="I107" s="191"/>
      <c r="J107" s="191"/>
    </row>
    <row r="108" spans="1:10">
      <c r="A108" s="191"/>
      <c r="B108" s="191"/>
      <c r="C108" s="191"/>
      <c r="D108" s="191"/>
      <c r="E108" s="191"/>
      <c r="F108" s="191"/>
      <c r="G108" s="191"/>
      <c r="H108" s="191"/>
      <c r="I108" s="191"/>
      <c r="J108" s="191"/>
    </row>
    <row r="109" spans="1:10">
      <c r="A109" s="191"/>
      <c r="B109" s="191"/>
      <c r="C109" s="191"/>
      <c r="D109" s="191"/>
      <c r="E109" s="191"/>
      <c r="F109" s="191"/>
      <c r="G109" s="191"/>
      <c r="H109" s="191"/>
      <c r="I109" s="191"/>
      <c r="J109" s="191"/>
    </row>
    <row r="110" spans="1:10">
      <c r="A110" s="191"/>
      <c r="B110" s="191"/>
      <c r="C110" s="191"/>
      <c r="D110" s="191"/>
      <c r="E110" s="191"/>
      <c r="F110" s="191"/>
      <c r="G110" s="191"/>
      <c r="H110" s="191"/>
      <c r="I110" s="191"/>
      <c r="J110" s="191"/>
    </row>
    <row r="111" spans="1:10">
      <c r="A111" s="191"/>
      <c r="B111" s="191"/>
      <c r="C111" s="191"/>
      <c r="D111" s="191"/>
      <c r="E111" s="191"/>
      <c r="F111" s="191"/>
      <c r="G111" s="191"/>
      <c r="H111" s="191"/>
      <c r="I111" s="191"/>
      <c r="J111" s="191"/>
    </row>
  </sheetData>
  <sheetProtection selectLockedCells="1"/>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R29"/>
  <sheetViews>
    <sheetView showGridLines="0" showRowColHeaders="0" workbookViewId="0">
      <selection activeCell="D7" sqref="D7:E8"/>
    </sheetView>
  </sheetViews>
  <sheetFormatPr defaultColWidth="4" defaultRowHeight="14.25"/>
  <cols>
    <col min="1" max="1" width="4" style="120" customWidth="1"/>
    <col min="2" max="16384" width="4" style="111" customWidth="1"/>
  </cols>
  <sheetData>
    <row r="2" ht="16.5" spans="1:44">
      <c r="A2" s="120">
        <f ca="1">RANDBETWEEN(1,6)</f>
        <v>3</v>
      </c>
      <c r="B2" s="121" t="s">
        <v>1021</v>
      </c>
      <c r="C2" s="122"/>
      <c r="D2" s="122"/>
      <c r="E2" s="122"/>
      <c r="F2" s="122"/>
      <c r="G2" s="122"/>
      <c r="H2" s="122"/>
      <c r="I2" s="122"/>
      <c r="J2" s="122"/>
      <c r="K2" s="122"/>
      <c r="L2" s="122"/>
      <c r="M2" s="122"/>
      <c r="N2" s="122"/>
      <c r="O2" s="122"/>
      <c r="P2" s="122"/>
      <c r="Q2" s="122"/>
      <c r="R2" s="122"/>
      <c r="S2" s="149"/>
      <c r="U2" s="150" t="s">
        <v>1022</v>
      </c>
      <c r="V2" s="151"/>
      <c r="AA2" s="164" t="s">
        <v>1023</v>
      </c>
      <c r="AB2" s="165"/>
      <c r="AC2" s="165"/>
      <c r="AD2" s="165"/>
      <c r="AE2" s="165"/>
      <c r="AF2" s="165"/>
      <c r="AG2" s="165"/>
      <c r="AH2" s="165"/>
      <c r="AI2" s="165"/>
      <c r="AJ2" s="165"/>
      <c r="AK2" s="165"/>
      <c r="AL2" s="165"/>
      <c r="AM2" s="165"/>
      <c r="AN2" s="165"/>
      <c r="AO2" s="165"/>
      <c r="AP2" s="165"/>
      <c r="AQ2" s="165"/>
      <c r="AR2" s="175"/>
    </row>
    <row r="3" ht="17.25" customHeight="1" spans="1:44">
      <c r="A3" s="120">
        <f ca="1">RANDBETWEEN(1,6)</f>
        <v>6</v>
      </c>
      <c r="B3" s="123" t="s">
        <v>1024</v>
      </c>
      <c r="C3" s="124"/>
      <c r="D3" s="114">
        <f ca="1">SUM(A2:A4)*5</f>
        <v>55</v>
      </c>
      <c r="E3" s="114"/>
      <c r="F3" s="125">
        <f ca="1">INT(D3/2)</f>
        <v>27</v>
      </c>
      <c r="G3" s="125"/>
      <c r="H3" s="126" t="s">
        <v>1025</v>
      </c>
      <c r="I3" s="126"/>
      <c r="J3" s="116">
        <f ca="1">SUM(A8:A10)*5</f>
        <v>35</v>
      </c>
      <c r="K3" s="116"/>
      <c r="L3" s="129">
        <f ca="1">INT(J3/2)</f>
        <v>17</v>
      </c>
      <c r="M3" s="129"/>
      <c r="N3" s="124" t="s">
        <v>1026</v>
      </c>
      <c r="O3" s="124"/>
      <c r="P3" s="114">
        <f ca="1">SUM(A14:A16)*5</f>
        <v>70</v>
      </c>
      <c r="Q3" s="114"/>
      <c r="R3" s="125">
        <f ca="1">INT(P3/2)</f>
        <v>35</v>
      </c>
      <c r="S3" s="152"/>
      <c r="U3" s="153">
        <f ca="1">SUM(A24:A26)*5</f>
        <v>65</v>
      </c>
      <c r="V3" s="154"/>
      <c r="AA3" s="166" t="str">
        <f ca="1">IF(D3&lt;=15,"穿衣服都有些吃力",IF(D3&lt;=40,"手无缚鸡之力",IF(D3&lt;=60,"有正常人的力量",IF(D3&lt;=80,"超乎常人的力度",IF(D3&lt;100,"可能是一拳超人")))))</f>
        <v>有正常人的力量</v>
      </c>
      <c r="AB3" s="167"/>
      <c r="AC3" s="167"/>
      <c r="AD3" s="167"/>
      <c r="AE3" s="167"/>
      <c r="AF3" s="167"/>
      <c r="AG3" s="169" t="str">
        <f ca="1">IF(J3&lt;=20,"安了假腿",IF(J3&lt;=40,"很不灵活",IF(J3&lt;=60,"不上不下真尴尬",IF(J3&lt;=80,"是一位运动健将",IF(J3&lt;100,"跑得比香港记者还快")))))</f>
        <v>很不灵活</v>
      </c>
      <c r="AH3" s="169"/>
      <c r="AI3" s="169"/>
      <c r="AJ3" s="169"/>
      <c r="AK3" s="169"/>
      <c r="AL3" s="169"/>
      <c r="AM3" s="167" t="str">
        <f ca="1">IF(P3&lt;=20,"尔不过玩物",IF(P3&lt;=40,"痴愚盲目",IF(P3&lt;=60,"如常人一般会有一定自制力",IF(P3&lt;=80,"我心如铁，心坚石穿",IF(P3&lt;100,"泰山崩于面而色不变")))))</f>
        <v>我心如铁，心坚石穿</v>
      </c>
      <c r="AN3" s="167"/>
      <c r="AO3" s="167"/>
      <c r="AP3" s="167"/>
      <c r="AQ3" s="167"/>
      <c r="AR3" s="176"/>
    </row>
    <row r="4" ht="15" spans="1:44">
      <c r="A4" s="120">
        <f ca="1" t="shared" ref="A4:A22" si="0">RANDBETWEEN(1,6)</f>
        <v>2</v>
      </c>
      <c r="B4" s="123"/>
      <c r="C4" s="124"/>
      <c r="D4" s="114"/>
      <c r="E4" s="114"/>
      <c r="F4" s="127">
        <f ca="1">INT(D3/5)</f>
        <v>11</v>
      </c>
      <c r="G4" s="127"/>
      <c r="H4" s="126"/>
      <c r="I4" s="126"/>
      <c r="J4" s="116"/>
      <c r="K4" s="116"/>
      <c r="L4" s="129">
        <f ca="1">INT(J3/5)</f>
        <v>7</v>
      </c>
      <c r="M4" s="129"/>
      <c r="N4" s="124"/>
      <c r="O4" s="124"/>
      <c r="P4" s="114"/>
      <c r="Q4" s="114"/>
      <c r="R4" s="125">
        <f ca="1">INT(P3/5)</f>
        <v>14</v>
      </c>
      <c r="S4" s="152"/>
      <c r="U4" s="155"/>
      <c r="V4" s="156"/>
      <c r="AA4" s="166"/>
      <c r="AB4" s="167"/>
      <c r="AC4" s="167"/>
      <c r="AD4" s="167"/>
      <c r="AE4" s="167"/>
      <c r="AF4" s="167"/>
      <c r="AG4" s="169"/>
      <c r="AH4" s="169"/>
      <c r="AI4" s="169"/>
      <c r="AJ4" s="169"/>
      <c r="AK4" s="169"/>
      <c r="AL4" s="169"/>
      <c r="AM4" s="167"/>
      <c r="AN4" s="167"/>
      <c r="AO4" s="167"/>
      <c r="AP4" s="167"/>
      <c r="AQ4" s="167"/>
      <c r="AR4" s="176"/>
    </row>
    <row r="5" ht="18" customHeight="1" spans="1:44">
      <c r="A5" s="120">
        <f ca="1" t="shared" si="0"/>
        <v>1</v>
      </c>
      <c r="B5" s="128" t="s">
        <v>1027</v>
      </c>
      <c r="C5" s="126"/>
      <c r="D5" s="116">
        <f ca="1">SUM(A5:A7)*5</f>
        <v>20</v>
      </c>
      <c r="E5" s="116"/>
      <c r="F5" s="129">
        <f ca="1" t="shared" ref="F5" si="1">INT(D5/2)</f>
        <v>10</v>
      </c>
      <c r="G5" s="129"/>
      <c r="H5" s="124" t="s">
        <v>1028</v>
      </c>
      <c r="I5" s="124"/>
      <c r="J5" s="116">
        <f ca="1">SUM(A11:A13)*5</f>
        <v>65</v>
      </c>
      <c r="K5" s="116"/>
      <c r="L5" s="125">
        <f ca="1" t="shared" ref="L5" si="2">INT(J5/2)</f>
        <v>32</v>
      </c>
      <c r="M5" s="125"/>
      <c r="N5" s="126" t="s">
        <v>1029</v>
      </c>
      <c r="O5" s="126"/>
      <c r="P5" s="116">
        <f ca="1">(SUM(A21:A22)+6)*5</f>
        <v>70</v>
      </c>
      <c r="Q5" s="116"/>
      <c r="R5" s="129">
        <f ca="1">INT(P5/2)</f>
        <v>35</v>
      </c>
      <c r="S5" s="157"/>
      <c r="AA5" s="168" t="str">
        <f ca="1">IF(D5&lt;=20,"常年患病在身",IF(D5&lt;=40,"体弱多病",IF(D5&lt;=60,"不会生什么大毛病",IF(D5&lt;=80,"健硕，浑身湿透也不会感冒",IF(D5&lt;100,"病痛是什么？能吃吗")))))</f>
        <v>常年患病在身</v>
      </c>
      <c r="AB5" s="169"/>
      <c r="AC5" s="169"/>
      <c r="AD5" s="169"/>
      <c r="AE5" s="169"/>
      <c r="AF5" s="169"/>
      <c r="AG5" s="167" t="str">
        <f ca="1">IF(J5&lt;=20,"用脸就能恐惧敌人。。或队友",IF(J5&lt;=40,"和大便比起来，还能看的过去",IF(J5&lt;=60,"人群之中谁也不会看你一眼之后就忘不掉你容颜",IF(J5&lt;=80,"五官端正，仪表堂堂",IF(J5&lt;100,"沉鱼落雁，闭月羞花")))))</f>
        <v>五官端正，仪表堂堂</v>
      </c>
      <c r="AH5" s="167"/>
      <c r="AI5" s="167"/>
      <c r="AJ5" s="167"/>
      <c r="AK5" s="167"/>
      <c r="AL5" s="167"/>
      <c r="AM5" s="169" t="str">
        <f ca="1">IF(P5&lt;=20,"目不识丁",IF(P5&lt;=40,"小学毕业",IF(P5&lt;=60,"高中毕业",IF(P5&lt;=80,"是重点大学的学生，或是普通大学的研究生",IF(P5&lt;100,"饱读诗书，满腹经纶")))))</f>
        <v>是重点大学的学生，或是普通大学的研究生</v>
      </c>
      <c r="AN5" s="169"/>
      <c r="AO5" s="169"/>
      <c r="AP5" s="169"/>
      <c r="AQ5" s="169"/>
      <c r="AR5" s="177"/>
    </row>
    <row r="6" spans="1:44">
      <c r="A6" s="120">
        <f ca="1" t="shared" si="0"/>
        <v>1</v>
      </c>
      <c r="B6" s="128"/>
      <c r="C6" s="126"/>
      <c r="D6" s="116"/>
      <c r="E6" s="116"/>
      <c r="F6" s="130">
        <f ca="1" t="shared" ref="F6" si="3">INT(D5/5)</f>
        <v>4</v>
      </c>
      <c r="G6" s="130"/>
      <c r="H6" s="124"/>
      <c r="I6" s="124"/>
      <c r="J6" s="116"/>
      <c r="K6" s="116"/>
      <c r="L6" s="125">
        <f ca="1" t="shared" ref="L6" si="4">INT(J5/5)</f>
        <v>13</v>
      </c>
      <c r="M6" s="125"/>
      <c r="N6" s="126"/>
      <c r="O6" s="126"/>
      <c r="P6" s="116"/>
      <c r="Q6" s="116"/>
      <c r="R6" s="129">
        <f ca="1">INT(P5/5)</f>
        <v>14</v>
      </c>
      <c r="S6" s="157"/>
      <c r="U6" s="150" t="s">
        <v>1030</v>
      </c>
      <c r="V6" s="151"/>
      <c r="AA6" s="168"/>
      <c r="AB6" s="169"/>
      <c r="AC6" s="169"/>
      <c r="AD6" s="169"/>
      <c r="AE6" s="169"/>
      <c r="AF6" s="169"/>
      <c r="AG6" s="167"/>
      <c r="AH6" s="167"/>
      <c r="AI6" s="167"/>
      <c r="AJ6" s="167"/>
      <c r="AK6" s="167"/>
      <c r="AL6" s="167"/>
      <c r="AM6" s="169"/>
      <c r="AN6" s="169"/>
      <c r="AO6" s="169"/>
      <c r="AP6" s="169"/>
      <c r="AQ6" s="169"/>
      <c r="AR6" s="177"/>
    </row>
    <row r="7" ht="17.25" customHeight="1" spans="1:44">
      <c r="A7" s="120">
        <f ca="1" t="shared" si="0"/>
        <v>2</v>
      </c>
      <c r="B7" s="123" t="s">
        <v>1031</v>
      </c>
      <c r="C7" s="124"/>
      <c r="D7" s="114">
        <f ca="1">(SUM(A17:A18)+6)*5</f>
        <v>55</v>
      </c>
      <c r="E7" s="114"/>
      <c r="F7" s="125">
        <f ca="1" t="shared" ref="F7" si="5">INT(D7/2)</f>
        <v>27</v>
      </c>
      <c r="G7" s="125"/>
      <c r="H7" s="126" t="s">
        <v>1032</v>
      </c>
      <c r="I7" s="126"/>
      <c r="J7" s="116">
        <f ca="1">(SUM(A19:A20)+6)*5</f>
        <v>50</v>
      </c>
      <c r="K7" s="116"/>
      <c r="L7" s="129">
        <f ca="1" t="shared" ref="L7" si="6">INT(J7/2)</f>
        <v>25</v>
      </c>
      <c r="M7" s="129"/>
      <c r="N7" s="143" t="str">
        <f ca="1">"所有属性之和="&amp;SUM(D3:E8,J3:K8,P3:Q6)</f>
        <v>所有属性之和=420</v>
      </c>
      <c r="O7" s="144"/>
      <c r="P7" s="144"/>
      <c r="Q7" s="144"/>
      <c r="R7" s="144"/>
      <c r="S7" s="158"/>
      <c r="U7" s="153">
        <f ca="1">SUM(A27:A29)*5</f>
        <v>40</v>
      </c>
      <c r="V7" s="154"/>
      <c r="AA7" s="166" t="str">
        <f ca="1">IF(D7&lt;=20,"孩童，身短体瘦",IF(D7&lt;=40,"乙女身材",IF(D7&lt;=60,"普遍身高155-175",IF(D7&lt;=80,"不是高就是胖",IF(D7&lt;=100,"怕不是姚胖子")))))</f>
        <v>普遍身高155-175</v>
      </c>
      <c r="AB7" s="167"/>
      <c r="AC7" s="167"/>
      <c r="AD7" s="167"/>
      <c r="AE7" s="167"/>
      <c r="AF7" s="167"/>
      <c r="AG7" s="169" t="str">
        <f ca="1">IF(J7&lt;=20,"脑子是个好东西，可惜。。。",IF(J7&lt;=40,"宛如智障",IF(J7&lt;=60,"有着普通人的灵光一现",IF(J7&lt;=80,"可以自主进行发明创造",IF(J7&lt;100,"天才级水准")))))</f>
        <v>有着普通人的灵光一现</v>
      </c>
      <c r="AH7" s="169"/>
      <c r="AI7" s="169"/>
      <c r="AJ7" s="169"/>
      <c r="AK7" s="169"/>
      <c r="AL7" s="169"/>
      <c r="AM7" s="172" t="str">
        <f ca="1">IF(U3&lt;=20,"克夫克妻",IF(U3&lt;=40,"霉运连连",IF(U3&lt;=60,"命格平庸",IF(U3&lt;=80,"在马路边捡到100块",IF(U3&lt;100,"会被彩票店拒之门外")))))</f>
        <v>在马路边捡到100块</v>
      </c>
      <c r="AN7" s="172"/>
      <c r="AO7" s="172"/>
      <c r="AP7" s="172"/>
      <c r="AQ7" s="172"/>
      <c r="AR7" s="178"/>
    </row>
    <row r="8" ht="15" spans="1:44">
      <c r="A8" s="120">
        <f ca="1" t="shared" si="0"/>
        <v>1</v>
      </c>
      <c r="B8" s="131"/>
      <c r="C8" s="132"/>
      <c r="D8" s="133"/>
      <c r="E8" s="133"/>
      <c r="F8" s="134">
        <f ca="1" t="shared" ref="F8" si="7">INT(D7/5)</f>
        <v>11</v>
      </c>
      <c r="G8" s="134"/>
      <c r="H8" s="135"/>
      <c r="I8" s="135"/>
      <c r="J8" s="145"/>
      <c r="K8" s="145"/>
      <c r="L8" s="146">
        <f ca="1" t="shared" ref="L8" si="8">INT(J7/5)</f>
        <v>10</v>
      </c>
      <c r="M8" s="146"/>
      <c r="N8" s="147"/>
      <c r="O8" s="148"/>
      <c r="P8" s="148"/>
      <c r="Q8" s="148"/>
      <c r="R8" s="148"/>
      <c r="S8" s="159"/>
      <c r="U8" s="155"/>
      <c r="V8" s="156"/>
      <c r="AA8" s="170"/>
      <c r="AB8" s="171"/>
      <c r="AC8" s="171"/>
      <c r="AD8" s="171"/>
      <c r="AE8" s="171"/>
      <c r="AF8" s="171"/>
      <c r="AG8" s="173"/>
      <c r="AH8" s="173"/>
      <c r="AI8" s="173"/>
      <c r="AJ8" s="173"/>
      <c r="AK8" s="173"/>
      <c r="AL8" s="173"/>
      <c r="AM8" s="174"/>
      <c r="AN8" s="174"/>
      <c r="AO8" s="174"/>
      <c r="AP8" s="174"/>
      <c r="AQ8" s="174"/>
      <c r="AR8" s="179"/>
    </row>
    <row r="9" ht="15" spans="1:1">
      <c r="A9" s="120">
        <f ca="1" t="shared" si="0"/>
        <v>4</v>
      </c>
    </row>
    <row r="10" ht="15" spans="1:22">
      <c r="A10" s="120">
        <f ca="1" t="shared" si="0"/>
        <v>2</v>
      </c>
      <c r="B10" s="136" t="s">
        <v>1033</v>
      </c>
      <c r="C10" s="137"/>
      <c r="D10" s="137"/>
      <c r="E10" s="137"/>
      <c r="F10" s="137"/>
      <c r="G10" s="137"/>
      <c r="H10" s="137"/>
      <c r="I10" s="137"/>
      <c r="J10" s="137"/>
      <c r="K10" s="137"/>
      <c r="L10" s="137"/>
      <c r="M10" s="137"/>
      <c r="N10" s="137"/>
      <c r="O10" s="137"/>
      <c r="P10" s="137"/>
      <c r="Q10" s="137"/>
      <c r="R10" s="137"/>
      <c r="S10" s="137"/>
      <c r="T10" s="137"/>
      <c r="U10" s="137"/>
      <c r="V10" s="160"/>
    </row>
    <row r="11" ht="15" spans="1:1">
      <c r="A11" s="120">
        <f ca="1" t="shared" si="0"/>
        <v>3</v>
      </c>
    </row>
    <row r="12" spans="1:22">
      <c r="A12" s="120">
        <f ca="1" t="shared" si="0"/>
        <v>6</v>
      </c>
      <c r="B12" s="121" t="s">
        <v>1034</v>
      </c>
      <c r="C12" s="122"/>
      <c r="D12" s="122"/>
      <c r="E12" s="122"/>
      <c r="F12" s="122"/>
      <c r="G12" s="122"/>
      <c r="H12" s="122"/>
      <c r="I12" s="122"/>
      <c r="J12" s="122"/>
      <c r="K12" s="122"/>
      <c r="L12" s="122"/>
      <c r="M12" s="122"/>
      <c r="N12" s="122"/>
      <c r="O12" s="122"/>
      <c r="P12" s="122"/>
      <c r="Q12" s="122"/>
      <c r="R12" s="122"/>
      <c r="S12" s="122"/>
      <c r="T12" s="122"/>
      <c r="U12" s="122"/>
      <c r="V12" s="149"/>
    </row>
    <row r="13" ht="16.5" spans="1:22">
      <c r="A13" s="120">
        <f ca="1" t="shared" si="0"/>
        <v>4</v>
      </c>
      <c r="B13" s="138" t="s">
        <v>1035</v>
      </c>
      <c r="C13" s="139"/>
      <c r="D13" s="139"/>
      <c r="E13" s="139" t="s">
        <v>1036</v>
      </c>
      <c r="F13" s="139"/>
      <c r="G13" s="139"/>
      <c r="H13" s="139" t="s">
        <v>1037</v>
      </c>
      <c r="I13" s="139"/>
      <c r="J13" s="139"/>
      <c r="K13" s="139" t="s">
        <v>1038</v>
      </c>
      <c r="L13" s="139"/>
      <c r="M13" s="139"/>
      <c r="N13" s="139" t="s">
        <v>1039</v>
      </c>
      <c r="O13" s="139"/>
      <c r="P13" s="139"/>
      <c r="Q13" s="139" t="s">
        <v>1040</v>
      </c>
      <c r="R13" s="139"/>
      <c r="S13" s="139"/>
      <c r="T13" s="139" t="s">
        <v>1041</v>
      </c>
      <c r="U13" s="139"/>
      <c r="V13" s="161"/>
    </row>
    <row r="14" spans="1:22">
      <c r="A14" s="120">
        <f ca="1" t="shared" si="0"/>
        <v>2</v>
      </c>
      <c r="B14" s="140">
        <f ca="1">RANDBETWEEN(1,2)</f>
        <v>2</v>
      </c>
      <c r="C14" s="130"/>
      <c r="D14" s="130"/>
      <c r="E14" s="130">
        <f ca="1">RANDBETWEEN(1,4)</f>
        <v>4</v>
      </c>
      <c r="F14" s="130"/>
      <c r="G14" s="130"/>
      <c r="H14" s="130">
        <f ca="1">RANDBETWEEN(1,6)</f>
        <v>1</v>
      </c>
      <c r="I14" s="130"/>
      <c r="J14" s="130"/>
      <c r="K14" s="130">
        <f ca="1">RANDBETWEEN(1,8)</f>
        <v>8</v>
      </c>
      <c r="L14" s="130"/>
      <c r="M14" s="130"/>
      <c r="N14" s="130">
        <f ca="1">RANDBETWEEN(1,10)</f>
        <v>9</v>
      </c>
      <c r="O14" s="130"/>
      <c r="P14" s="130"/>
      <c r="Q14" s="130">
        <f ca="1">RANDBETWEEN(1,20)</f>
        <v>10</v>
      </c>
      <c r="R14" s="130"/>
      <c r="S14" s="130"/>
      <c r="T14" s="130">
        <f ca="1">RANDBETWEEN(0,99)</f>
        <v>16</v>
      </c>
      <c r="U14" s="130"/>
      <c r="V14" s="162"/>
    </row>
    <row r="15" ht="15" spans="1:22">
      <c r="A15" s="120">
        <f ca="1" t="shared" si="0"/>
        <v>6</v>
      </c>
      <c r="B15" s="141"/>
      <c r="C15" s="142"/>
      <c r="D15" s="142"/>
      <c r="E15" s="142"/>
      <c r="F15" s="142"/>
      <c r="G15" s="142"/>
      <c r="H15" s="142"/>
      <c r="I15" s="142"/>
      <c r="J15" s="142"/>
      <c r="K15" s="142"/>
      <c r="L15" s="142"/>
      <c r="M15" s="142"/>
      <c r="N15" s="142"/>
      <c r="O15" s="142"/>
      <c r="P15" s="142"/>
      <c r="Q15" s="142"/>
      <c r="R15" s="142"/>
      <c r="S15" s="142"/>
      <c r="T15" s="142"/>
      <c r="U15" s="142"/>
      <c r="V15" s="163"/>
    </row>
    <row r="16" spans="1:1">
      <c r="A16" s="120">
        <f ca="1" t="shared" si="0"/>
        <v>6</v>
      </c>
    </row>
    <row r="17" spans="1:1">
      <c r="A17" s="120">
        <f ca="1" t="shared" si="0"/>
        <v>1</v>
      </c>
    </row>
    <row r="18" spans="1:1">
      <c r="A18" s="120">
        <f ca="1" t="shared" si="0"/>
        <v>4</v>
      </c>
    </row>
    <row r="19" spans="1:1">
      <c r="A19" s="120">
        <f ca="1" t="shared" si="0"/>
        <v>3</v>
      </c>
    </row>
    <row r="20" spans="1:1">
      <c r="A20" s="120">
        <f ca="1" t="shared" si="0"/>
        <v>1</v>
      </c>
    </row>
    <row r="21" spans="1:1">
      <c r="A21" s="120">
        <f ca="1" t="shared" si="0"/>
        <v>4</v>
      </c>
    </row>
    <row r="22" spans="1:1">
      <c r="A22" s="120">
        <f ca="1" t="shared" si="0"/>
        <v>4</v>
      </c>
    </row>
    <row r="24" spans="1:1">
      <c r="A24" s="120">
        <f ca="1">RANDBETWEEN(1,6)</f>
        <v>6</v>
      </c>
    </row>
    <row r="25" spans="1:1">
      <c r="A25" s="120">
        <f ca="1" t="shared" ref="A25:A29" si="9">RANDBETWEEN(1,6)</f>
        <v>1</v>
      </c>
    </row>
    <row r="26" spans="1:1">
      <c r="A26" s="120">
        <f ca="1" t="shared" si="9"/>
        <v>6</v>
      </c>
    </row>
    <row r="27" spans="1:1">
      <c r="A27" s="120">
        <f ca="1" t="shared" si="9"/>
        <v>2</v>
      </c>
    </row>
    <row r="28" spans="1:1">
      <c r="A28" s="120">
        <f ca="1" t="shared" si="9"/>
        <v>1</v>
      </c>
    </row>
    <row r="29" spans="1:1">
      <c r="A29" s="120">
        <f ca="1" t="shared" si="9"/>
        <v>5</v>
      </c>
    </row>
  </sheetData>
  <sheetProtection sheet="1" selectLockedCells="1" objects="1"/>
  <mergeCells count="64">
    <mergeCell ref="B2:S2"/>
    <mergeCell ref="U2:V2"/>
    <mergeCell ref="AA2:AR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AA3:AF4"/>
    <mergeCell ref="AG3:AL4"/>
    <mergeCell ref="AM3:AR4"/>
    <mergeCell ref="B14:D15"/>
    <mergeCell ref="E14:G15"/>
    <mergeCell ref="H14:J15"/>
    <mergeCell ref="K14:M15"/>
    <mergeCell ref="N14:P15"/>
    <mergeCell ref="Q14:S15"/>
    <mergeCell ref="T14:V15"/>
    <mergeCell ref="AA5:AF6"/>
    <mergeCell ref="AG5:AL6"/>
    <mergeCell ref="AM5:AR6"/>
    <mergeCell ref="B5:C6"/>
    <mergeCell ref="D5:E6"/>
    <mergeCell ref="H5:I6"/>
    <mergeCell ref="J5:K6"/>
    <mergeCell ref="N5:O6"/>
    <mergeCell ref="P5:Q6"/>
    <mergeCell ref="B7:C8"/>
    <mergeCell ref="D7:E8"/>
    <mergeCell ref="H7:I8"/>
    <mergeCell ref="J7:K8"/>
    <mergeCell ref="AA7:AF8"/>
    <mergeCell ref="AG7:AL8"/>
    <mergeCell ref="AM7:AR8"/>
    <mergeCell ref="B3:C4"/>
    <mergeCell ref="D3:E4"/>
    <mergeCell ref="H3:I4"/>
    <mergeCell ref="J3:K4"/>
    <mergeCell ref="N3:O4"/>
    <mergeCell ref="P3:Q4"/>
    <mergeCell ref="U7:V8"/>
    <mergeCell ref="N7:S8"/>
    <mergeCell ref="U3:V4"/>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P5:Q6 D3:E8 J3:K8" errorStyle="information">
      <formula1>99</formula1>
    </dataValidation>
  </dataValidation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6:D45"/>
  <sheetViews>
    <sheetView workbookViewId="0">
      <selection activeCell="M28" sqref="M28"/>
    </sheetView>
  </sheetViews>
  <sheetFormatPr defaultColWidth="9" defaultRowHeight="13.5" outlineLevelCol="3"/>
  <cols>
    <col min="1" max="16384" width="9" style="27" customWidth="1"/>
  </cols>
  <sheetData>
    <row r="6" spans="2:2">
      <c r="B6" s="27" t="s">
        <v>1042</v>
      </c>
    </row>
    <row r="7" spans="2:3">
      <c r="B7" s="27" t="s">
        <v>1043</v>
      </c>
      <c r="C7" s="27" t="s">
        <v>1044</v>
      </c>
    </row>
    <row r="8" spans="3:3">
      <c r="C8" s="27" t="s">
        <v>1045</v>
      </c>
    </row>
    <row r="9" spans="3:3">
      <c r="C9" s="27" t="s">
        <v>1046</v>
      </c>
    </row>
    <row r="10" spans="3:3">
      <c r="C10" s="27" t="s">
        <v>1047</v>
      </c>
    </row>
    <row r="11" spans="3:3">
      <c r="C11" s="27" t="s">
        <v>1048</v>
      </c>
    </row>
    <row r="12" spans="3:3">
      <c r="C12" s="27" t="s">
        <v>1049</v>
      </c>
    </row>
    <row r="13" spans="3:3">
      <c r="C13" s="27" t="s">
        <v>1050</v>
      </c>
    </row>
    <row r="14" spans="3:3">
      <c r="C14" s="27" t="s">
        <v>1051</v>
      </c>
    </row>
    <row r="15" spans="2:3">
      <c r="B15" s="27" t="s">
        <v>1052</v>
      </c>
      <c r="C15" s="27" t="s">
        <v>1053</v>
      </c>
    </row>
    <row r="16" spans="3:3">
      <c r="C16" s="27" t="s">
        <v>1054</v>
      </c>
    </row>
    <row r="17" spans="2:3">
      <c r="B17" s="27" t="s">
        <v>1055</v>
      </c>
      <c r="C17" s="27" t="s">
        <v>1056</v>
      </c>
    </row>
    <row r="18" spans="3:3">
      <c r="C18" s="27" t="s">
        <v>1057</v>
      </c>
    </row>
    <row r="19" spans="3:3">
      <c r="C19" s="27" t="s">
        <v>1058</v>
      </c>
    </row>
    <row r="20" spans="2:3">
      <c r="B20" s="27" t="s">
        <v>1059</v>
      </c>
      <c r="C20" s="27" t="s">
        <v>1060</v>
      </c>
    </row>
    <row r="21" spans="3:3">
      <c r="C21" s="27" t="s">
        <v>1061</v>
      </c>
    </row>
    <row r="22" spans="3:3">
      <c r="C22" s="27" t="s">
        <v>1062</v>
      </c>
    </row>
    <row r="23" spans="2:3">
      <c r="B23" s="27" t="s">
        <v>1063</v>
      </c>
      <c r="C23" s="27" t="s">
        <v>1064</v>
      </c>
    </row>
    <row r="24" spans="3:3">
      <c r="C24" s="27" t="s">
        <v>1065</v>
      </c>
    </row>
    <row r="25" spans="3:3">
      <c r="C25" s="27" t="s">
        <v>1066</v>
      </c>
    </row>
    <row r="26" spans="3:3">
      <c r="C26" s="27" t="s">
        <v>1067</v>
      </c>
    </row>
    <row r="27" spans="3:3">
      <c r="C27" s="27" t="s">
        <v>1068</v>
      </c>
    </row>
    <row r="28" spans="3:3">
      <c r="C28" s="27" t="s">
        <v>1069</v>
      </c>
    </row>
    <row r="29" spans="3:3">
      <c r="C29" s="27" t="s">
        <v>1070</v>
      </c>
    </row>
    <row r="30" spans="3:3">
      <c r="C30" s="27" t="s">
        <v>1071</v>
      </c>
    </row>
    <row r="31" spans="3:3">
      <c r="C31" s="27" t="s">
        <v>1072</v>
      </c>
    </row>
    <row r="32" spans="3:3">
      <c r="C32" s="27" t="s">
        <v>1073</v>
      </c>
    </row>
    <row r="33" spans="3:3">
      <c r="C33" s="27" t="s">
        <v>1074</v>
      </c>
    </row>
    <row r="34" spans="3:3">
      <c r="C34" s="27" t="s">
        <v>1075</v>
      </c>
    </row>
    <row r="35" spans="3:3">
      <c r="C35" s="27" t="s">
        <v>1076</v>
      </c>
    </row>
    <row r="36" spans="2:3">
      <c r="B36" s="27" t="s">
        <v>1077</v>
      </c>
      <c r="C36" s="27" t="s">
        <v>1078</v>
      </c>
    </row>
    <row r="37" spans="3:3">
      <c r="C37" s="27" t="s">
        <v>1076</v>
      </c>
    </row>
    <row r="38" spans="2:3">
      <c r="B38" s="27" t="s">
        <v>1079</v>
      </c>
      <c r="C38" s="27" t="s">
        <v>1080</v>
      </c>
    </row>
    <row r="39" spans="3:3">
      <c r="C39" s="27" t="s">
        <v>1076</v>
      </c>
    </row>
    <row r="40" spans="2:3">
      <c r="B40" s="27" t="s">
        <v>1081</v>
      </c>
      <c r="C40" s="27" t="s">
        <v>1082</v>
      </c>
    </row>
    <row r="41" spans="3:3">
      <c r="C41" s="27" t="s">
        <v>1076</v>
      </c>
    </row>
    <row r="42" spans="2:3">
      <c r="B42" s="27" t="s">
        <v>1083</v>
      </c>
      <c r="C42" s="27" t="s">
        <v>1084</v>
      </c>
    </row>
    <row r="43" spans="3:3">
      <c r="C43" s="27" t="s">
        <v>1085</v>
      </c>
    </row>
    <row r="44" spans="3:3">
      <c r="C44" s="27" t="s">
        <v>1076</v>
      </c>
    </row>
    <row r="45" spans="2:4">
      <c r="B45" s="27" t="s">
        <v>1086</v>
      </c>
      <c r="D45" s="27" t="s">
        <v>1087</v>
      </c>
    </row>
  </sheetData>
  <sheetProtection selectLockedCells="1"/>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15</vt:i4>
      </vt:variant>
    </vt:vector>
  </HeadingPairs>
  <TitlesOfParts>
    <vt:vector size="15" baseType="lpstr">
      <vt:lpstr>人物卡</vt:lpstr>
      <vt:lpstr>各序列技能计算</vt:lpstr>
      <vt:lpstr>职业列表</vt:lpstr>
      <vt:lpstr>非凡职业列表</vt:lpstr>
      <vt:lpstr>分支技能</vt:lpstr>
      <vt:lpstr>资产对照表</vt:lpstr>
      <vt:lpstr>武器列表</vt:lpstr>
      <vt:lpstr>属性和掷骰</vt:lpstr>
      <vt:lpstr>版本说明</vt:lpstr>
      <vt:lpstr>附表</vt:lpstr>
      <vt:lpstr>附表2</vt:lpstr>
      <vt:lpstr>附表3</vt:lpstr>
      <vt:lpstr>附表4</vt:lpstr>
      <vt:lpstr>附表5</vt:lpstr>
      <vt:lpstr>附表6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LOM 半自动计算人物卡</dc:title>
  <dc:creator>秋叶EXODUS; MrGTM</dc:creator>
  <cp:lastModifiedBy>大绅士时代</cp:lastModifiedBy>
  <dcterms:created xsi:type="dcterms:W3CDTF">2015-07-05T01:28:00Z</dcterms:created>
  <dcterms:modified xsi:type="dcterms:W3CDTF">2020-10-01T16:18:36Z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104476ea-ce01-4fbf-9b67-d61ecae3966a</vt:lpwstr>
  </property>
  <property fmtid="{D5CDD505-2E9C-101B-9397-08002B2CF9AE}" pid="3" name="KSOReadingLayout">
    <vt:bool>false</vt:bool>
  </property>
  <property fmtid="{D5CDD505-2E9C-101B-9397-08002B2CF9AE}" pid="4" name="KSOProductBuildVer">
    <vt:lpwstr>2052-11.1.0.9999</vt:lpwstr>
  </property>
</Properties>
</file>