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showInkAnnotation="0"/>
  <mc:AlternateContent xmlns:mc="http://schemas.openxmlformats.org/markup-compatibility/2006">
    <mc:Choice Requires="x15">
      <x15ac:absPath xmlns:x15ac="http://schemas.microsoft.com/office/spreadsheetml/2010/11/ac" url="C:\Users\10484\Desktop\"/>
    </mc:Choice>
  </mc:AlternateContent>
  <xr:revisionPtr revIDLastSave="0" documentId="13_ncr:1_{6B37B807-2941-452F-A8AB-554337D8767E}" xr6:coauthVersionLast="43" xr6:coauthVersionMax="43" xr10:uidLastSave="{00000000-0000-0000-0000-000000000000}"/>
  <bookViews>
    <workbookView xWindow="-108" yWindow="-108" windowWidth="23256" windowHeight="12576" tabRatio="601" xr2:uid="{00000000-000D-0000-FFFF-FFFF00000000}"/>
  </bookViews>
  <sheets>
    <sheet name="人物卡" sheetId="1" r:id="rId1"/>
    <sheet name="分支技能" sheetId="2" r:id="rId2"/>
    <sheet name="职业列表" sheetId="7" r:id="rId3"/>
    <sheet name="属性和掷骰" sheetId="9" r:id="rId4"/>
    <sheet name="txt输出" sheetId="10" r:id="rId5"/>
    <sheet name="武器列表" sheetId="11" r:id="rId6"/>
    <sheet name="附表" sheetId="8" state="hidden" r:id="rId7"/>
  </sheets>
  <definedNames>
    <definedName name="_xlnm._FilterDatabase" localSheetId="4" hidden="1">txt输出!$B$1:$B$105</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51" i="1" l="1"/>
  <c r="G51" i="1"/>
  <c r="H35" i="1" l="1"/>
  <c r="H34" i="1"/>
  <c r="H33" i="1"/>
  <c r="G53" i="1"/>
  <c r="G54" i="1"/>
  <c r="G52" i="1"/>
  <c r="M54" i="1"/>
  <c r="M53" i="1"/>
  <c r="M52" i="1"/>
  <c r="AD54" i="1"/>
  <c r="AD53" i="1"/>
  <c r="AD52" i="1"/>
  <c r="AA54" i="1"/>
  <c r="AA53" i="1"/>
  <c r="AA52" i="1"/>
  <c r="X54" i="1"/>
  <c r="X53" i="1"/>
  <c r="X52" i="1"/>
  <c r="U52" i="1"/>
  <c r="U54" i="1"/>
  <c r="U53" i="1"/>
  <c r="R54" i="1"/>
  <c r="R53" i="1"/>
  <c r="R52" i="1"/>
  <c r="K55" i="1" l="1"/>
  <c r="L55" i="1" s="1"/>
  <c r="H38" i="1"/>
  <c r="AD51" i="1"/>
  <c r="AA51" i="1"/>
  <c r="X51" i="1"/>
  <c r="U51" i="1"/>
  <c r="R51" i="1"/>
  <c r="K54" i="1" l="1"/>
  <c r="L54" i="1"/>
  <c r="K53" i="1"/>
  <c r="L53" i="1"/>
  <c r="K52" i="1"/>
  <c r="L52" i="1"/>
  <c r="L51" i="1"/>
  <c r="K51" i="1"/>
  <c r="B47" i="1"/>
  <c r="B4" i="10" l="1"/>
  <c r="B3" i="10" l="1"/>
  <c r="B12" i="10" l="1"/>
  <c r="B13" i="10"/>
  <c r="B14" i="10"/>
  <c r="B15" i="10"/>
  <c r="B11" i="10"/>
  <c r="B104" i="10" l="1"/>
  <c r="B103" i="10"/>
  <c r="B89" i="10"/>
  <c r="B88" i="10"/>
  <c r="B87" i="10"/>
  <c r="B86" i="10"/>
  <c r="B85" i="10"/>
  <c r="B84" i="10"/>
  <c r="B83" i="10"/>
  <c r="B82" i="10"/>
  <c r="B90" i="10"/>
  <c r="B92" i="10"/>
  <c r="B93" i="10"/>
  <c r="B94" i="10"/>
  <c r="B95" i="10"/>
  <c r="B96" i="10"/>
  <c r="B97" i="10"/>
  <c r="B98" i="10"/>
  <c r="B99" i="10"/>
  <c r="B100" i="10"/>
  <c r="AF10" i="1" l="1"/>
  <c r="H10" i="1"/>
  <c r="B6" i="10"/>
  <c r="B5" i="10"/>
  <c r="B2" i="10"/>
  <c r="F12" i="8" l="1"/>
  <c r="F11" i="8"/>
  <c r="F10" i="8"/>
  <c r="E14" i="9"/>
  <c r="H14" i="9"/>
  <c r="K14" i="9"/>
  <c r="N14" i="9"/>
  <c r="Q14" i="9"/>
  <c r="T14" i="9"/>
  <c r="B14" i="9"/>
  <c r="A25" i="9"/>
  <c r="A26" i="9"/>
  <c r="A27" i="9"/>
  <c r="A28" i="9"/>
  <c r="A29" i="9"/>
  <c r="A24" i="9"/>
  <c r="A4" i="9"/>
  <c r="A5" i="9"/>
  <c r="A6" i="9"/>
  <c r="A7" i="9"/>
  <c r="A8" i="9"/>
  <c r="A9" i="9"/>
  <c r="A10" i="9"/>
  <c r="A11" i="9"/>
  <c r="A12" i="9"/>
  <c r="A13" i="9"/>
  <c r="A14" i="9"/>
  <c r="A15" i="9"/>
  <c r="A16" i="9"/>
  <c r="A17" i="9"/>
  <c r="A18" i="9"/>
  <c r="A19" i="9"/>
  <c r="A20" i="9"/>
  <c r="A21" i="9"/>
  <c r="A22" i="9"/>
  <c r="A3" i="9"/>
  <c r="A2" i="9"/>
  <c r="AL51" i="1"/>
  <c r="AL49" i="1"/>
  <c r="E3" i="7"/>
  <c r="B12" i="1"/>
  <c r="AB40" i="1"/>
  <c r="AJ40" i="1" s="1"/>
  <c r="B74" i="10" s="1"/>
  <c r="H36" i="1"/>
  <c r="P36" i="1" s="1"/>
  <c r="B38" i="10" s="1"/>
  <c r="H37" i="1"/>
  <c r="P37" i="1" s="1"/>
  <c r="B39" i="10" s="1"/>
  <c r="P34" i="1"/>
  <c r="P33" i="1"/>
  <c r="J50" i="1" s="1"/>
  <c r="H46" i="1"/>
  <c r="P46" i="1" s="1"/>
  <c r="H28" i="1"/>
  <c r="P28" i="1" s="1"/>
  <c r="AJ17" i="1"/>
  <c r="AJ18" i="1"/>
  <c r="AJ19" i="1"/>
  <c r="AL19" i="1" s="1"/>
  <c r="AJ20" i="1"/>
  <c r="AJ21" i="1"/>
  <c r="AJ22" i="1"/>
  <c r="AJ23" i="1"/>
  <c r="AL23" i="1" s="1"/>
  <c r="AJ24" i="1"/>
  <c r="AJ25" i="1"/>
  <c r="AJ26" i="1"/>
  <c r="AJ27" i="1"/>
  <c r="AJ28" i="1"/>
  <c r="AJ29" i="1"/>
  <c r="AJ30" i="1"/>
  <c r="AJ31" i="1"/>
  <c r="AJ32" i="1"/>
  <c r="AJ33" i="1"/>
  <c r="AJ34" i="1"/>
  <c r="AN34" i="1" s="1"/>
  <c r="AJ35" i="1"/>
  <c r="AJ36" i="1"/>
  <c r="AJ37" i="1"/>
  <c r="AJ38" i="1"/>
  <c r="AJ39" i="1"/>
  <c r="AJ41" i="1"/>
  <c r="AJ42" i="1"/>
  <c r="AJ43" i="1"/>
  <c r="AJ44" i="1"/>
  <c r="AJ45" i="1"/>
  <c r="AJ46" i="1"/>
  <c r="P17" i="1"/>
  <c r="B20" i="10" s="1"/>
  <c r="P18" i="1"/>
  <c r="B21" i="10" s="1"/>
  <c r="P19" i="1"/>
  <c r="B22" i="10" s="1"/>
  <c r="P20" i="1"/>
  <c r="P21" i="1"/>
  <c r="B24" i="10" s="1"/>
  <c r="P22" i="1"/>
  <c r="P23" i="1"/>
  <c r="P24" i="1"/>
  <c r="B27" i="10" s="1"/>
  <c r="P25" i="1"/>
  <c r="J59" i="1" s="1"/>
  <c r="P26" i="1"/>
  <c r="P27" i="1"/>
  <c r="B30" i="10" s="1"/>
  <c r="P29" i="1"/>
  <c r="P30" i="1"/>
  <c r="B32" i="10" s="1"/>
  <c r="P31" i="1"/>
  <c r="P32" i="1"/>
  <c r="P35" i="1"/>
  <c r="P38" i="1"/>
  <c r="B40" i="10" s="1"/>
  <c r="P39" i="1"/>
  <c r="P40" i="1"/>
  <c r="P41" i="1"/>
  <c r="B43" i="10" s="1"/>
  <c r="P42" i="1"/>
  <c r="P43" i="1"/>
  <c r="B45" i="10" s="1"/>
  <c r="P44" i="1"/>
  <c r="B46" i="10" s="1"/>
  <c r="P45" i="1"/>
  <c r="B47" i="10" s="1"/>
  <c r="P15" i="1"/>
  <c r="R15" i="1" s="1"/>
  <c r="AL31" i="1"/>
  <c r="E49" i="7"/>
  <c r="E40" i="7"/>
  <c r="E31" i="7"/>
  <c r="E30" i="7"/>
  <c r="E28" i="7"/>
  <c r="E22" i="7"/>
  <c r="E20" i="7"/>
  <c r="E17" i="7"/>
  <c r="E16" i="7"/>
  <c r="E8" i="7"/>
  <c r="E109" i="7"/>
  <c r="E108" i="7"/>
  <c r="E105" i="7"/>
  <c r="E94" i="7"/>
  <c r="E92" i="7"/>
  <c r="E91" i="7"/>
  <c r="E90" i="7"/>
  <c r="E83" i="7"/>
  <c r="E78" i="7"/>
  <c r="E76" i="7"/>
  <c r="E72" i="7"/>
  <c r="E71" i="7"/>
  <c r="E63" i="7"/>
  <c r="E58" i="7"/>
  <c r="E56" i="7"/>
  <c r="E66" i="7"/>
  <c r="E32" i="7"/>
  <c r="E23" i="7"/>
  <c r="E88" i="7"/>
  <c r="E50" i="7"/>
  <c r="E48" i="7"/>
  <c r="E45" i="7"/>
  <c r="E33" i="7"/>
  <c r="E29" i="7"/>
  <c r="E5" i="7"/>
  <c r="E101" i="7"/>
  <c r="E95" i="7"/>
  <c r="E77" i="7"/>
  <c r="E64" i="7"/>
  <c r="E62" i="7"/>
  <c r="E54" i="7"/>
  <c r="E52" i="7"/>
  <c r="E44" i="7"/>
  <c r="E37" i="7"/>
  <c r="E36" i="7"/>
  <c r="E34" i="7"/>
  <c r="E19" i="7"/>
  <c r="E7" i="7"/>
  <c r="E6" i="7"/>
  <c r="E112" i="7"/>
  <c r="E106" i="7"/>
  <c r="E104" i="7"/>
  <c r="E103" i="7"/>
  <c r="E65" i="7"/>
  <c r="E61" i="7"/>
  <c r="E39" i="7"/>
  <c r="E35" i="7"/>
  <c r="E55" i="7"/>
  <c r="E47" i="7"/>
  <c r="E115" i="7"/>
  <c r="E10" i="7"/>
  <c r="E80" i="7"/>
  <c r="E15" i="7"/>
  <c r="E116" i="7"/>
  <c r="E67" i="7"/>
  <c r="E68" i="7"/>
  <c r="E69" i="7"/>
  <c r="E70" i="7"/>
  <c r="E73" i="7"/>
  <c r="E74" i="7"/>
  <c r="E75" i="7"/>
  <c r="E79" i="7"/>
  <c r="E81" i="7"/>
  <c r="E82" i="7"/>
  <c r="E84" i="7"/>
  <c r="E85" i="7"/>
  <c r="E86" i="7"/>
  <c r="E87" i="7"/>
  <c r="E89" i="7"/>
  <c r="E93" i="7"/>
  <c r="E96" i="7"/>
  <c r="E97" i="7"/>
  <c r="E98" i="7"/>
  <c r="E99" i="7"/>
  <c r="E100" i="7"/>
  <c r="E102" i="7"/>
  <c r="E107" i="7"/>
  <c r="E110" i="7"/>
  <c r="E111" i="7"/>
  <c r="E113" i="7"/>
  <c r="E114" i="7"/>
  <c r="E12" i="7"/>
  <c r="E13" i="7"/>
  <c r="E14" i="7"/>
  <c r="E18" i="7"/>
  <c r="E21" i="7"/>
  <c r="E24" i="7"/>
  <c r="E25" i="7"/>
  <c r="E26" i="7"/>
  <c r="E27" i="7"/>
  <c r="E38" i="7"/>
  <c r="E41" i="7"/>
  <c r="E42" i="7"/>
  <c r="E43" i="7"/>
  <c r="E46" i="7"/>
  <c r="E51" i="7"/>
  <c r="E53" i="7"/>
  <c r="E57" i="7"/>
  <c r="E59" i="7"/>
  <c r="E60" i="7"/>
  <c r="E11" i="7"/>
  <c r="E9" i="7"/>
  <c r="E4" i="7"/>
  <c r="J5" i="1"/>
  <c r="AJ15" i="1"/>
  <c r="B49" i="10" s="1"/>
  <c r="AJ16" i="1"/>
  <c r="P16" i="1"/>
  <c r="AG5" i="1"/>
  <c r="AG6" i="1"/>
  <c r="AG4" i="1"/>
  <c r="AA5" i="1"/>
  <c r="AA6" i="1"/>
  <c r="AA7" i="1"/>
  <c r="AA8" i="1"/>
  <c r="AA4" i="1"/>
  <c r="AG3" i="1"/>
  <c r="AA3" i="1"/>
  <c r="U5" i="1"/>
  <c r="U6" i="1"/>
  <c r="U7" i="1"/>
  <c r="U8" i="1"/>
  <c r="U4" i="1"/>
  <c r="U3" i="1"/>
  <c r="R23" i="1" l="1"/>
  <c r="D3" i="9"/>
  <c r="AA3" i="9" s="1"/>
  <c r="D7" i="9"/>
  <c r="AA7" i="9" s="1"/>
  <c r="J5" i="9"/>
  <c r="L50" i="1"/>
  <c r="K50" i="1"/>
  <c r="J47" i="1"/>
  <c r="T15" i="1"/>
  <c r="B18" i="10" s="1"/>
  <c r="AL16" i="1"/>
  <c r="B50" i="10"/>
  <c r="AL46" i="1"/>
  <c r="B80" i="10"/>
  <c r="AL42" i="1"/>
  <c r="B76" i="10"/>
  <c r="AL37" i="1"/>
  <c r="B71" i="10"/>
  <c r="AL33" i="1"/>
  <c r="B67" i="10"/>
  <c r="AL29" i="1"/>
  <c r="B63" i="10"/>
  <c r="AL25" i="1"/>
  <c r="B59" i="10"/>
  <c r="AN21" i="1"/>
  <c r="B55" i="10"/>
  <c r="AN17" i="1"/>
  <c r="B51" i="10"/>
  <c r="AN45" i="1"/>
  <c r="B79" i="10"/>
  <c r="AL41" i="1"/>
  <c r="B75" i="10"/>
  <c r="AN36" i="1"/>
  <c r="B70" i="10"/>
  <c r="AN32" i="1"/>
  <c r="B66" i="10"/>
  <c r="AL28" i="1"/>
  <c r="B62" i="10"/>
  <c r="AN24" i="1"/>
  <c r="B58" i="10"/>
  <c r="AL20" i="1"/>
  <c r="B54" i="10"/>
  <c r="AL43" i="1"/>
  <c r="B77" i="10"/>
  <c r="AN38" i="1"/>
  <c r="B72" i="10"/>
  <c r="AL34" i="1"/>
  <c r="B68" i="10"/>
  <c r="AL30" i="1"/>
  <c r="B64" i="10"/>
  <c r="AN26" i="1"/>
  <c r="B60" i="10"/>
  <c r="AN22" i="1"/>
  <c r="B56" i="10"/>
  <c r="AN18" i="1"/>
  <c r="B52" i="10"/>
  <c r="AL44" i="1"/>
  <c r="B78" i="10"/>
  <c r="AN39" i="1"/>
  <c r="B73" i="10"/>
  <c r="AN35" i="1"/>
  <c r="AN31" i="1"/>
  <c r="B65" i="10"/>
  <c r="AN27" i="1"/>
  <c r="B61" i="10"/>
  <c r="AN23" i="1"/>
  <c r="B57" i="10" s="1"/>
  <c r="AN19" i="1"/>
  <c r="B53" i="10"/>
  <c r="R16" i="1"/>
  <c r="B19" i="10"/>
  <c r="T40" i="1"/>
  <c r="B42" i="10"/>
  <c r="T35" i="1"/>
  <c r="R29" i="1"/>
  <c r="B31" i="10"/>
  <c r="R42" i="1"/>
  <c r="B44" i="10"/>
  <c r="R31" i="1"/>
  <c r="B33" i="10"/>
  <c r="R26" i="1"/>
  <c r="B29" i="10"/>
  <c r="AL17" i="1"/>
  <c r="AN29" i="1"/>
  <c r="AN30" i="1"/>
  <c r="AL35" i="1"/>
  <c r="B69" i="10" s="1"/>
  <c r="AL32" i="1"/>
  <c r="AL22" i="1"/>
  <c r="AN15" i="1"/>
  <c r="T42" i="1"/>
  <c r="R43" i="1"/>
  <c r="R40" i="1"/>
  <c r="R34" i="1"/>
  <c r="T45" i="1"/>
  <c r="T41" i="1"/>
  <c r="R44" i="1"/>
  <c r="T44" i="1"/>
  <c r="R39" i="1"/>
  <c r="T23" i="1"/>
  <c r="T38" i="1"/>
  <c r="R38" i="1"/>
  <c r="T36" i="1"/>
  <c r="R35" i="1"/>
  <c r="R32" i="1"/>
  <c r="B34" i="10" s="1"/>
  <c r="T31" i="1"/>
  <c r="T30" i="1"/>
  <c r="T29" i="1"/>
  <c r="T28" i="1"/>
  <c r="AN54" i="1" s="1"/>
  <c r="R27" i="1"/>
  <c r="P10" i="1"/>
  <c r="B8" i="10" s="1"/>
  <c r="R25" i="1"/>
  <c r="T25" i="1"/>
  <c r="B102" i="10"/>
  <c r="R24" i="1"/>
  <c r="T22" i="1"/>
  <c r="R21" i="1"/>
  <c r="R20" i="1"/>
  <c r="B23" i="10" s="1"/>
  <c r="T19" i="1"/>
  <c r="T18" i="1"/>
  <c r="R17" i="1"/>
  <c r="T16" i="1"/>
  <c r="AN46" i="1"/>
  <c r="AN20" i="1"/>
  <c r="R45" i="1"/>
  <c r="T43" i="1"/>
  <c r="R41" i="1"/>
  <c r="T39" i="1"/>
  <c r="R36" i="1"/>
  <c r="T32" i="1"/>
  <c r="R30" i="1"/>
  <c r="T27" i="1"/>
  <c r="T24" i="1"/>
  <c r="AL27" i="1"/>
  <c r="AN40" i="1"/>
  <c r="AL40" i="1"/>
  <c r="AN44" i="1"/>
  <c r="T21" i="1"/>
  <c r="AN37" i="1"/>
  <c r="AL21" i="1"/>
  <c r="AL38" i="1"/>
  <c r="AL15" i="1"/>
  <c r="T17" i="1"/>
  <c r="AL39" i="1"/>
  <c r="R18" i="1"/>
  <c r="AN41" i="1"/>
  <c r="AL24" i="1"/>
  <c r="R33" i="1"/>
  <c r="R19" i="1"/>
  <c r="AN25" i="1"/>
  <c r="AL45" i="1"/>
  <c r="F17" i="8"/>
  <c r="AN28" i="1"/>
  <c r="T20" i="1"/>
  <c r="AN43" i="1"/>
  <c r="AL26" i="1"/>
  <c r="AL18" i="1"/>
  <c r="AN16" i="1"/>
  <c r="AN42" i="1"/>
  <c r="AN33" i="1"/>
  <c r="R22" i="1"/>
  <c r="B25" i="10" s="1"/>
  <c r="AL36" i="1"/>
  <c r="T37" i="1"/>
  <c r="R37" i="1"/>
  <c r="R46" i="1"/>
  <c r="T46" i="1"/>
  <c r="T34" i="1"/>
  <c r="R28" i="1"/>
  <c r="AN53" i="1" s="1"/>
  <c r="T26" i="1"/>
  <c r="T33" i="1"/>
  <c r="AL53" i="1"/>
  <c r="F16" i="8"/>
  <c r="F18" i="8"/>
  <c r="F14" i="8"/>
  <c r="F13" i="8"/>
  <c r="F15" i="8"/>
  <c r="U3" i="9"/>
  <c r="AM7" i="9" s="1"/>
  <c r="D5" i="9"/>
  <c r="AA5" i="9" s="1"/>
  <c r="J7" i="9"/>
  <c r="AG7" i="9" s="1"/>
  <c r="P3" i="9"/>
  <c r="AM3" i="9" s="1"/>
  <c r="J3" i="9"/>
  <c r="AG3" i="9" s="1"/>
  <c r="U7" i="9"/>
  <c r="P5" i="9"/>
  <c r="AM5" i="9" s="1"/>
  <c r="B41" i="10" l="1"/>
  <c r="B26" i="10"/>
  <c r="L5" i="9"/>
  <c r="AG5" i="9"/>
  <c r="B36" i="10"/>
  <c r="B37" i="10"/>
  <c r="R6" i="9"/>
  <c r="L7" i="9"/>
  <c r="F7" i="9"/>
  <c r="F5" i="9"/>
  <c r="R4" i="9"/>
  <c r="L3" i="9"/>
  <c r="F4" i="9"/>
  <c r="B16" i="10"/>
  <c r="B28" i="10"/>
  <c r="B35" i="10"/>
  <c r="B48" i="10"/>
  <c r="B59" i="1"/>
  <c r="B10" i="10"/>
  <c r="F19" i="8"/>
  <c r="F24" i="8" s="1"/>
  <c r="F20" i="8"/>
  <c r="F25" i="8" s="1"/>
  <c r="F21" i="8"/>
  <c r="F23" i="8"/>
  <c r="F22" i="8"/>
  <c r="L4" i="9"/>
  <c r="F6" i="9"/>
  <c r="R3" i="9"/>
  <c r="R5" i="9"/>
  <c r="F3" i="9"/>
  <c r="L6" i="9"/>
  <c r="L8" i="9"/>
  <c r="F8" i="9"/>
  <c r="N7" i="9"/>
  <c r="F26" i="8" l="1"/>
  <c r="F27" i="8" s="1"/>
  <c r="AE7" i="1" l="1"/>
  <c r="B7" i="10" s="1"/>
</calcChain>
</file>

<file path=xl/sharedStrings.xml><?xml version="1.0" encoding="utf-8"?>
<sst xmlns="http://schemas.openxmlformats.org/spreadsheetml/2006/main" count="1923" uniqueCount="971">
  <si>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</si>
  <si>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</si>
  <si>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</si>
  <si>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</si>
  <si>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</si>
  <si>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</si>
  <si>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</si>
  <si>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</si>
  <si>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</si>
  <si>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</si>
  <si>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</si>
  <si>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</si>
  <si>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</si>
  <si>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克苏鲁神话</t>
    <phoneticPr fontId="2" type="noConversion"/>
  </si>
  <si>
    <t>技能表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</si>
  <si>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</si>
  <si>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</si>
  <si>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</si>
  <si>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</si>
  <si>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</si>
  <si>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</si>
  <si>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</si>
  <si>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</si>
  <si>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</si>
  <si>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</si>
  <si>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</si>
  <si>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</si>
  <si>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</si>
  <si>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时代</t>
  </si>
  <si>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</si>
  <si>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</si>
  <si>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</si>
  <si>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</si>
  <si>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</si>
  <si>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</si>
  <si>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</si>
  <si>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</si>
  <si>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</si>
  <si>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随身物品</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</si>
  <si>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</si>
  <si>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</si>
  <si>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</si>
  <si>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</si>
  <si>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</si>
  <si>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</si>
  <si>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</si>
  <si>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</si>
  <si>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</si>
  <si>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</si>
  <si>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</si>
  <si>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</si>
  <si>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</si>
  <si>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</si>
  <si>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</si>
  <si>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</si>
  <si>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</si>
  <si>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</si>
  <si>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</si>
  <si>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</si>
  <si>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</si>
  <si>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</si>
  <si>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</si>
  <si>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</si>
  <si>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</si>
  <si>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</si>
  <si>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</si>
  <si>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</si>
  <si>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</si>
  <si>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</si>
  <si>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</si>
  <si>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</si>
  <si>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</si>
  <si>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</si>
  <si>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</si>
  <si>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特殊技能</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</si>
  <si>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</si>
  <si>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</si>
  <si>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</si>
  <si>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</si>
  <si>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</si>
  <si>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</si>
  <si>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</si>
  <si>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</si>
  <si>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</si>
  <si>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</si>
  <si>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</si>
  <si>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</si>
  <si>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</si>
  <si>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</si>
  <si>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</si>
  <si>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</si>
  <si>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</si>
  <si>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</si>
  <si>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跳跃，聆听，自然，心理学，科学（动物学），潜行，追踪，任意一项其他个人或时代特长。</t>
  </si>
  <si>
    <t>会计，估价，汽车驾驶，两项社交技能（魅惑、话术、恐吓、说服），历史，图书馆，导航。</t>
  </si>
  <si>
    <t>教育×2＋敏捷或意志×2</t>
    <phoneticPr fontId="2" type="noConversion"/>
  </si>
  <si>
    <t>9-50</t>
    <phoneticPr fontId="2" type="noConversion"/>
  </si>
  <si>
    <t>精神病院护工</t>
    <phoneticPr fontId="2" type="noConversion"/>
  </si>
  <si>
    <t>闪避，格斗（斗殴），急救，两项社交技能（魅惑、话术、恐吓、说服），聆听，心理学，潜行。</t>
  </si>
  <si>
    <t>9-70</t>
    <phoneticPr fontId="2" type="noConversion"/>
  </si>
  <si>
    <t>教育×2＋敏捷或力量×2</t>
    <phoneticPr fontId="2" type="noConversion"/>
  </si>
  <si>
    <t>演员-电影演员</t>
    <phoneticPr fontId="2" type="noConversion"/>
  </si>
  <si>
    <t>法律，聆听，医学，外语，精神分析，心理学，科学（生物学，化学）。</t>
    <phoneticPr fontId="2" type="noConversion"/>
  </si>
  <si>
    <t>教育×2＋外貌或意志×2</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</si>
  <si>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</si>
  <si>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</si>
  <si>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</si>
  <si>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</si>
  <si>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</si>
  <si>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</si>
  <si>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</si>
  <si>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</si>
  <si>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闪避，格斗或射击，急救或自然，跳跃，骑乘，生存（任一），投掷，追踪。</t>
  </si>
  <si>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</si>
  <si>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</si>
  <si>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</si>
  <si>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</si>
  <si>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</si>
  <si>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</si>
  <si>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</si>
  <si>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</si>
  <si>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汽车驾驶，格斗，射击，两项社交技能（魅惑、话术、恐吓、说服），心理学，潜行，侦查。</t>
  </si>
  <si>
    <t>攀爬，一项社交技能（魅惑、话术、恐吓、说服），格斗，射击，跳跃，妙手，潜行，投掷。</t>
  </si>
  <si>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</si>
  <si>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</si>
  <si>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</si>
  <si>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</si>
  <si>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</si>
  <si>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</si>
  <si>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急救、医学、外语（拉丁文）、心理学、科学（生物学，制药），任两种其他学术或个人特长。</t>
  </si>
  <si>
    <t>教育×2＋外貌或敏捷或力量×2</t>
    <phoneticPr fontId="2" type="noConversion"/>
  </si>
  <si>
    <t>司机-私人司机</t>
    <phoneticPr fontId="2" type="noConversion"/>
  </si>
  <si>
    <t>司机-司机</t>
    <phoneticPr fontId="2" type="noConversion"/>
  </si>
  <si>
    <t>汽车驾驶，两项社交技能（魅惑、话术、恐吓、说服），聆听，机械维修，导航，侦查，任意一项其他个人或时代特长。</t>
  </si>
  <si>
    <t>魅惑，历史，恐吓，话术，聆听，母语，说服，心理学。</t>
  </si>
  <si>
    <t>50-90</t>
    <phoneticPr fontId="2" type="noConversion"/>
  </si>
  <si>
    <t>消防员</t>
    <phoneticPr fontId="2" type="noConversion"/>
  </si>
  <si>
    <t>攀爬，闪避，汽车驾驶，急救，跳跃，机械维修，操作重型机械，投掷。</t>
    <phoneticPr fontId="2" type="noConversion"/>
  </si>
  <si>
    <t>外语（拉丁文），图书馆，医学，说服，科学（生物学，鉴证，制药），侦查。</t>
  </si>
  <si>
    <t>黑帮-黑帮老大</t>
    <phoneticPr fontId="2" type="noConversion"/>
  </si>
  <si>
    <t>黑帮-马仔</t>
    <phoneticPr fontId="2" type="noConversion"/>
  </si>
  <si>
    <t>格斗，射击，法律，聆听，两项社交技能（魅惑、话术、恐吓、说服），心理学，侦查。</t>
  </si>
  <si>
    <t>教育×2＋外貌或敏捷×2</t>
    <phoneticPr fontId="2" type="noConversion"/>
  </si>
  <si>
    <t>0-5</t>
    <phoneticPr fontId="2" type="noConversion"/>
  </si>
  <si>
    <t>游民</t>
    <phoneticPr fontId="2" type="noConversion"/>
  </si>
  <si>
    <t>记者(原作向)-调查记者</t>
    <phoneticPr fontId="2" type="noConversion"/>
  </si>
  <si>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</si>
  <si>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</si>
  <si>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</si>
  <si>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</si>
  <si>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</si>
  <si>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phoneticPr fontId="2" type="noConversion"/>
  </si>
  <si>
    <t>历史，图书馆，一项社交技能（魅惑、话术、恐吓、说服），外语，侦查，任意三项其他学术领域。</t>
  </si>
  <si>
    <t>急救，机械维修，自然，导航，一项社交技能（魅惑、话术、恐吓、说服），驾驶（船），侦查，游泳。</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</si>
  <si>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</si>
  <si>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</si>
  <si>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</si>
  <si>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</si>
  <si>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</si>
  <si>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</si>
  <si>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</si>
  <si>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</si>
  <si>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</si>
  <si>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</si>
  <si>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</si>
  <si>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</si>
  <si>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</si>
  <si>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</si>
  <si>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</si>
  <si>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</si>
  <si>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</si>
  <si>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</si>
  <si>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</si>
  <si>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</si>
  <si>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</si>
  <si>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</si>
  <si>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</si>
  <si>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</si>
  <si>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</si>
  <si>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</si>
  <si>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</si>
  <si>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</si>
  <si>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</si>
  <si>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</si>
  <si>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</si>
  <si>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</si>
  <si>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</si>
  <si>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</si>
  <si>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</si>
  <si>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</si>
  <si>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</si>
  <si>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</si>
  <si>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</si>
  <si>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</si>
  <si>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</si>
  <si>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</si>
  <si>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</si>
  <si>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</si>
  <si>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</si>
  <si>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</si>
  <si>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</si>
  <si>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</si>
  <si>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</si>
  <si>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</si>
  <si>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</si>
  <si>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</si>
  <si>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</si>
  <si>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</si>
  <si>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</si>
  <si>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</si>
  <si>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</si>
  <si>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</si>
  <si>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</si>
  <si>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攀爬或游泳，射击，历史，跳跃，自然，导航，外语，生存。</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</si>
  <si>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</si>
  <si>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</si>
  <si>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</si>
  <si>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</si>
  <si>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</si>
  <si>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</si>
  <si>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</si>
  <si>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</si>
  <si>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</si>
  <si>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</si>
  <si>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</si>
  <si>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</si>
  <si>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</si>
  <si>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</si>
  <si>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</si>
  <si>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</si>
  <si>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</si>
  <si>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</si>
  <si>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</si>
  <si>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攀爬，闪避，格斗（链锯），急救，跳跃，机械维修，自然或科学（生物学或植物学），投掷。</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</si>
  <si>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</si>
  <si>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</si>
  <si>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</si>
  <si>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</si>
  <si>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</si>
  <si>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</si>
  <si>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</si>
  <si>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</si>
  <si>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</si>
  <si>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</si>
  <si>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</si>
  <si>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</si>
  <si>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</si>
  <si>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</si>
  <si>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教育×2＋意志或敏捷×2</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</si>
  <si>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</si>
  <si>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</si>
  <si>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</si>
  <si>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</si>
  <si>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</si>
  <si>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</si>
  <si>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射击，急救，聆听，自然，导航，侦查，生存（任一），追踪。</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</si>
  <si>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</si>
  <si>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</si>
  <si>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</si>
  <si>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</si>
  <si>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</si>
  <si>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</si>
  <si>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</si>
  <si>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</si>
  <si>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</si>
  <si>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</si>
  <si>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</si>
  <si>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</si>
  <si>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</si>
  <si>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</si>
  <si>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</si>
  <si>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</si>
  <si>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</si>
  <si>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</si>
  <si>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</si>
  <si>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</si>
  <si>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</si>
  <si>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</si>
  <si>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</si>
  <si>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</si>
  <si>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</si>
  <si>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</si>
  <si>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</si>
  <si>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</si>
  <si>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</si>
  <si>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</si>
  <si>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</si>
  <si>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</si>
  <si>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</si>
  <si>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</si>
  <si>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</si>
  <si>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</si>
  <si>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</si>
  <si>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</si>
  <si>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</si>
  <si>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攀爬，格斗或投掷，聆听，自然，神秘学，侦查，游泳，生存（任一）。</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</si>
  <si>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</si>
  <si>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</si>
  <si>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</si>
  <si>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</si>
  <si>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</si>
  <si>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</si>
  <si>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</si>
  <si>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</si>
  <si>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</si>
  <si>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</si>
  <si>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</si>
  <si>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2＋力量或敏捷×2</t>
    </r>
  </si>
  <si>
    <r>
      <t>教育×</t>
    </r>
    <r>
      <rPr>
        <sz val="10.5"/>
        <color theme="1"/>
        <rFont val="微软雅黑 Light"/>
        <family val="2"/>
        <charset val="134"/>
      </rPr>
      <t>2＋敏捷×2</t>
    </r>
  </si>
  <si>
    <r>
      <t>教育×</t>
    </r>
    <r>
      <rPr>
        <sz val="10.5"/>
        <color theme="1"/>
        <rFont val="微软雅黑 Light"/>
        <family val="2"/>
        <charset val="134"/>
      </rPr>
      <t>2＋外貌×2</t>
    </r>
    <phoneticPr fontId="2" type="noConversion"/>
  </si>
  <si>
    <r>
      <t>教育×</t>
    </r>
    <r>
      <rPr>
        <sz val="10.5"/>
        <color theme="1"/>
        <rFont val="微软雅黑 Light"/>
        <family val="2"/>
        <charset val="134"/>
      </rPr>
      <t>2＋敏捷或外貌×2</t>
    </r>
  </si>
  <si>
    <r>
      <t>教育×</t>
    </r>
    <r>
      <rPr>
        <sz val="10.5"/>
        <color theme="1"/>
        <rFont val="微软雅黑 Light"/>
        <family val="2"/>
        <charset val="134"/>
      </rPr>
      <t>2＋外貌×2</t>
    </r>
  </si>
  <si>
    <r>
      <t>教育×</t>
    </r>
    <r>
      <rPr>
        <sz val="10.5"/>
        <color theme="1"/>
        <rFont val="微软雅黑 Light"/>
        <family val="2"/>
        <charset val="134"/>
      </rPr>
      <t>2＋外貌或敏捷×2</t>
    </r>
  </si>
  <si>
    <r>
      <t>教育×</t>
    </r>
    <r>
      <rPr>
        <sz val="10.5"/>
        <color theme="1"/>
        <rFont val="微软雅黑 Light"/>
        <family val="2"/>
        <charset val="134"/>
      </rPr>
      <t>2＋敏捷×2</t>
    </r>
    <phoneticPr fontId="2" type="noConversion"/>
  </si>
  <si>
    <r>
      <t>教育×</t>
    </r>
    <r>
      <rPr>
        <sz val="10.5"/>
        <color theme="1"/>
        <rFont val="微软雅黑 Light"/>
        <family val="2"/>
        <charset val="134"/>
      </rPr>
      <t>2＋敏捷或力量×2</t>
    </r>
  </si>
  <si>
    <r>
      <t>教育×</t>
    </r>
    <r>
      <rPr>
        <sz val="10.5"/>
        <color theme="1"/>
        <rFont val="微软雅黑 Light"/>
        <family val="2"/>
        <charset val="134"/>
      </rPr>
      <t>2＋力量×2</t>
    </r>
    <phoneticPr fontId="2" type="noConversion"/>
  </si>
  <si>
    <r>
      <t>教育×</t>
    </r>
    <r>
      <rPr>
        <sz val="10.5"/>
        <color theme="1"/>
        <rFont val="微软雅黑 Light"/>
        <family val="2"/>
        <charset val="134"/>
      </rPr>
      <t>2＋外貌或敏捷×2</t>
    </r>
    <phoneticPr fontId="2" type="noConversion"/>
  </si>
  <si>
    <r>
      <t>教育×</t>
    </r>
    <r>
      <rPr>
        <sz val="10.5"/>
        <color theme="1"/>
        <rFont val="微软雅黑 Light"/>
        <family val="2"/>
        <charset val="134"/>
      </rPr>
      <t>2＋力量或敏捷×2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</si>
  <si>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</si>
  <si>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</si>
  <si>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</si>
  <si>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</si>
  <si>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</si>
  <si>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估价，技艺（任一），历史，图书馆，外语，一项社交技能（魅惑、话术、恐吓、说服），侦查，任意一项其他个人或时代特长。</t>
  </si>
  <si>
    <t>技艺（任一），历史或自然，一项社交技能（魅惑、话术、恐吓、说服），外语，心理学，侦查，任意两项其他个人或时代特长。</t>
  </si>
  <si>
    <t>会计或估价，技艺（任一：如烹饪、裁缝、理发），急救，聆听，外语，心理学，侦查，任意一项其他个人或时代特长。</t>
  </si>
  <si>
    <t>会计，技艺（任二），机械维修，自然，侦查，任意两项其他个人或时代特长。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</si>
  <si>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</si>
  <si>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</si>
  <si>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</si>
  <si>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</si>
  <si>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技艺（任一），急救，机械维修，医学，自然，一项社交技能（魅惑、话术、恐吓、说服），任意两项其他个人或时代特长。</t>
  </si>
  <si>
    <t>技艺（任一），两项社交技能（魅惑、话术、恐吓、说服），闪避，心理学，妙手，潜行，任意一项其他个人或时代特长。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</si>
  <si>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</si>
  <si>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</si>
  <si>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</si>
  <si>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技艺（耕作），汽车驾驶（或运货马车），一项社交技能（魅惑、话术、恐吓、说服），机械维修，自然，操作重型机械，追踪，任意一项其他个人或时代特长</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</si>
  <si>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</si>
  <si>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</si>
  <si>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技艺（文学），历史，图书馆，自然或神秘学，外语，母语，心理学，任意一项其他个人或时代特长。</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</si>
  <si>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</si>
  <si>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</si>
  <si>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</si>
  <si>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</si>
  <si>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</si>
  <si>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</si>
  <si>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</si>
  <si>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</si>
  <si>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</si>
  <si>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</si>
  <si>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</si>
  <si>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</si>
  <si>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</si>
  <si>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phoneticPr fontId="2" type="noConversion"/>
  </si>
  <si>
    <t>鞭子</t>
    <phoneticPr fontId="2" type="noConversion"/>
  </si>
  <si>
    <t>电锯</t>
    <phoneticPr fontId="2" type="noConversion"/>
  </si>
  <si>
    <t>机关枪</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</si>
  <si>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</si>
  <si>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</si>
  <si>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</si>
  <si>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</si>
  <si>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</si>
  <si>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</si>
  <si>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</si>
  <si>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</si>
  <si>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</si>
  <si>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</si>
  <si>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</si>
  <si>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考古学</t>
  </si>
  <si>
    <t>攀爬</t>
  </si>
  <si>
    <t>克苏鲁神话</t>
  </si>
  <si>
    <t>乔装</t>
  </si>
  <si>
    <t>闪避</t>
  </si>
  <si>
    <t>汽车驾驶</t>
  </si>
  <si>
    <t>电气维修</t>
  </si>
  <si>
    <t>话术</t>
  </si>
  <si>
    <t>恐吓</t>
  </si>
  <si>
    <t>跳跃</t>
  </si>
  <si>
    <t>聆听</t>
    <phoneticPr fontId="2" type="noConversion"/>
  </si>
  <si>
    <t>锁匠</t>
    <phoneticPr fontId="2" type="noConversion"/>
  </si>
  <si>
    <t>机械维修</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</si>
  <si>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</si>
  <si>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</si>
  <si>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</si>
  <si>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</si>
  <si>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</si>
  <si>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</si>
  <si>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</si>
  <si>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</si>
  <si>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</si>
  <si>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</si>
  <si>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</si>
  <si>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</si>
  <si>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</si>
  <si>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</si>
  <si>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</si>
  <si>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</si>
  <si>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罕见:</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</si>
  <si>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</si>
  <si>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</si>
  <si>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</si>
  <si>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</si>
  <si>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</si>
  <si>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</si>
  <si>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</si>
  <si>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</si>
  <si>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</si>
  <si>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</si>
  <si>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现金：</t>
    <phoneticPr fontId="2" type="noConversion"/>
  </si>
  <si>
    <t>消费水平：</t>
  </si>
  <si>
    <t>第三类接触</t>
    <phoneticPr fontId="2" type="noConversion"/>
  </si>
  <si>
    <t>古籍、咒文和魔法物品</t>
    <phoneticPr fontId="2" type="noConversion"/>
  </si>
  <si>
    <t>调查员同伴</t>
    <phoneticPr fontId="2" type="noConversion"/>
  </si>
  <si>
    <t>健康</t>
  </si>
  <si>
    <t>步枪/霰弹枪</t>
    <phoneticPr fontId="2" type="noConversion"/>
  </si>
  <si>
    <t>——</t>
    <phoneticPr fontId="2" type="noConversion"/>
  </si>
  <si>
    <t>神志清醒</t>
  </si>
  <si>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</si>
  <si>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</si>
  <si>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</si>
  <si>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</si>
  <si>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</si>
  <si>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t>智力INT
灵感idea</t>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</si>
  <si>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</si>
  <si>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</si>
  <si>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8"/>
        <color theme="1"/>
        <rFont val="微软雅黑"/>
        <family val="2"/>
        <charset val="134"/>
      </rPr>
      <t>MOV</t>
    </r>
    <phoneticPr fontId="2" type="noConversion"/>
  </si>
  <si>
    <r>
      <t xml:space="preserve">体力
</t>
    </r>
    <r>
      <rPr>
        <sz val="8"/>
        <color theme="1"/>
        <rFont val="微软雅黑"/>
        <family val="2"/>
        <charset val="134"/>
      </rPr>
      <t>Hit  Points</t>
    </r>
    <phoneticPr fontId="2" type="noConversion"/>
  </si>
  <si>
    <r>
      <t xml:space="preserve">理智
</t>
    </r>
    <r>
      <rPr>
        <sz val="8"/>
        <color theme="1"/>
        <rFont val="微软雅黑"/>
        <family val="2"/>
        <charset val="134"/>
      </rPr>
      <t>Sanity</t>
    </r>
    <phoneticPr fontId="2" type="noConversion"/>
  </si>
  <si>
    <r>
      <t xml:space="preserve">幸运
</t>
    </r>
    <r>
      <rPr>
        <sz val="8"/>
        <color theme="1"/>
        <rFont val="微软雅黑"/>
        <family val="2"/>
        <charset val="134"/>
      </rPr>
      <t>Luck</t>
    </r>
    <phoneticPr fontId="2" type="noConversion"/>
  </si>
  <si>
    <r>
      <t xml:space="preserve">魔法
</t>
    </r>
    <r>
      <rPr>
        <sz val="8"/>
        <color theme="1"/>
        <rFont val="微软雅黑"/>
        <family val="2"/>
        <charset val="134"/>
      </rPr>
      <t>Magic Points</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</si>
  <si>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</si>
  <si>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</si>
  <si>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r>
      <t xml:space="preserve">状态 </t>
    </r>
    <r>
      <rPr>
        <sz val="8"/>
        <color theme="1"/>
        <rFont val="微软雅黑"/>
        <family val="2"/>
        <charset val="134"/>
      </rPr>
      <t>State</t>
    </r>
    <phoneticPr fontId="2" type="noConversion"/>
  </si>
  <si>
    <t>宝贵之物</t>
    <phoneticPr fontId="2" type="noConversion"/>
  </si>
  <si>
    <r>
      <t xml:space="preserve">护甲 </t>
    </r>
    <r>
      <rPr>
        <sz val="8"/>
        <color theme="1"/>
        <rFont val="微软雅黑"/>
        <family val="2"/>
        <charset val="134"/>
      </rPr>
      <t>Armor</t>
    </r>
    <phoneticPr fontId="2" type="noConversion"/>
  </si>
  <si>
    <t>思想与信念</t>
    <phoneticPr fontId="2" type="noConversion"/>
  </si>
  <si>
    <t>重要之人</t>
    <phoneticPr fontId="2" type="noConversion"/>
  </si>
  <si>
    <t>特质</t>
    <phoneticPr fontId="2" type="noConversion"/>
  </si>
  <si>
    <t>选择职业序号为0，则清除职业模板提示和点数计算器，供强迫症患者使用。</t>
    <phoneticPr fontId="2" type="noConversion"/>
  </si>
  <si>
    <t>生存:</t>
    <phoneticPr fontId="2" type="noConversion"/>
  </si>
  <si>
    <t>无特殊状态</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</si>
  <si>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</si>
  <si>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</si>
  <si>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</si>
  <si>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</si>
  <si>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</si>
  <si>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</si>
  <si>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</si>
  <si>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</si>
  <si>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</si>
  <si>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</si>
  <si>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按[F9]刷新。移动设备选择[菜单]-[公式]-[开始计算]。</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</si>
  <si>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</si>
  <si>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</si>
  <si>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</si>
  <si>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</si>
  <si>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</si>
  <si>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</si>
  <si>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</si>
  <si>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</si>
  <si>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</si>
  <si>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</si>
  <si>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</si>
  <si>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</si>
  <si>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</si>
  <si>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</si>
  <si>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</si>
  <si>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</si>
  <si>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</si>
  <si>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</si>
  <si>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</si>
  <si>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</si>
  <si>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</si>
  <si>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</si>
  <si>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</si>
  <si>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</si>
  <si>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</si>
  <si>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</si>
  <si>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</si>
  <si>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</si>
  <si>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</si>
  <si>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</si>
  <si>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</si>
  <si>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</si>
  <si>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</si>
  <si>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</si>
  <si>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</si>
  <si>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</si>
  <si>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</si>
  <si>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</si>
  <si>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</si>
  <si>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</si>
  <si>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</si>
  <si>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三者相等</t>
    <phoneticPr fontId="2" type="noConversion"/>
  </si>
  <si>
    <t>MOV=7？</t>
    <phoneticPr fontId="2" type="noConversion"/>
  </si>
  <si>
    <t>二者皆&gt;体</t>
    <phoneticPr fontId="2" type="noConversion"/>
  </si>
  <si>
    <t>一者＞体</t>
    <phoneticPr fontId="2" type="noConversion"/>
  </si>
  <si>
    <t>判断MOV</t>
    <phoneticPr fontId="2" type="noConversion"/>
  </si>
  <si>
    <t>剑</t>
  </si>
  <si>
    <t>信用评级</t>
    <phoneticPr fontId="2" type="noConversion"/>
  </si>
  <si>
    <t>图书馆使用</t>
    <phoneticPr fontId="2" type="noConversion"/>
  </si>
  <si>
    <t>示例 - 田宫真莉[秋叶]：比自己晚一年进入事务所的后辈，近藤的同期好友。</t>
    <phoneticPr fontId="2" type="noConversion"/>
  </si>
  <si>
    <t>SIZ</t>
    <phoneticPr fontId="2" type="noConversion"/>
  </si>
  <si>
    <t>STR&gt;SIZ?</t>
    <phoneticPr fontId="2" type="noConversion"/>
  </si>
  <si>
    <t>DEX&gt;SIZ?</t>
    <phoneticPr fontId="2" type="noConversion"/>
  </si>
  <si>
    <t>STR=SIZ?</t>
    <phoneticPr fontId="2" type="noConversion"/>
  </si>
  <si>
    <t>DEX=SIZ?</t>
    <phoneticPr fontId="2" type="noConversion"/>
  </si>
  <si>
    <t>STR&lt;SIZ?</t>
    <phoneticPr fontId="2" type="noConversion"/>
  </si>
  <si>
    <t>DEX&lt;SIZ?</t>
    <phoneticPr fontId="2" type="noConversion"/>
  </si>
  <si>
    <t>二者皆&lt;体</t>
    <phoneticPr fontId="2" type="noConversion"/>
  </si>
  <si>
    <t>MOV=7？</t>
    <phoneticPr fontId="2" type="noConversion"/>
  </si>
  <si>
    <t>MOV=9？</t>
    <phoneticPr fontId="2" type="noConversion"/>
  </si>
  <si>
    <t>MOV=8？</t>
    <phoneticPr fontId="2" type="noConversion"/>
  </si>
  <si>
    <t>最终结果</t>
    <phoneticPr fontId="2" type="noConversion"/>
  </si>
  <si>
    <t>个人描述</t>
    <phoneticPr fontId="2" type="noConversion"/>
  </si>
  <si>
    <t>角色名称[玩家]：关系描述</t>
    <phoneticPr fontId="2" type="noConversion"/>
  </si>
  <si>
    <t>调查员笔记</t>
    <phoneticPr fontId="2" type="noConversion"/>
  </si>
  <si>
    <r>
      <t xml:space="preserve">闪避
</t>
    </r>
    <r>
      <rPr>
        <sz val="8"/>
        <color theme="1"/>
        <rFont val="微软雅黑"/>
        <family val="2"/>
        <charset val="134"/>
      </rPr>
      <t>Dodge</t>
    </r>
    <phoneticPr fontId="2" type="noConversion"/>
  </si>
  <si>
    <t>语言:</t>
    <phoneticPr fontId="2" type="noConversion"/>
  </si>
  <si>
    <t>此处用于筛选</t>
    <phoneticPr fontId="2" type="noConversion"/>
  </si>
  <si>
    <r>
      <t>不多于7个本职技能。在职业属性中输入第二职业属性的</t>
    </r>
    <r>
      <rPr>
        <b/>
        <sz val="11"/>
        <color rgb="FFFF0000"/>
        <rFont val="微软雅黑 Light"/>
        <family val="2"/>
        <charset val="134"/>
      </rPr>
      <t>数值</t>
    </r>
    <r>
      <rPr>
        <sz val="11"/>
        <color theme="1"/>
        <rFont val="微软雅黑 Light"/>
        <family val="2"/>
        <charset val="134"/>
      </rPr>
      <t>（留空则视为EDU）并自行设置起始信誉。使用自定义职业前，请先咨询你的守秘人</t>
    </r>
    <phoneticPr fontId="2" type="noConversion"/>
  </si>
  <si>
    <t>←点这个箭头，将滚动条拉到最底端，去掉(空白)前的复选框，点确定。</t>
    <phoneticPr fontId="2" type="noConversion"/>
  </si>
  <si>
    <t>选中B列，复制，粘贴至txt文档中即可。</t>
    <phoneticPr fontId="2" type="noConversion"/>
  </si>
  <si>
    <t>*护甲、职业模板、调查员笔记、调查员同伴、古籍咒文魔法物品和神话遭遇不会被输出。</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</si>
  <si>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</si>
  <si>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</si>
  <si>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</si>
  <si>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</si>
  <si>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</si>
  <si>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</si>
  <si>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</si>
  <si>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射击，聆听或侦查，自然，导航，外语或生存（任一），科学（生物学或植物学），潜行，追踪。</t>
    <phoneticPr fontId="2" type="noConversion"/>
  </si>
  <si>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</si>
  <si>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</si>
  <si>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</si>
  <si>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</si>
  <si>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</si>
  <si>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</si>
  <si>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</si>
  <si>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</si>
  <si>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</si>
  <si>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</si>
  <si>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</si>
  <si>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</si>
  <si>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</si>
  <si>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</si>
  <si>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</si>
  <si>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驯兽，会计，闪避，急救，自然，医学，科学（制药，动物学）。</t>
  </si>
  <si>
    <t>外貌
APP</t>
    <phoneticPr fontId="2" type="noConversion"/>
  </si>
  <si>
    <t>智力
INT</t>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</si>
  <si>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</si>
  <si>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</si>
  <si>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</si>
  <si>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</si>
  <si>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</si>
  <si>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————————随身物品————————</t>
    <phoneticPr fontId="2" type="noConversion"/>
  </si>
  <si>
    <t>————————————————————</t>
    <phoneticPr fontId="2" type="noConversion"/>
  </si>
  <si>
    <t>计算机使用 Ω</t>
    <phoneticPr fontId="2" type="noConversion"/>
  </si>
  <si>
    <t>电子学 Ω</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</si>
  <si>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</si>
  <si>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</si>
  <si>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</si>
  <si>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</si>
  <si>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</si>
  <si>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</si>
  <si>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</si>
  <si>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</si>
  <si>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</si>
  <si>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</si>
  <si>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</si>
  <si>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</si>
  <si>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</si>
  <si>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</si>
  <si>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</si>
  <si>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</si>
  <si>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</si>
  <si>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伪造文书</t>
    <phoneticPr fontId="2" type="noConversion"/>
  </si>
  <si>
    <t>爆破</t>
    <phoneticPr fontId="2" type="noConversion"/>
  </si>
  <si>
    <t>催眠</t>
    <phoneticPr fontId="2" type="noConversion"/>
  </si>
  <si>
    <t>动物驯养</t>
    <phoneticPr fontId="2" type="noConversion"/>
  </si>
  <si>
    <t>炮术</t>
    <phoneticPr fontId="2" type="noConversion"/>
  </si>
  <si>
    <t>潜水</t>
    <phoneticPr fontId="2" type="noConversion"/>
  </si>
  <si>
    <t>N/A</t>
  </si>
  <si>
    <t>现代</t>
  </si>
  <si>
    <t>98</t>
  </si>
  <si>
    <t>1</t>
  </si>
  <si>
    <t>√</t>
  </si>
  <si>
    <t>150码</t>
  </si>
  <si>
    <t>8d10/1码</t>
  </si>
  <si>
    <t>重武器</t>
  </si>
  <si>
    <t>轻型反坦克武器*</t>
  </si>
  <si>
    <t>1920s,现代</t>
  </si>
  <si>
    <t>93</t>
  </si>
  <si>
    <t>至少10</t>
  </si>
  <si>
    <t>25码</t>
  </si>
  <si>
    <t>2D6+燃烧</t>
  </si>
  <si>
    <t>火焰喷射器</t>
  </si>
  <si>
    <t>99</t>
  </si>
  <si>
    <t>一次性</t>
  </si>
  <si>
    <t>布置</t>
  </si>
  <si>
    <t>6D6/20码</t>
  </si>
  <si>
    <t>爆破</t>
  </si>
  <si>
    <t>阔剑地雷</t>
  </si>
  <si>
    <t>4D10/5码</t>
  </si>
  <si>
    <t>反步兵地雷</t>
  </si>
  <si>
    <t>自动</t>
  </si>
  <si>
    <t>2</t>
  </si>
  <si>
    <t>3000码</t>
  </si>
  <si>
    <t>12D10/4码</t>
  </si>
  <si>
    <t>炮术</t>
  </si>
  <si>
    <t>5英寸舰载炮(稳定)</t>
  </si>
  <si>
    <t>100</t>
  </si>
  <si>
    <t>独立</t>
  </si>
  <si>
    <t>2000码</t>
  </si>
  <si>
    <t>15D10/4码</t>
  </si>
  <si>
    <t>120mm坦克炮(稳定)</t>
  </si>
  <si>
    <t>1500</t>
  </si>
  <si>
    <t>1/4</t>
  </si>
  <si>
    <t>500码</t>
  </si>
  <si>
    <t>10D10/2码</t>
  </si>
  <si>
    <t>75mm野战炮</t>
  </si>
  <si>
    <t>6D10/6码</t>
  </si>
  <si>
    <t>81mm迫击炮</t>
  </si>
  <si>
    <t>1/2</t>
  </si>
  <si>
    <t>STR步</t>
  </si>
  <si>
    <t>4D10/3码</t>
  </si>
  <si>
    <t>投掷</t>
  </si>
  <si>
    <t>手榴弹*</t>
  </si>
  <si>
    <t>一次使用</t>
  </si>
  <si>
    <t>6D10/3码</t>
  </si>
  <si>
    <t>塑胶炸弹(C4) 100克</t>
  </si>
  <si>
    <t>95</t>
  </si>
  <si>
    <t>1D10/3码</t>
  </si>
  <si>
    <t>管状炸弹</t>
  </si>
  <si>
    <t>20/box</t>
  </si>
  <si>
    <t>2D10/1码</t>
  </si>
  <si>
    <t>电器维修</t>
  </si>
  <si>
    <t>雷管</t>
  </si>
  <si>
    <t>2/5</t>
  </si>
  <si>
    <t>土制炸药</t>
  </si>
  <si>
    <t>1/3</t>
  </si>
  <si>
    <t>20</t>
  </si>
  <si>
    <t>3D10/2码</t>
  </si>
  <si>
    <t>M79榴弹发射器</t>
  </si>
  <si>
    <t>15/75</t>
  </si>
  <si>
    <t>10</t>
  </si>
  <si>
    <t>1D10+1D3+燃烧</t>
  </si>
  <si>
    <t>信号枪</t>
  </si>
  <si>
    <t>STR码</t>
  </si>
  <si>
    <t>燃烧瓶</t>
  </si>
  <si>
    <t>1920s</t>
  </si>
  <si>
    <t>250</t>
  </si>
  <si>
    <t>全自动</t>
  </si>
  <si>
    <t>110</t>
  </si>
  <si>
    <t>2D6+4</t>
  </si>
  <si>
    <t>机关枪</t>
  </si>
  <si>
    <t>维克斯MK1式机枪</t>
  </si>
  <si>
    <t>30/200</t>
  </si>
  <si>
    <t>2D6</t>
  </si>
  <si>
    <t>FNMinimi5.56mm轻机枪</t>
  </si>
  <si>
    <t>4000</t>
  </si>
  <si>
    <t>200</t>
  </si>
  <si>
    <t>Minigun</t>
  </si>
  <si>
    <t>3000/20000</t>
  </si>
  <si>
    <t>96</t>
  </si>
  <si>
    <t>27/97</t>
  </si>
  <si>
    <t>刘易斯式轻机枪</t>
  </si>
  <si>
    <t>3000/50000</t>
  </si>
  <si>
    <t>30/100</t>
  </si>
  <si>
    <t>1or全自动</t>
  </si>
  <si>
    <t>布伦式轻机枪</t>
  </si>
  <si>
    <t>3000/30000</t>
  </si>
  <si>
    <t>150</t>
  </si>
  <si>
    <t>M1917A1式勃朗宁重机枪</t>
  </si>
  <si>
    <t>800/1500</t>
  </si>
  <si>
    <t>1(2)or全自动</t>
  </si>
  <si>
    <t>90</t>
  </si>
  <si>
    <t>M1918式勃朗宁自动步枪</t>
  </si>
  <si>
    <t>2000/14000</t>
  </si>
  <si>
    <t>1920s罕见</t>
  </si>
  <si>
    <t>M1882加特林机枪</t>
  </si>
  <si>
    <t>-/1000</t>
  </si>
  <si>
    <t>32</t>
  </si>
  <si>
    <t>1D10</t>
  </si>
  <si>
    <t>冲锋枪</t>
  </si>
  <si>
    <t>乌兹微型冲锋枪</t>
  </si>
  <si>
    <t>200/1600</t>
  </si>
  <si>
    <t>20/30/50</t>
  </si>
  <si>
    <t>1D10+2</t>
  </si>
  <si>
    <t>汤普森冲锋枪</t>
  </si>
  <si>
    <t>1(3)or全自动</t>
  </si>
  <si>
    <t>15</t>
  </si>
  <si>
    <t>1D8</t>
  </si>
  <si>
    <t>蝎式冲锋枪</t>
  </si>
  <si>
    <t>-/750</t>
  </si>
  <si>
    <t>MAC-11</t>
  </si>
  <si>
    <t>97</t>
  </si>
  <si>
    <t>15/30</t>
  </si>
  <si>
    <t>黑克勒-科赫MP5</t>
  </si>
  <si>
    <t>1000/20000</t>
  </si>
  <si>
    <t>20/30/32</t>
  </si>
  <si>
    <t>贝格曼MP181/ MP2811</t>
  </si>
  <si>
    <t>-/2800</t>
  </si>
  <si>
    <t>30</t>
  </si>
  <si>
    <t>1(or全自动</t>
  </si>
  <si>
    <t>巴雷特M70/90</t>
  </si>
  <si>
    <t>-/1100</t>
  </si>
  <si>
    <t xml:space="preserve">Steyr AUG </t>
  </si>
  <si>
    <t>1(2)or3</t>
  </si>
  <si>
    <t>M4</t>
  </si>
  <si>
    <t>M16A2</t>
  </si>
  <si>
    <t>-/2000</t>
  </si>
  <si>
    <t>Galil Assault Rifle</t>
  </si>
  <si>
    <t>-/1500</t>
  </si>
  <si>
    <t>FN FAL Light Automatic</t>
  </si>
  <si>
    <t>-/3000</t>
  </si>
  <si>
    <t>11</t>
  </si>
  <si>
    <t>2D10+1D8+6</t>
  </si>
  <si>
    <t>巴雷特M82</t>
  </si>
  <si>
    <t xml:space="preserve">AK-74 </t>
  </si>
  <si>
    <t>-/200</t>
  </si>
  <si>
    <t>2D6+1</t>
  </si>
  <si>
    <t>AK-47 or AKM</t>
  </si>
  <si>
    <t>-/600</t>
  </si>
  <si>
    <t>8</t>
  </si>
  <si>
    <t>×</t>
  </si>
  <si>
    <t>10/20/50</t>
  </si>
  <si>
    <t>4D6/2D6/1D6</t>
  </si>
  <si>
    <t>12号SPAS (折叠式枪托)</t>
  </si>
  <si>
    <t>-/895</t>
  </si>
  <si>
    <t>7</t>
  </si>
  <si>
    <t>1 or 2</t>
  </si>
  <si>
    <t>12号贝里尼M3 (折叠式枪托)</t>
  </si>
  <si>
    <t>稀有</t>
  </si>
  <si>
    <t>4D6+2/2D6+1/1D4</t>
  </si>
  <si>
    <t>10号霰弹枪(双管)</t>
  </si>
  <si>
    <t>5/10</t>
  </si>
  <si>
    <t>4D6/1D6</t>
  </si>
  <si>
    <t>削短12号双管霰弹枪</t>
  </si>
  <si>
    <t>45/100</t>
  </si>
  <si>
    <t>5</t>
  </si>
  <si>
    <t>12号半自动霰弹枪</t>
  </si>
  <si>
    <t>12号泵动霰弹枪</t>
  </si>
  <si>
    <t>40/200</t>
  </si>
  <si>
    <t>12号霰弹枪(双管)</t>
  </si>
  <si>
    <t>40/稀有</t>
  </si>
  <si>
    <t>2D6+2/1D6+1/1D4</t>
  </si>
  <si>
    <t>16号霰弹枪(双管)</t>
  </si>
  <si>
    <t>35/稀有</t>
  </si>
  <si>
    <t>2D6/1D6/1D3</t>
  </si>
  <si>
    <t>20号霰弹枪(双管)</t>
  </si>
  <si>
    <t>400/1800</t>
  </si>
  <si>
    <t>3D6+4</t>
  </si>
  <si>
    <t>猎象枪(双管)</t>
  </si>
  <si>
    <t>400</t>
  </si>
  <si>
    <t>2D8+4</t>
  </si>
  <si>
    <t>.444 (11.28mm) 马林步枪</t>
  </si>
  <si>
    <t>275</t>
  </si>
  <si>
    <t>.30-06 (7.62mm) 半自动步枪</t>
  </si>
  <si>
    <t>75/175</t>
  </si>
  <si>
    <t>.30-06 (7.62mm) 栓式枪机步枪</t>
  </si>
  <si>
    <t>50/300</t>
  </si>
  <si>
    <t>.303 (7.7mm) 李恩菲尔德</t>
  </si>
  <si>
    <t>500</t>
  </si>
  <si>
    <t>1(2)</t>
  </si>
  <si>
    <t>SKS半自动步枪</t>
  </si>
  <si>
    <t>二战晚期</t>
  </si>
  <si>
    <t>加兰德M1、M2步枪</t>
  </si>
  <si>
    <t>88</t>
  </si>
  <si>
    <t>莫兰上校的气动步枪</t>
  </si>
  <si>
    <t>20/200</t>
  </si>
  <si>
    <t>80</t>
  </si>
  <si>
    <t>1D8+1D6+3</t>
  </si>
  <si>
    <t>.45 马提尼·亨利步枪</t>
  </si>
  <si>
    <t>19/150</t>
  </si>
  <si>
    <t>6</t>
  </si>
  <si>
    <t>50</t>
  </si>
  <si>
    <t>.30 卡宾枪</t>
  </si>
  <si>
    <t>13/70</t>
  </si>
  <si>
    <t>1D6+1</t>
  </si>
  <si>
    <t>.22 杠杆式枪机步枪</t>
  </si>
  <si>
    <t>25/350</t>
  </si>
  <si>
    <t>罕见</t>
  </si>
  <si>
    <t>60</t>
  </si>
  <si>
    <t>1D10+4</t>
  </si>
  <si>
    <t>.58 斯普林菲尔德步枪</t>
  </si>
  <si>
    <t>-/650</t>
  </si>
  <si>
    <t>94</t>
  </si>
  <si>
    <t>1(3)</t>
  </si>
  <si>
    <t>1D10+1D6+3</t>
  </si>
  <si>
    <t>沙漠之鹰</t>
  </si>
  <si>
    <t>40/375</t>
  </si>
  <si>
    <t>.45 自动手枪</t>
  </si>
  <si>
    <t>30/300</t>
  </si>
  <si>
    <t>.45 左轮手枪</t>
  </si>
  <si>
    <t>1/475</t>
  </si>
  <si>
    <t>1D10+1D4+2</t>
  </si>
  <si>
    <t>.44 马格南左轮手枪</t>
  </si>
  <si>
    <t>30/-</t>
  </si>
  <si>
    <t>1920s,罕见</t>
  </si>
  <si>
    <t>.41 左轮手枪</t>
  </si>
  <si>
    <t>75/600</t>
  </si>
  <si>
    <t>鲁格P08</t>
  </si>
  <si>
    <t>-/500</t>
  </si>
  <si>
    <t>17</t>
  </si>
  <si>
    <t>格洛克17 9mm 自动手枪</t>
  </si>
  <si>
    <t>贝雷塔M9</t>
  </si>
  <si>
    <t>30/375</t>
  </si>
  <si>
    <t>.38 自动手枪</t>
  </si>
  <si>
    <t>25/200</t>
  </si>
  <si>
    <t>.38 or 9mm 左轮手枪</t>
  </si>
  <si>
    <t>1/425</t>
  </si>
  <si>
    <t>1D8+1D4</t>
  </si>
  <si>
    <t>.357 Magnum 左轮手枪</t>
  </si>
  <si>
    <t>20/350</t>
  </si>
  <si>
    <t>.32 or 7.65mm 自动手枪</t>
  </si>
  <si>
    <t>15/200</t>
  </si>
  <si>
    <t>.32 or 7.65mm 左轮手枪</t>
  </si>
  <si>
    <t>12/55</t>
  </si>
  <si>
    <t>3</t>
  </si>
  <si>
    <t>1D6</t>
  </si>
  <si>
    <t>.25 短口手枪 (单管)</t>
  </si>
  <si>
    <t>25/190</t>
  </si>
  <si>
    <t>.22 短口自动手枪</t>
  </si>
  <si>
    <t>遂发枪</t>
  </si>
  <si>
    <t>-</t>
  </si>
  <si>
    <t>接触</t>
  </si>
  <si>
    <t>1D8+2+DB</t>
  </si>
  <si>
    <t>斧</t>
  </si>
  <si>
    <t>伐木斧</t>
  </si>
  <si>
    <t>2/4</t>
  </si>
  <si>
    <t>1D8+half STR</t>
  </si>
  <si>
    <t>利刃回旋镖</t>
  </si>
  <si>
    <t>-/400</t>
  </si>
  <si>
    <t>15步</t>
  </si>
  <si>
    <t>1D3+眩晕</t>
  </si>
  <si>
    <t>泰瑟枪(远程)</t>
  </si>
  <si>
    <t>不定</t>
  </si>
  <si>
    <t>电棍</t>
  </si>
  <si>
    <t>25/100</t>
  </si>
  <si>
    <t>1D6+DB</t>
  </si>
  <si>
    <t>轻剑(击剑、剑仗等)</t>
  </si>
  <si>
    <t>15/100</t>
  </si>
  <si>
    <t>1D6+1+DB</t>
  </si>
  <si>
    <t>中型剑(佩剑等)</t>
  </si>
  <si>
    <t>30/75</t>
  </si>
  <si>
    <t>1D8+1+DB</t>
  </si>
  <si>
    <t>大型剑(骑兵大剑)</t>
  </si>
  <si>
    <t>1/25</t>
  </si>
  <si>
    <t>1D8+一半DB</t>
  </si>
  <si>
    <t>掷矛</t>
  </si>
  <si>
    <t>25/150</t>
  </si>
  <si>
    <t>1D8+1</t>
  </si>
  <si>
    <t>矛</t>
  </si>
  <si>
    <t>矛(枪骑兵)</t>
  </si>
  <si>
    <t>0.5/3</t>
  </si>
  <si>
    <t>20码</t>
  </si>
  <si>
    <t>1D3+一半DB</t>
  </si>
  <si>
    <t>苦无</t>
  </si>
  <si>
    <t>1D4+一半DB</t>
  </si>
  <si>
    <t>抛出的石块</t>
  </si>
  <si>
    <t>1/10</t>
  </si>
  <si>
    <t>1D8+DB</t>
  </si>
  <si>
    <t>链枷</t>
  </si>
  <si>
    <t>双截棍</t>
  </si>
  <si>
    <t>-/10</t>
  </si>
  <si>
    <t>25次</t>
  </si>
  <si>
    <t>6步</t>
  </si>
  <si>
    <t>眩晕</t>
  </si>
  <si>
    <t>催泪瓦斯</t>
  </si>
  <si>
    <t>2D8+眩晕</t>
  </si>
  <si>
    <t>220v通电导线</t>
  </si>
  <si>
    <t>2/6</t>
  </si>
  <si>
    <t>1D4+DB</t>
  </si>
  <si>
    <t>小型刀具(水果刀等)</t>
  </si>
  <si>
    <t>2/15</t>
  </si>
  <si>
    <t>1D4+2+DB</t>
  </si>
  <si>
    <t>中型刀具(雕刻刀等)</t>
  </si>
  <si>
    <t>4/50</t>
  </si>
  <si>
    <t>大型刀具(大砍刀等)</t>
  </si>
  <si>
    <t>3/9</t>
  </si>
  <si>
    <t>斧头/镰刀</t>
  </si>
  <si>
    <t>绞具</t>
  </si>
  <si>
    <t>10/100</t>
  </si>
  <si>
    <t>50码</t>
  </si>
  <si>
    <t>1D8+2</t>
  </si>
  <si>
    <t>弓术</t>
  </si>
  <si>
    <t>十字弩</t>
  </si>
  <si>
    <t>3/35</t>
  </si>
  <si>
    <t>小型棍状物(警棍等)</t>
  </si>
  <si>
    <t>大型棍状物(棒球棍、板球棒、拨火棍等)</t>
  </si>
  <si>
    <t>包皮铁棍(甩棍、护身短棒)</t>
  </si>
  <si>
    <t>-/300</t>
  </si>
  <si>
    <t>2D8</t>
  </si>
  <si>
    <t>电锯</t>
  </si>
  <si>
    <t>0.05/0.5</t>
  </si>
  <si>
    <t>1D6+燃烧</t>
  </si>
  <si>
    <t>燃烧的火炬</t>
  </si>
  <si>
    <t>5/50</t>
  </si>
  <si>
    <t>10步</t>
  </si>
  <si>
    <t>鞭子</t>
  </si>
  <si>
    <t>长鞭</t>
  </si>
  <si>
    <t>1D3+1+DB</t>
  </si>
  <si>
    <t>指虎</t>
  </si>
  <si>
    <t>7/75</t>
  </si>
  <si>
    <t>30码</t>
  </si>
  <si>
    <t>1D6+一半DB</t>
  </si>
  <si>
    <t>弓箭</t>
  </si>
  <si>
    <t>价格20s/现代($)</t>
  </si>
  <si>
    <t>常见时代</t>
  </si>
  <si>
    <t>故障值</t>
  </si>
  <si>
    <t>装弹量</t>
  </si>
  <si>
    <t>次数</t>
  </si>
  <si>
    <t>穿刺</t>
  </si>
  <si>
    <t>射程</t>
  </si>
  <si>
    <t>伤害</t>
  </si>
  <si>
    <t>利用技能</t>
  </si>
  <si>
    <t>名称</t>
  </si>
  <si>
    <t>您的角色可能</t>
  </si>
  <si>
    <t>默认幸运</t>
    <phoneticPr fontId="2" type="noConversion"/>
  </si>
  <si>
    <t>幸运#2</t>
    <phoneticPr fontId="2" type="noConversion"/>
  </si>
  <si>
    <t>使用技能</t>
  </si>
  <si>
    <t>武器</t>
  </si>
  <si>
    <t>装弹量</t>
    <phoneticPr fontId="2" type="noConversion"/>
  </si>
  <si>
    <t>穿刺</t>
    <phoneticPr fontId="2" type="noConversion"/>
  </si>
  <si>
    <t>伤害</t>
    <phoneticPr fontId="2" type="noConversion"/>
  </si>
  <si>
    <t>成功率</t>
    <phoneticPr fontId="2" type="noConversion"/>
  </si>
  <si>
    <t>空手战斗</t>
    <phoneticPr fontId="2" type="noConversion"/>
  </si>
  <si>
    <t>斗殴</t>
    <phoneticPr fontId="2" type="noConversion"/>
  </si>
  <si>
    <t>弓术</t>
    <phoneticPr fontId="2" type="noConversion"/>
  </si>
  <si>
    <t>1D3+DB</t>
    <phoneticPr fontId="2" type="noConversion"/>
  </si>
  <si>
    <t>-</t>
    <phoneticPr fontId="2" type="noConversion"/>
  </si>
  <si>
    <t>x</t>
    <phoneticPr fontId="2" type="noConversion"/>
  </si>
  <si>
    <t>-</t>
    <phoneticPr fontId="2" type="noConversion"/>
  </si>
  <si>
    <t>-</t>
    <phoneticPr fontId="2" type="noConversion"/>
  </si>
  <si>
    <t>咕咕改：未校验版本</t>
    <phoneticPr fontId="2" type="noConversion"/>
  </si>
  <si>
    <t>魅惑</t>
    <phoneticPr fontId="2" type="noConversion"/>
  </si>
  <si>
    <t>会计</t>
    <phoneticPr fontId="2" type="noConversion"/>
  </si>
  <si>
    <t>技艺:</t>
    <phoneticPr fontId="2" type="noConversion"/>
  </si>
  <si>
    <t>语言:</t>
    <phoneticPr fontId="2" type="noConversion"/>
  </si>
  <si>
    <t>绞具</t>
    <phoneticPr fontId="2" type="noConversion"/>
  </si>
  <si>
    <t>技艺（表演），乔装，汽车驾驶，两项社交技能（魅惑、话术、恐吓、说服），心理学，任意两项其他个人或时代特长（如骑乘或格斗）。</t>
    <phoneticPr fontId="2" type="noConversion"/>
  </si>
  <si>
    <t>攀爬，闪避，跳跃，投掷，侦查，游泳，任意两项其他个人或时代特长。</t>
    <phoneticPr fontId="2" type="noConversion"/>
  </si>
  <si>
    <t>急救</t>
    <phoneticPr fontId="2" type="noConversion"/>
  </si>
  <si>
    <t>历史</t>
    <phoneticPr fontId="2" type="noConversion"/>
  </si>
  <si>
    <t>生物学</t>
  </si>
  <si>
    <t>1D10</t>
    <phoneticPr fontId="2" type="noConversion"/>
  </si>
  <si>
    <t>古董商</t>
    <phoneticPr fontId="2" type="noConversion"/>
  </si>
  <si>
    <t>罪犯-刺客</t>
    <phoneticPr fontId="2" type="noConversion"/>
  </si>
  <si>
    <t>会计，技艺（任一），闪避，聆听，两项社交技能（魅惑、话术、恐吓、说服），心理学，任意一项其他个人或时代特长。</t>
    <phoneticPr fontId="2" type="noConversion"/>
  </si>
  <si>
    <t>Produced by Lost_Akiba   果园ID：秋叶EXODUS    群号：228689392  | 咕咕改   群号：308033779</t>
    <phoneticPr fontId="2" type="noConversion"/>
  </si>
  <si>
    <t>估价</t>
    <phoneticPr fontId="2" type="noConversion"/>
  </si>
  <si>
    <t>医学</t>
    <phoneticPr fontId="2" type="noConversion"/>
  </si>
  <si>
    <t>兰迪·克雷莫</t>
    <phoneticPr fontId="2" type="noConversion"/>
  </si>
  <si>
    <t>北航潜入</t>
    <phoneticPr fontId="2" type="noConversion"/>
  </si>
  <si>
    <t>雇佣兵</t>
    <phoneticPr fontId="2" type="noConversion"/>
  </si>
  <si>
    <t>男</t>
    <phoneticPr fontId="2" type="noConversion"/>
  </si>
  <si>
    <t>美国西海岸</t>
    <phoneticPr fontId="2" type="noConversion"/>
  </si>
  <si>
    <t>昴星团（大雾）</t>
    <phoneticPr fontId="2" type="noConversion"/>
  </si>
  <si>
    <t>锁子甲</t>
    <phoneticPr fontId="2" type="noConversion"/>
  </si>
  <si>
    <t>手电筒</t>
    <phoneticPr fontId="2" type="noConversion"/>
  </si>
  <si>
    <t>卫星电话</t>
    <phoneticPr fontId="2" type="noConversion"/>
  </si>
  <si>
    <t>古典的机械手表</t>
    <phoneticPr fontId="2" type="noConversion"/>
  </si>
  <si>
    <t>剑油，剑带等保养工具</t>
    <phoneticPr fontId="2" type="noConversion"/>
  </si>
  <si>
    <t>虽然脸上看不出来，克雷莫的身上还是有几道触目惊心的伤口的</t>
    <phoneticPr fontId="2" type="noConversion"/>
  </si>
  <si>
    <t>医疗包</t>
    <phoneticPr fontId="2" type="noConversion"/>
  </si>
  <si>
    <t>从属性上看就知道，这可能是一个化为人形的拜亚基。</t>
    <phoneticPr fontId="2" type="noConversion"/>
  </si>
  <si>
    <t>天堂岛</t>
    <phoneticPr fontId="2" type="noConversion"/>
  </si>
  <si>
    <t>结实的焰形大剑，罗马短剑</t>
    <phoneticPr fontId="2" type="noConversion"/>
  </si>
  <si>
    <t>克雷莫曾是一个在地下小有名气的雇佣兵（刺客），出名的原因则是在现代他仍然使用着一把结实的双手大剑，并且在多次执行危险的战斗之后无伤而返。不过最近的这一次他有些倒霉，他接下了一份与黑面具为敌的合同，并且这是个陷阱。所以现在他需要花五百万来买下自己的命。</t>
    <phoneticPr fontId="2" type="noConversion"/>
  </si>
  <si>
    <t>头戴式摄像机，毕竟经常有雇主要他拍下目标死亡的画面</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</si>
</sst>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_);[Red]\(0\)"/>
    <numFmt numFmtId="178" formatCode="\+0;\-0;\±0"/>
    <numFmt numFmtId="179" formatCode="\/0_ "/>
  </numFmts>
  <fonts count="28"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b/>
      <sz val="11"/>
      <color rgb="FFFF0000"/>
      <name val="微软雅黑 Light"/>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sz val="11"/>
      <name val="等线"/>
      <family val="3"/>
      <charset val="134"/>
    </font>
    <font>
      <sz val="8"/>
      <color rgb="FF000000"/>
      <name val="微软雅黑 Light"/>
      <family val="2"/>
      <charset val="134"/>
    </font>
    <font>
      <b/>
      <sz val="8"/>
      <color rgb="FF000000"/>
      <name val="微软雅黑 Light"/>
      <family val="2"/>
      <charset val="134"/>
    </font>
    <font>
      <sz val="11"/>
      <color rgb="FFFFFFFF"/>
      <name val="微软雅黑"/>
      <family val="2"/>
      <charset val="134"/>
    </font>
    <font>
      <sz val="11"/>
      <color rgb="FF000000"/>
      <name val="微软雅黑"/>
      <family val="2"/>
      <charset val="134"/>
    </font>
    <font>
      <sz val="11"/>
      <color rgb="FFFFFFFF"/>
      <name val="微软雅黑"/>
      <family val="2"/>
      <charset val="134"/>
    </font>
    <font>
      <sz val="11"/>
      <color rgb="FF000000"/>
      <name val="微软雅黑"/>
      <family val="2"/>
      <charset val="134"/>
    </font>
  </fonts>
  <fills count="13">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theme="4"/>
      </patternFill>
    </fill>
    <fill>
      <patternFill patternType="solid">
        <fgColor rgb="FF5C9BD5"/>
        <bgColor indexed="64"/>
      </patternFill>
    </fill>
    <fill>
      <patternFill patternType="solid">
        <fgColor rgb="FFDEEAF6"/>
        <bgColor indexed="64"/>
      </patternFill>
    </fill>
    <fill>
      <patternFill patternType="solid">
        <fgColor rgb="FF9DC3E5"/>
        <bgColor indexed="64"/>
      </patternFill>
    </fill>
    <fill>
      <patternFill patternType="solid">
        <fgColor rgb="FFFFFFFF"/>
        <bgColor indexed="64"/>
      </patternFill>
    </fill>
    <fill>
      <patternFill patternType="solid">
        <fgColor theme="8" tint="0.79998168889431442"/>
        <bgColor indexed="64"/>
      </patternFill>
    </fill>
  </fills>
  <borders count="7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style="thin">
        <color theme="0" tint="-0.249977111117893"/>
      </bottom>
      <diagonal/>
    </border>
    <border>
      <left style="thin">
        <color theme="0" tint="-0.249977111117893"/>
      </left>
      <right style="double">
        <color indexed="64"/>
      </right>
      <top style="medium">
        <color indexed="64"/>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double">
        <color indexed="64"/>
      </left>
      <right style="thin">
        <color theme="0" tint="-0.249977111117893"/>
      </right>
      <top style="medium">
        <color indexed="64"/>
      </top>
      <bottom style="thin">
        <color theme="0" tint="-0.249977111117893"/>
      </bottom>
      <diagonal/>
    </border>
    <border>
      <left style="double">
        <color indexed="64"/>
      </left>
      <right style="thin">
        <color theme="0" tint="-0.249977111117893"/>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top style="medium">
        <color indexed="64"/>
      </top>
      <bottom style="medium">
        <color indexed="64"/>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auto="1"/>
      </right>
      <top style="medium">
        <color auto="1"/>
      </top>
      <bottom style="medium">
        <color auto="1"/>
      </bottom>
      <diagonal/>
    </border>
    <border>
      <left/>
      <right style="medium">
        <color theme="4"/>
      </right>
      <top style="medium">
        <color theme="4"/>
      </top>
      <bottom style="medium">
        <color auto="1"/>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BFBFBF"/>
      </left>
      <right style="thin">
        <color rgb="FFBFBFBF"/>
      </right>
      <top style="thin">
        <color rgb="FFBFBFBF"/>
      </top>
      <bottom style="thin">
        <color rgb="FFBFBFBF"/>
      </bottom>
      <diagonal/>
    </border>
    <border>
      <left style="thin">
        <color rgb="FFBFBFBF"/>
      </left>
      <right style="medium">
        <color auto="1"/>
      </right>
      <top style="thin">
        <color rgb="FFBFBFBF"/>
      </top>
      <bottom style="thin">
        <color rgb="FFBFBFBF"/>
      </bottom>
      <diagonal/>
    </border>
    <border>
      <left style="thin">
        <color rgb="FFBFBFBF"/>
      </left>
      <right style="thin">
        <color rgb="FFBFBFBF"/>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indexed="64"/>
      </left>
      <right style="thin">
        <color rgb="FFBFBFBF"/>
      </right>
      <top style="thin">
        <color rgb="FFBFBFBF"/>
      </top>
      <bottom style="thin">
        <color rgb="FFBFBFBF"/>
      </bottom>
      <diagonal/>
    </border>
    <border>
      <left style="medium">
        <color indexed="64"/>
      </left>
      <right style="thin">
        <color rgb="FFBFBFBF"/>
      </right>
      <top style="thin">
        <color rgb="FFBFBFBF"/>
      </top>
      <bottom style="medium">
        <color indexed="64"/>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s>
  <cellStyleXfs count="2">
    <xf numFmtId="0" fontId="0" fillId="0" borderId="0">
      <alignment vertical="center"/>
    </xf>
    <xf numFmtId="0" fontId="21" fillId="0" borderId="0">
      <alignment vertical="center"/>
    </xf>
  </cellStyleXfs>
  <cellXfs count="466">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49" fontId="6" fillId="3" borderId="0" xfId="0" applyNumberFormat="1"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protection locked="0"/>
    </xf>
    <xf numFmtId="0" fontId="6" fillId="0" borderId="0" xfId="0" applyFont="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9" fillId="0" borderId="0" xfId="0" applyFont="1" applyBorder="1" applyAlignment="1" applyProtection="1">
      <alignment vertical="center" wrapText="1"/>
    </xf>
    <xf numFmtId="0" fontId="3" fillId="0" borderId="0" xfId="0" applyFont="1" applyAlignment="1" applyProtection="1">
      <alignment horizontal="center" vertical="center"/>
    </xf>
    <xf numFmtId="0" fontId="3" fillId="0" borderId="0" xfId="0" applyFont="1" applyAlignment="1" applyProtection="1">
      <alignment vertical="center"/>
    </xf>
    <xf numFmtId="0" fontId="9" fillId="0" borderId="0" xfId="0" applyFont="1" applyBorder="1" applyAlignment="1" applyProtection="1">
      <alignment horizontal="left"/>
    </xf>
    <xf numFmtId="0" fontId="9" fillId="0" borderId="0" xfId="0" applyFont="1" applyBorder="1" applyAlignment="1" applyProtection="1">
      <alignment vertical="center"/>
    </xf>
    <xf numFmtId="0" fontId="9" fillId="0" borderId="0" xfId="0" applyFont="1" applyBorder="1" applyAlignment="1" applyProtection="1">
      <alignment horizontal="center" vertical="top"/>
    </xf>
    <xf numFmtId="0" fontId="15" fillId="0" borderId="0" xfId="0" applyFont="1" applyBorder="1" applyAlignment="1" applyProtection="1">
      <alignment horizontal="center" vertical="center"/>
    </xf>
    <xf numFmtId="0" fontId="12" fillId="0" borderId="0" xfId="0" applyFont="1" applyAlignment="1" applyProtection="1">
      <alignment horizontal="center" vertical="center"/>
    </xf>
    <xf numFmtId="176" fontId="12" fillId="0" borderId="0" xfId="0" applyNumberFormat="1" applyFont="1" applyAlignment="1" applyProtection="1">
      <alignment horizontal="center" vertical="center"/>
    </xf>
    <xf numFmtId="0" fontId="11" fillId="2" borderId="1" xfId="0"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protection locked="0"/>
    </xf>
    <xf numFmtId="49" fontId="11" fillId="2" borderId="2" xfId="0" applyNumberFormat="1"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wrapText="1"/>
      <protection locked="0"/>
    </xf>
    <xf numFmtId="0" fontId="11" fillId="2" borderId="3"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left" vertical="center" wrapText="1"/>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wrapText="1"/>
      <protection locked="0"/>
    </xf>
    <xf numFmtId="0" fontId="6" fillId="0" borderId="5" xfId="0" applyFont="1" applyBorder="1" applyAlignment="1" applyProtection="1">
      <alignment horizontal="left"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left" vertical="center"/>
      <protection locked="0"/>
    </xf>
    <xf numFmtId="0" fontId="6" fillId="0" borderId="0" xfId="0" applyFont="1" applyAlignment="1" applyProtection="1">
      <alignment horizontal="left" vertical="center"/>
      <protection locked="0"/>
    </xf>
    <xf numFmtId="4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horizontal="left" vertical="center" wrapText="1"/>
      <protection locked="0"/>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0" borderId="7" xfId="0" applyFont="1" applyBorder="1" applyAlignment="1" applyProtection="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3" fillId="4" borderId="21" xfId="0" applyFont="1" applyFill="1" applyBorder="1" applyAlignment="1" applyProtection="1">
      <alignment vertical="center"/>
    </xf>
    <xf numFmtId="0" fontId="3" fillId="4" borderId="51" xfId="0" applyFont="1" applyFill="1" applyBorder="1" applyAlignment="1" applyProtection="1">
      <alignment vertical="center"/>
    </xf>
    <xf numFmtId="0" fontId="18" fillId="0" borderId="9" xfId="0" applyFont="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49" fontId="18" fillId="0" borderId="0" xfId="0" applyNumberFormat="1" applyFont="1" applyAlignment="1">
      <alignment horizontal="center" vertical="center"/>
    </xf>
    <xf numFmtId="0" fontId="17" fillId="2" borderId="9" xfId="0" applyFont="1" applyFill="1" applyBorder="1" applyAlignment="1" applyProtection="1">
      <alignment horizontal="center" vertical="center"/>
      <protection locked="0"/>
    </xf>
    <xf numFmtId="49" fontId="18" fillId="3" borderId="9" xfId="0" applyNumberFormat="1" applyFont="1" applyFill="1" applyBorder="1" applyAlignment="1" applyProtection="1">
      <alignment horizontal="center" vertical="center"/>
      <protection locked="0"/>
    </xf>
    <xf numFmtId="0" fontId="18" fillId="0" borderId="0" xfId="0" applyFont="1" applyAlignment="1">
      <alignment vertical="center"/>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9" fillId="0" borderId="0" xfId="0" applyNumberFormat="1" applyFont="1" applyAlignment="1">
      <alignment horizontal="left" vertical="center"/>
    </xf>
    <xf numFmtId="0" fontId="19" fillId="0" borderId="0" xfId="0" applyFont="1">
      <alignment vertical="center"/>
    </xf>
    <xf numFmtId="0" fontId="20" fillId="2" borderId="55" xfId="0" applyNumberFormat="1" applyFont="1" applyFill="1" applyBorder="1" applyAlignment="1">
      <alignment horizontal="center" vertical="center"/>
    </xf>
    <xf numFmtId="0" fontId="19" fillId="3" borderId="56" xfId="0" applyNumberFormat="1" applyFont="1" applyFill="1" applyBorder="1" applyAlignment="1">
      <alignment horizontal="left" vertical="center"/>
    </xf>
    <xf numFmtId="0" fontId="19" fillId="3" borderId="57" xfId="0" applyNumberFormat="1" applyFont="1" applyFill="1" applyBorder="1" applyAlignment="1">
      <alignment horizontal="left" vertical="center"/>
    </xf>
    <xf numFmtId="49" fontId="3" fillId="3" borderId="24"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49" fontId="3" fillId="3" borderId="21"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49" fontId="3" fillId="0" borderId="21"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21" fillId="0" borderId="0" xfId="1">
      <alignment vertical="center"/>
    </xf>
    <xf numFmtId="49" fontId="21" fillId="0" borderId="0" xfId="1" applyNumberFormat="1">
      <alignment vertical="center"/>
    </xf>
    <xf numFmtId="49" fontId="22" fillId="0" borderId="8" xfId="1" applyNumberFormat="1" applyFont="1" applyBorder="1" applyAlignment="1" applyProtection="1">
      <alignment horizontal="center" vertical="top" wrapText="1"/>
      <protection locked="0"/>
    </xf>
    <xf numFmtId="49" fontId="22" fillId="0" borderId="57" xfId="1" applyNumberFormat="1" applyFont="1" applyBorder="1" applyAlignment="1" applyProtection="1">
      <alignment horizontal="center" vertical="top" wrapText="1"/>
      <protection locked="0"/>
    </xf>
    <xf numFmtId="49" fontId="22" fillId="0" borderId="58" xfId="1" applyNumberFormat="1" applyFont="1" applyBorder="1" applyAlignment="1" applyProtection="1">
      <alignment horizontal="center" vertical="top" wrapText="1"/>
      <protection locked="0"/>
    </xf>
    <xf numFmtId="49" fontId="23" fillId="7" borderId="59" xfId="1" applyNumberFormat="1" applyFont="1" applyFill="1" applyBorder="1" applyAlignment="1" applyProtection="1">
      <alignment horizontal="center" vertical="top" wrapText="1"/>
      <protection locked="0"/>
    </xf>
    <xf numFmtId="49" fontId="22" fillId="0" borderId="60" xfId="1" applyNumberFormat="1" applyFont="1" applyBorder="1" applyAlignment="1" applyProtection="1">
      <alignment horizontal="center" vertical="top" wrapText="1"/>
      <protection locked="0"/>
    </xf>
    <xf numFmtId="0" fontId="27" fillId="9" borderId="70" xfId="0" applyNumberFormat="1" applyFont="1" applyFill="1" applyBorder="1" applyAlignment="1" applyProtection="1">
      <alignment horizontal="center" vertical="center"/>
    </xf>
    <xf numFmtId="0" fontId="27" fillId="11" borderId="70" xfId="0" applyFont="1" applyFill="1" applyBorder="1" applyAlignment="1" applyProtection="1">
      <alignment horizontal="center" vertical="center"/>
    </xf>
    <xf numFmtId="177" fontId="27" fillId="9" borderId="70" xfId="0" applyNumberFormat="1" applyFont="1" applyFill="1" applyBorder="1" applyAlignment="1" applyProtection="1">
      <alignment horizontal="center" vertical="center"/>
    </xf>
    <xf numFmtId="0" fontId="27" fillId="0" borderId="72" xfId="0" applyNumberFormat="1" applyFont="1" applyBorder="1" applyAlignment="1" applyProtection="1">
      <alignment horizontal="center" vertical="center"/>
    </xf>
    <xf numFmtId="178" fontId="3" fillId="3" borderId="33" xfId="0" applyNumberFormat="1" applyFont="1" applyFill="1" applyBorder="1" applyAlignment="1" applyProtection="1">
      <alignment horizontal="center" vertical="center"/>
      <protection locked="0"/>
    </xf>
    <xf numFmtId="178" fontId="3" fillId="3" borderId="8" xfId="0" applyNumberFormat="1"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protection locked="0"/>
    </xf>
    <xf numFmtId="177" fontId="3" fillId="3" borderId="16"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protection locked="0"/>
    </xf>
    <xf numFmtId="177" fontId="3" fillId="3" borderId="9" xfId="0" applyNumberFormat="1" applyFont="1" applyFill="1" applyBorder="1" applyAlignment="1" applyProtection="1">
      <alignment horizontal="center" vertical="center"/>
    </xf>
    <xf numFmtId="0" fontId="3" fillId="3" borderId="50" xfId="0" applyFont="1" applyFill="1" applyBorder="1" applyAlignment="1" applyProtection="1">
      <alignment horizontal="center" vertical="center"/>
    </xf>
    <xf numFmtId="0" fontId="3" fillId="3" borderId="19" xfId="0" applyFont="1" applyFill="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49"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0" fontId="3" fillId="3" borderId="24"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177" fontId="3" fillId="0" borderId="9"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xf>
    <xf numFmtId="177" fontId="3" fillId="0" borderId="14" xfId="0" applyNumberFormat="1" applyFont="1" applyBorder="1" applyAlignment="1" applyProtection="1">
      <alignment horizontal="center" vertical="center"/>
      <protection locked="0"/>
    </xf>
    <xf numFmtId="177" fontId="3" fillId="0" borderId="16" xfId="0" applyNumberFormat="1" applyFont="1" applyBorder="1" applyAlignment="1" applyProtection="1">
      <alignment horizontal="center" vertical="center"/>
      <protection locked="0"/>
    </xf>
    <xf numFmtId="0" fontId="3" fillId="4" borderId="15"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49" fontId="3" fillId="3" borderId="45" xfId="0" applyNumberFormat="1" applyFont="1" applyFill="1" applyBorder="1" applyAlignment="1" applyProtection="1">
      <alignment horizontal="left" vertical="top"/>
      <protection locked="0"/>
    </xf>
    <xf numFmtId="49" fontId="3" fillId="3" borderId="15" xfId="0" applyNumberFormat="1" applyFont="1" applyFill="1" applyBorder="1" applyAlignment="1" applyProtection="1">
      <alignment horizontal="left" vertical="top"/>
      <protection locked="0"/>
    </xf>
    <xf numFmtId="49" fontId="3" fillId="3" borderId="16" xfId="0" applyNumberFormat="1" applyFont="1" applyFill="1" applyBorder="1" applyAlignment="1" applyProtection="1">
      <alignment horizontal="left" vertical="top"/>
      <protection locked="0"/>
    </xf>
    <xf numFmtId="49" fontId="3" fillId="0" borderId="14" xfId="0" applyNumberFormat="1" applyFont="1" applyBorder="1" applyAlignment="1" applyProtection="1">
      <alignment horizontal="left" vertical="top"/>
      <protection locked="0"/>
    </xf>
    <xf numFmtId="49" fontId="3" fillId="0" borderId="15" xfId="0" applyNumberFormat="1" applyFont="1" applyBorder="1" applyAlignment="1" applyProtection="1">
      <alignment horizontal="left" vertical="top"/>
      <protection locked="0"/>
    </xf>
    <xf numFmtId="49" fontId="3" fillId="0" borderId="22" xfId="0" applyNumberFormat="1" applyFont="1" applyBorder="1" applyAlignment="1" applyProtection="1">
      <alignment horizontal="left" vertical="top"/>
      <protection locked="0"/>
    </xf>
    <xf numFmtId="49" fontId="3" fillId="0" borderId="45"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3" borderId="14" xfId="0" applyNumberFormat="1" applyFont="1" applyFill="1" applyBorder="1" applyAlignment="1" applyProtection="1">
      <alignment horizontal="left" vertical="top"/>
      <protection locked="0"/>
    </xf>
    <xf numFmtId="49" fontId="3" fillId="3" borderId="22" xfId="0" applyNumberFormat="1" applyFont="1" applyFill="1" applyBorder="1" applyAlignment="1" applyProtection="1">
      <alignment horizontal="left" vertical="top"/>
      <protection locked="0"/>
    </xf>
    <xf numFmtId="49" fontId="3" fillId="3" borderId="46"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43" xfId="0" applyNumberFormat="1" applyFont="1" applyFill="1" applyBorder="1" applyAlignment="1" applyProtection="1">
      <alignment horizontal="left" vertical="top" wrapText="1"/>
      <protection locked="0"/>
    </xf>
    <xf numFmtId="49" fontId="3" fillId="3" borderId="47"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44" xfId="0" applyNumberFormat="1" applyFont="1" applyFill="1" applyBorder="1" applyAlignment="1" applyProtection="1">
      <alignment horizontal="left" vertical="top" wrapText="1"/>
      <protection locked="0"/>
    </xf>
    <xf numFmtId="177" fontId="3" fillId="3" borderId="23" xfId="0" applyNumberFormat="1" applyFont="1" applyFill="1" applyBorder="1" applyAlignment="1" applyProtection="1">
      <alignment horizontal="center" vertical="center"/>
    </xf>
    <xf numFmtId="49" fontId="3" fillId="0" borderId="46"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43" xfId="0" applyNumberFormat="1" applyFont="1" applyFill="1" applyBorder="1" applyAlignment="1" applyProtection="1">
      <alignment horizontal="left" vertical="top" wrapText="1"/>
      <protection locked="0"/>
    </xf>
    <xf numFmtId="49" fontId="3" fillId="0" borderId="47"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44" xfId="0" applyNumberFormat="1" applyFont="1" applyFill="1" applyBorder="1" applyAlignment="1" applyProtection="1">
      <alignment horizontal="left" vertical="top" wrapText="1"/>
      <protection locked="0"/>
    </xf>
    <xf numFmtId="177" fontId="3" fillId="3" borderId="25" xfId="0" applyNumberFormat="1" applyFont="1" applyFill="1" applyBorder="1" applyAlignment="1" applyProtection="1">
      <alignment horizontal="center" vertical="center"/>
    </xf>
    <xf numFmtId="177" fontId="3" fillId="3" borderId="32" xfId="0" applyNumberFormat="1" applyFont="1" applyFill="1" applyBorder="1" applyAlignment="1" applyProtection="1">
      <alignment horizontal="center" vertical="center"/>
    </xf>
    <xf numFmtId="49" fontId="3" fillId="3" borderId="26" xfId="0" applyNumberFormat="1" applyFont="1" applyFill="1" applyBorder="1" applyAlignment="1" applyProtection="1">
      <alignment horizontal="center" vertical="center"/>
      <protection locked="0"/>
    </xf>
    <xf numFmtId="49" fontId="3" fillId="3" borderId="27"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0" fontId="26" fillId="8" borderId="1" xfId="0" applyFont="1" applyFill="1" applyBorder="1" applyAlignment="1">
      <alignment horizontal="center" vertical="center"/>
    </xf>
    <xf numFmtId="0" fontId="26" fillId="8" borderId="2" xfId="0" applyFont="1" applyFill="1" applyBorder="1" applyAlignment="1">
      <alignment horizontal="center" vertical="center"/>
    </xf>
    <xf numFmtId="0" fontId="26" fillId="8" borderId="3" xfId="0" applyFont="1" applyFill="1" applyBorder="1" applyAlignment="1">
      <alignment horizontal="center" vertical="center"/>
    </xf>
    <xf numFmtId="49" fontId="3" fillId="3" borderId="26" xfId="0" applyNumberFormat="1" applyFont="1" applyFill="1" applyBorder="1" applyAlignment="1" applyProtection="1">
      <alignment horizontal="right" vertical="center"/>
      <protection locked="0"/>
    </xf>
    <xf numFmtId="49" fontId="3" fillId="3" borderId="27" xfId="0" applyNumberFormat="1" applyFont="1" applyFill="1" applyBorder="1" applyAlignment="1" applyProtection="1">
      <alignment horizontal="right" vertical="center"/>
      <protection locked="0"/>
    </xf>
    <xf numFmtId="0" fontId="9" fillId="0" borderId="48" xfId="0" applyFont="1" applyBorder="1" applyAlignment="1" applyProtection="1">
      <alignment horizontal="left" vertical="top"/>
    </xf>
    <xf numFmtId="49" fontId="3" fillId="3" borderId="27" xfId="0" applyNumberFormat="1" applyFont="1" applyFill="1" applyBorder="1" applyAlignment="1" applyProtection="1">
      <alignment horizontal="left" vertical="center"/>
      <protection locked="0"/>
    </xf>
    <xf numFmtId="49" fontId="3" fillId="3" borderId="35" xfId="0" applyNumberFormat="1" applyFont="1" applyFill="1" applyBorder="1" applyAlignment="1" applyProtection="1">
      <alignment horizontal="left" vertical="center"/>
      <protection locked="0"/>
    </xf>
    <xf numFmtId="49" fontId="3" fillId="0" borderId="14" xfId="0" applyNumberFormat="1" applyFont="1" applyBorder="1" applyAlignment="1" applyProtection="1">
      <alignment horizontal="right" vertical="center" wrapText="1"/>
      <protection locked="0"/>
    </xf>
    <xf numFmtId="49" fontId="3" fillId="0" borderId="15" xfId="0" applyNumberFormat="1" applyFont="1" applyBorder="1" applyAlignment="1" applyProtection="1">
      <alignment horizontal="right" vertical="center" wrapText="1"/>
      <protection locked="0"/>
    </xf>
    <xf numFmtId="0" fontId="3" fillId="3" borderId="14" xfId="0" applyFont="1" applyFill="1" applyBorder="1" applyAlignment="1" applyProtection="1">
      <alignment horizontal="right" vertical="center"/>
      <protection locked="0"/>
    </xf>
    <xf numFmtId="0" fontId="3" fillId="3" borderId="15" xfId="0" applyFont="1" applyFill="1" applyBorder="1" applyAlignment="1" applyProtection="1">
      <alignment horizontal="right" vertical="center"/>
      <protection locked="0"/>
    </xf>
    <xf numFmtId="0" fontId="3" fillId="0" borderId="2" xfId="0" applyFont="1" applyBorder="1" applyAlignment="1" applyProtection="1">
      <alignment horizontal="center" vertical="center"/>
    </xf>
    <xf numFmtId="0" fontId="13" fillId="0" borderId="0" xfId="0" applyFont="1" applyBorder="1" applyAlignment="1" applyProtection="1">
      <alignment horizontal="center" vertical="center"/>
    </xf>
    <xf numFmtId="0" fontId="3" fillId="0" borderId="9" xfId="0" applyFont="1" applyBorder="1" applyAlignment="1" applyProtection="1">
      <alignment horizontal="center" vertical="center"/>
    </xf>
    <xf numFmtId="0" fontId="3" fillId="0" borderId="23" xfId="0" applyFont="1" applyBorder="1" applyAlignment="1" applyProtection="1">
      <alignment horizontal="center" vertical="center"/>
    </xf>
    <xf numFmtId="0" fontId="3" fillId="0" borderId="21" xfId="0" applyFont="1" applyBorder="1" applyAlignment="1" applyProtection="1">
      <alignment horizontal="center" vertical="center"/>
    </xf>
    <xf numFmtId="0" fontId="3" fillId="0" borderId="21" xfId="0"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0" fontId="3" fillId="0" borderId="21"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0" fontId="3" fillId="0" borderId="24" xfId="0" applyFont="1" applyBorder="1" applyAlignment="1" applyProtection="1">
      <alignment horizontal="left" vertical="top" wrapText="1"/>
      <protection locked="0"/>
    </xf>
    <xf numFmtId="0" fontId="3" fillId="0" borderId="25" xfId="0" applyFont="1" applyBorder="1" applyAlignment="1" applyProtection="1">
      <alignment horizontal="left" vertical="top" wrapText="1"/>
      <protection locked="0"/>
    </xf>
    <xf numFmtId="0" fontId="3" fillId="0" borderId="32" xfId="0" applyFont="1" applyBorder="1" applyAlignment="1" applyProtection="1">
      <alignment horizontal="left" vertical="top" wrapText="1"/>
      <protection locked="0"/>
    </xf>
    <xf numFmtId="0" fontId="13" fillId="2" borderId="18" xfId="0" applyFont="1" applyFill="1" applyBorder="1" applyAlignment="1" applyProtection="1">
      <alignment horizontal="center" vertical="center"/>
    </xf>
    <xf numFmtId="0" fontId="13" fillId="2" borderId="19" xfId="0" applyFont="1" applyFill="1" applyBorder="1" applyAlignment="1" applyProtection="1">
      <alignment horizontal="center" vertical="center"/>
    </xf>
    <xf numFmtId="0" fontId="13" fillId="2" borderId="20" xfId="0" applyFont="1" applyFill="1" applyBorder="1" applyAlignment="1" applyProtection="1">
      <alignment horizontal="center" vertical="center"/>
    </xf>
    <xf numFmtId="0" fontId="3" fillId="0" borderId="23" xfId="0" applyFont="1" applyBorder="1" applyAlignment="1" applyProtection="1">
      <alignment horizontal="center" vertical="center" wrapText="1"/>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43"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44" xfId="0" applyFont="1" applyBorder="1" applyAlignment="1" applyProtection="1">
      <alignment horizontal="left" vertical="top" wrapText="1"/>
      <protection locked="0"/>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43"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44" xfId="0"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3" fillId="3" borderId="21" xfId="0" applyFont="1" applyFill="1" applyBorder="1" applyAlignment="1" applyProtection="1">
      <alignment horizontal="center" vertical="center"/>
    </xf>
    <xf numFmtId="0" fontId="3" fillId="3" borderId="9" xfId="0" applyFont="1" applyFill="1" applyBorder="1" applyAlignment="1" applyProtection="1">
      <alignment horizontal="center" vertical="center"/>
    </xf>
    <xf numFmtId="0" fontId="3" fillId="6" borderId="46"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43"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13" fillId="2" borderId="29" xfId="0" applyFont="1" applyFill="1" applyBorder="1" applyAlignment="1" applyProtection="1">
      <alignment horizontal="center" vertical="center"/>
    </xf>
    <xf numFmtId="0" fontId="13" fillId="2" borderId="30" xfId="0" applyFont="1" applyFill="1" applyBorder="1" applyAlignment="1" applyProtection="1">
      <alignment horizontal="center" vertical="center"/>
    </xf>
    <xf numFmtId="0" fontId="13" fillId="2" borderId="31" xfId="0" applyFont="1" applyFill="1" applyBorder="1" applyAlignment="1" applyProtection="1">
      <alignment horizontal="center" vertical="center"/>
    </xf>
    <xf numFmtId="0" fontId="3" fillId="3" borderId="21" xfId="0" applyFont="1" applyFill="1" applyBorder="1" applyAlignment="1" applyProtection="1">
      <alignment horizontal="right" vertical="center"/>
    </xf>
    <xf numFmtId="0" fontId="3" fillId="3" borderId="14" xfId="0" applyFont="1" applyFill="1" applyBorder="1" applyAlignment="1" applyProtection="1">
      <alignment horizontal="right" vertical="center"/>
    </xf>
    <xf numFmtId="0" fontId="3" fillId="3" borderId="15" xfId="0" applyFont="1" applyFill="1" applyBorder="1" applyAlignment="1" applyProtection="1">
      <alignment horizontal="right" vertical="center"/>
    </xf>
    <xf numFmtId="0" fontId="3" fillId="3" borderId="15" xfId="0"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0" fontId="3" fillId="6" borderId="45" xfId="0"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3" fillId="6" borderId="22" xfId="0" applyFont="1" applyFill="1" applyBorder="1" applyAlignment="1" applyProtection="1">
      <alignment horizontal="center" vertical="center"/>
    </xf>
    <xf numFmtId="0" fontId="13" fillId="2" borderId="1" xfId="0" applyFont="1" applyFill="1" applyBorder="1" applyAlignment="1" applyProtection="1">
      <alignment horizontal="center" vertical="center"/>
    </xf>
    <xf numFmtId="0" fontId="13" fillId="2" borderId="2" xfId="0" applyFont="1" applyFill="1" applyBorder="1" applyAlignment="1" applyProtection="1">
      <alignment horizontal="center" vertical="center"/>
    </xf>
    <xf numFmtId="0" fontId="13" fillId="2" borderId="3" xfId="0" applyFont="1" applyFill="1" applyBorder="1" applyAlignment="1" applyProtection="1">
      <alignment horizontal="center" vertical="center"/>
    </xf>
    <xf numFmtId="177" fontId="3" fillId="3" borderId="36" xfId="0" applyNumberFormat="1" applyFont="1" applyFill="1" applyBorder="1" applyAlignment="1" applyProtection="1">
      <alignment horizontal="center" vertical="center"/>
    </xf>
    <xf numFmtId="177" fontId="3" fillId="3" borderId="25" xfId="0" applyNumberFormat="1" applyFont="1" applyFill="1" applyBorder="1" applyAlignment="1" applyProtection="1">
      <alignment horizontal="center" vertical="center"/>
      <protection locked="0"/>
    </xf>
    <xf numFmtId="177" fontId="3" fillId="3" borderId="26" xfId="0" applyNumberFormat="1" applyFont="1" applyFill="1" applyBorder="1" applyAlignment="1" applyProtection="1">
      <alignment horizontal="center" vertical="center"/>
      <protection locked="0"/>
    </xf>
    <xf numFmtId="177" fontId="3" fillId="3" borderId="35" xfId="0" applyNumberFormat="1" applyFont="1" applyFill="1" applyBorder="1" applyAlignment="1" applyProtection="1">
      <alignment horizontal="center" vertical="center"/>
      <protection locked="0"/>
    </xf>
    <xf numFmtId="0" fontId="3" fillId="5" borderId="70" xfId="0" applyFont="1" applyFill="1" applyBorder="1" applyAlignment="1" applyProtection="1">
      <alignment horizontal="center" vertical="center"/>
    </xf>
    <xf numFmtId="0" fontId="3" fillId="5" borderId="71" xfId="0" applyFont="1" applyFill="1" applyBorder="1" applyAlignment="1" applyProtection="1">
      <alignment horizontal="center" vertical="center"/>
    </xf>
    <xf numFmtId="0" fontId="27" fillId="10" borderId="70" xfId="0" applyNumberFormat="1" applyFont="1" applyFill="1" applyBorder="1" applyAlignment="1">
      <alignment horizontal="center" vertical="center"/>
    </xf>
    <xf numFmtId="0" fontId="27" fillId="10" borderId="74" xfId="0" applyNumberFormat="1" applyFont="1" applyFill="1" applyBorder="1" applyAlignment="1">
      <alignment horizontal="center" vertical="center"/>
    </xf>
    <xf numFmtId="0" fontId="27" fillId="11" borderId="76" xfId="0" applyFont="1" applyFill="1" applyBorder="1" applyAlignment="1" applyProtection="1">
      <alignment horizontal="center" vertical="center"/>
    </xf>
    <xf numFmtId="0" fontId="27" fillId="11" borderId="77" xfId="0" applyFont="1" applyFill="1" applyBorder="1" applyAlignment="1" applyProtection="1">
      <alignment horizontal="center" vertical="center"/>
    </xf>
    <xf numFmtId="0" fontId="27" fillId="11" borderId="78" xfId="0" applyFont="1" applyFill="1" applyBorder="1" applyAlignment="1" applyProtection="1">
      <alignment horizontal="center" vertical="center"/>
    </xf>
    <xf numFmtId="0" fontId="25" fillId="0" borderId="74" xfId="0" applyNumberFormat="1" applyFont="1" applyBorder="1" applyAlignment="1" applyProtection="1">
      <alignment horizontal="center" vertical="center"/>
      <protection locked="0"/>
    </xf>
    <xf numFmtId="0" fontId="27" fillId="0" borderId="70" xfId="0" applyNumberFormat="1" applyFont="1" applyBorder="1" applyAlignment="1" applyProtection="1">
      <alignment horizontal="center" vertical="center"/>
      <protection locked="0"/>
    </xf>
    <xf numFmtId="0" fontId="27" fillId="0" borderId="70" xfId="0" applyNumberFormat="1" applyFont="1" applyBorder="1" applyAlignment="1" applyProtection="1">
      <alignment horizontal="center" vertical="center"/>
    </xf>
    <xf numFmtId="0" fontId="27" fillId="0" borderId="70" xfId="0" applyFont="1" applyBorder="1" applyAlignment="1" applyProtection="1">
      <alignment horizontal="center" vertical="center"/>
    </xf>
    <xf numFmtId="0" fontId="3" fillId="0" borderId="70" xfId="0" applyFont="1" applyBorder="1" applyAlignment="1" applyProtection="1">
      <alignment horizontal="center" vertical="center"/>
    </xf>
    <xf numFmtId="0" fontId="27" fillId="0" borderId="71" xfId="0" applyNumberFormat="1" applyFont="1" applyBorder="1" applyAlignment="1" applyProtection="1">
      <alignment horizontal="center" vertical="center"/>
    </xf>
    <xf numFmtId="0" fontId="27" fillId="9" borderId="74" xfId="0" applyNumberFormat="1" applyFont="1" applyFill="1" applyBorder="1" applyAlignment="1" applyProtection="1">
      <alignment horizontal="center" vertical="center"/>
    </xf>
    <xf numFmtId="0" fontId="27" fillId="9" borderId="70" xfId="0" applyNumberFormat="1" applyFont="1" applyFill="1" applyBorder="1" applyAlignment="1" applyProtection="1">
      <alignment horizontal="center" vertical="center"/>
    </xf>
    <xf numFmtId="49" fontId="3" fillId="6" borderId="10" xfId="0" applyNumberFormat="1" applyFont="1" applyFill="1" applyBorder="1" applyAlignment="1" applyProtection="1">
      <alignment horizontal="right" vertical="center" wrapText="1"/>
      <protection locked="0"/>
    </xf>
    <xf numFmtId="49" fontId="3" fillId="6" borderId="11" xfId="0" applyNumberFormat="1" applyFont="1" applyFill="1" applyBorder="1" applyAlignment="1" applyProtection="1">
      <alignment horizontal="right" vertical="center" wrapText="1"/>
      <protection locked="0"/>
    </xf>
    <xf numFmtId="177" fontId="3" fillId="3" borderId="9" xfId="0" applyNumberFormat="1" applyFont="1" applyFill="1" applyBorder="1" applyAlignment="1" applyProtection="1">
      <alignment horizontal="right" vertical="center"/>
      <protection locked="0"/>
    </xf>
    <xf numFmtId="177" fontId="3" fillId="3" borderId="14"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3" borderId="10" xfId="0" applyNumberFormat="1" applyFont="1" applyFill="1" applyBorder="1" applyAlignment="1" applyProtection="1">
      <alignment horizontal="right" vertical="center"/>
      <protection locked="0"/>
    </xf>
    <xf numFmtId="49" fontId="3" fillId="3" borderId="11" xfId="0" applyNumberFormat="1" applyFont="1" applyFill="1" applyBorder="1" applyAlignment="1" applyProtection="1">
      <alignment horizontal="right" vertical="center"/>
      <protection locked="0"/>
    </xf>
    <xf numFmtId="49" fontId="3" fillId="0" borderId="10" xfId="0" applyNumberFormat="1" applyFont="1" applyFill="1" applyBorder="1" applyAlignment="1" applyProtection="1">
      <alignment horizontal="right" vertical="center"/>
      <protection locked="0"/>
    </xf>
    <xf numFmtId="49" fontId="3" fillId="0" borderId="11" xfId="0" applyNumberFormat="1" applyFont="1" applyFill="1" applyBorder="1" applyAlignment="1" applyProtection="1">
      <alignment horizontal="right" vertical="center"/>
      <protection locked="0"/>
    </xf>
    <xf numFmtId="49" fontId="3" fillId="6" borderId="9" xfId="0" applyNumberFormat="1" applyFont="1" applyFill="1" applyBorder="1" applyAlignment="1" applyProtection="1">
      <alignment horizontal="center" vertical="center"/>
      <protection locked="0"/>
    </xf>
    <xf numFmtId="177" fontId="3" fillId="3" borderId="17" xfId="0" applyNumberFormat="1" applyFont="1" applyFill="1" applyBorder="1" applyAlignment="1" applyProtection="1">
      <alignment horizontal="center" vertical="center"/>
    </xf>
    <xf numFmtId="177" fontId="3" fillId="0" borderId="17" xfId="0" applyNumberFormat="1" applyFont="1" applyBorder="1" applyAlignment="1" applyProtection="1">
      <alignment horizontal="center" vertical="center"/>
    </xf>
    <xf numFmtId="0" fontId="3" fillId="0" borderId="15" xfId="0" applyFont="1" applyBorder="1" applyAlignment="1" applyProtection="1">
      <alignment horizontal="left" vertical="center"/>
      <protection locked="0"/>
    </xf>
    <xf numFmtId="0" fontId="3" fillId="0" borderId="16" xfId="0" applyFont="1" applyBorder="1" applyAlignment="1" applyProtection="1">
      <alignment horizontal="left" vertical="center"/>
      <protection locked="0"/>
    </xf>
    <xf numFmtId="49" fontId="3" fillId="6" borderId="15" xfId="0" applyNumberFormat="1" applyFont="1" applyFill="1" applyBorder="1" applyAlignment="1" applyProtection="1">
      <alignment horizontal="left" vertical="center"/>
      <protection locked="0"/>
    </xf>
    <xf numFmtId="49" fontId="3" fillId="6" borderId="16" xfId="0" applyNumberFormat="1" applyFont="1" applyFill="1" applyBorder="1" applyAlignment="1" applyProtection="1">
      <alignment horizontal="left" vertical="center"/>
      <protection locked="0"/>
    </xf>
    <xf numFmtId="49" fontId="3" fillId="3" borderId="9" xfId="0" applyNumberFormat="1" applyFont="1" applyFill="1" applyBorder="1" applyAlignment="1" applyProtection="1">
      <alignment horizontal="center" vertical="center"/>
      <protection locked="0"/>
    </xf>
    <xf numFmtId="49" fontId="3" fillId="6" borderId="14"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center" vertical="center"/>
      <protection locked="0"/>
    </xf>
    <xf numFmtId="49" fontId="3" fillId="6" borderId="16"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protection locked="0"/>
    </xf>
    <xf numFmtId="0" fontId="3" fillId="4" borderId="14" xfId="0" applyFont="1" applyFill="1" applyBorder="1" applyAlignment="1" applyProtection="1">
      <alignment horizontal="center" vertical="center"/>
    </xf>
    <xf numFmtId="49" fontId="3" fillId="3" borderId="14"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right" vertical="center"/>
      <protection locked="0"/>
    </xf>
    <xf numFmtId="177" fontId="3" fillId="3" borderId="15" xfId="0" applyNumberFormat="1" applyFont="1" applyFill="1" applyBorder="1" applyAlignment="1" applyProtection="1">
      <alignment horizontal="center" vertical="center"/>
      <protection locked="0"/>
    </xf>
    <xf numFmtId="49" fontId="16" fillId="6" borderId="15" xfId="0" applyNumberFormat="1" applyFont="1" applyFill="1" applyBorder="1" applyAlignment="1" applyProtection="1">
      <alignment horizontal="left" vertical="center"/>
      <protection locked="0"/>
    </xf>
    <xf numFmtId="49" fontId="16" fillId="6" borderId="16" xfId="0" applyNumberFormat="1" applyFont="1" applyFill="1" applyBorder="1" applyAlignment="1" applyProtection="1">
      <alignment horizontal="left" vertical="center"/>
      <protection locked="0"/>
    </xf>
    <xf numFmtId="49" fontId="16" fillId="3" borderId="15" xfId="0" applyNumberFormat="1" applyFont="1" applyFill="1" applyBorder="1" applyAlignment="1" applyProtection="1">
      <alignment horizontal="left" vertical="center"/>
      <protection locked="0"/>
    </xf>
    <xf numFmtId="49" fontId="16" fillId="3" borderId="16" xfId="0" applyNumberFormat="1" applyFont="1" applyFill="1" applyBorder="1" applyAlignment="1" applyProtection="1">
      <alignment horizontal="left" vertical="center"/>
      <protection locked="0"/>
    </xf>
    <xf numFmtId="177" fontId="3" fillId="0" borderId="14" xfId="0" applyNumberFormat="1" applyFont="1" applyBorder="1" applyAlignment="1" applyProtection="1">
      <alignment horizontal="left" vertical="center"/>
      <protection locked="0"/>
    </xf>
    <xf numFmtId="177" fontId="3" fillId="0" borderId="15" xfId="0" applyNumberFormat="1" applyFont="1" applyBorder="1" applyAlignment="1" applyProtection="1">
      <alignment horizontal="left" vertical="center"/>
      <protection locked="0"/>
    </xf>
    <xf numFmtId="177" fontId="3" fillId="0" borderId="16" xfId="0" applyNumberFormat="1" applyFont="1" applyBorder="1" applyAlignment="1" applyProtection="1">
      <alignment horizontal="left" vertical="center"/>
      <protection locked="0"/>
    </xf>
    <xf numFmtId="0" fontId="16" fillId="6" borderId="15" xfId="0" applyNumberFormat="1" applyFont="1" applyFill="1" applyBorder="1" applyAlignment="1" applyProtection="1">
      <alignment horizontal="left" vertical="center"/>
      <protection locked="0"/>
    </xf>
    <xf numFmtId="0" fontId="16" fillId="6" borderId="16" xfId="0" applyNumberFormat="1" applyFont="1" applyFill="1" applyBorder="1" applyAlignment="1" applyProtection="1">
      <alignment horizontal="left" vertical="center"/>
      <protection locked="0"/>
    </xf>
    <xf numFmtId="177" fontId="3" fillId="3" borderId="14" xfId="0" applyNumberFormat="1" applyFont="1" applyFill="1" applyBorder="1" applyAlignment="1" applyProtection="1">
      <alignment horizontal="left" vertical="center"/>
      <protection locked="0"/>
    </xf>
    <xf numFmtId="177" fontId="3" fillId="3" borderId="15" xfId="0" applyNumberFormat="1" applyFont="1" applyFill="1" applyBorder="1" applyAlignment="1" applyProtection="1">
      <alignment horizontal="left" vertical="center"/>
      <protection locked="0"/>
    </xf>
    <xf numFmtId="177" fontId="3" fillId="3" borderId="16" xfId="0" applyNumberFormat="1" applyFont="1" applyFill="1" applyBorder="1" applyAlignment="1" applyProtection="1">
      <alignment horizontal="left" vertical="center"/>
      <protection locked="0"/>
    </xf>
    <xf numFmtId="49" fontId="16" fillId="6" borderId="10" xfId="0" applyNumberFormat="1" applyFont="1" applyFill="1" applyBorder="1" applyAlignment="1" applyProtection="1">
      <alignment horizontal="right" vertical="center"/>
      <protection locked="0"/>
    </xf>
    <xf numFmtId="49" fontId="16" fillId="6" borderId="11" xfId="0" applyNumberFormat="1" applyFont="1" applyFill="1" applyBorder="1" applyAlignment="1" applyProtection="1">
      <alignment horizontal="right" vertical="center"/>
      <protection locked="0"/>
    </xf>
    <xf numFmtId="177" fontId="16" fillId="3" borderId="9" xfId="0" applyNumberFormat="1" applyFont="1" applyFill="1" applyBorder="1" applyAlignment="1" applyProtection="1">
      <alignment horizontal="right" vertical="center"/>
      <protection locked="0"/>
    </xf>
    <xf numFmtId="177" fontId="16" fillId="3" borderId="14" xfId="0" applyNumberFormat="1" applyFont="1" applyFill="1" applyBorder="1" applyAlignment="1" applyProtection="1">
      <alignment horizontal="right" vertical="center"/>
      <protection locked="0"/>
    </xf>
    <xf numFmtId="177" fontId="16" fillId="0" borderId="9" xfId="0" applyNumberFormat="1" applyFont="1" applyBorder="1" applyAlignment="1" applyProtection="1">
      <alignment horizontal="right" vertical="center"/>
      <protection locked="0"/>
    </xf>
    <xf numFmtId="177" fontId="16" fillId="0" borderId="14" xfId="0" applyNumberFormat="1" applyFont="1" applyBorder="1" applyAlignment="1" applyProtection="1">
      <alignment horizontal="right" vertical="center"/>
      <protection locked="0"/>
    </xf>
    <xf numFmtId="49" fontId="16" fillId="6" borderId="14" xfId="0" applyNumberFormat="1" applyFont="1" applyFill="1" applyBorder="1" applyAlignment="1" applyProtection="1">
      <alignment horizontal="right" vertical="center"/>
      <protection locked="0"/>
    </xf>
    <xf numFmtId="49" fontId="16" fillId="6" borderId="15" xfId="0" applyNumberFormat="1" applyFont="1" applyFill="1" applyBorder="1" applyAlignment="1" applyProtection="1">
      <alignment horizontal="right" vertical="center"/>
      <protection locked="0"/>
    </xf>
    <xf numFmtId="49" fontId="16" fillId="3" borderId="14" xfId="0" applyNumberFormat="1" applyFont="1" applyFill="1" applyBorder="1" applyAlignment="1" applyProtection="1">
      <alignment horizontal="right" vertical="center" wrapText="1"/>
      <protection locked="0"/>
    </xf>
    <xf numFmtId="49" fontId="16" fillId="3" borderId="15" xfId="0" applyNumberFormat="1" applyFont="1" applyFill="1" applyBorder="1" applyAlignment="1" applyProtection="1">
      <alignment horizontal="right" vertical="center" wrapText="1"/>
      <protection locked="0"/>
    </xf>
    <xf numFmtId="0" fontId="16" fillId="3" borderId="16" xfId="0" applyNumberFormat="1" applyFont="1" applyFill="1" applyBorder="1" applyAlignment="1" applyProtection="1">
      <alignment horizontal="left" vertical="center"/>
      <protection locked="0"/>
    </xf>
    <xf numFmtId="0" fontId="16" fillId="3" borderId="9" xfId="0" applyNumberFormat="1" applyFont="1" applyFill="1" applyBorder="1" applyAlignment="1" applyProtection="1">
      <alignment horizontal="left" vertical="center"/>
      <protection locked="0"/>
    </xf>
    <xf numFmtId="49" fontId="3" fillId="3" borderId="9" xfId="0" applyNumberFormat="1" applyFont="1" applyFill="1" applyBorder="1" applyAlignment="1" applyProtection="1">
      <alignment horizontal="right" vertical="center"/>
      <protection locked="0"/>
    </xf>
    <xf numFmtId="177" fontId="3" fillId="0" borderId="15" xfId="0" applyNumberFormat="1" applyFont="1" applyBorder="1" applyAlignment="1" applyProtection="1">
      <alignment horizontal="center" vertical="center"/>
      <protection locked="0"/>
    </xf>
    <xf numFmtId="177" fontId="3" fillId="0" borderId="23" xfId="0" applyNumberFormat="1" applyFont="1" applyBorder="1" applyAlignment="1" applyProtection="1">
      <alignment horizontal="center" vertical="center"/>
    </xf>
    <xf numFmtId="0" fontId="3" fillId="3" borderId="30" xfId="0"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3" fillId="4" borderId="9" xfId="0" applyFont="1" applyFill="1" applyBorder="1" applyAlignment="1" applyProtection="1">
      <alignment horizontal="center" vertical="center"/>
    </xf>
    <xf numFmtId="0" fontId="3" fillId="4" borderId="17"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179" fontId="3" fillId="3" borderId="37" xfId="0" applyNumberFormat="1" applyFont="1" applyFill="1" applyBorder="1" applyAlignment="1" applyProtection="1">
      <alignment horizontal="left" vertical="center"/>
      <protection locked="0"/>
    </xf>
    <xf numFmtId="179" fontId="3" fillId="3" borderId="39" xfId="0" applyNumberFormat="1" applyFont="1" applyFill="1" applyBorder="1" applyAlignment="1" applyProtection="1">
      <alignment horizontal="left" vertical="center"/>
      <protection locked="0"/>
    </xf>
    <xf numFmtId="179" fontId="3" fillId="3" borderId="35" xfId="0" applyNumberFormat="1" applyFont="1" applyFill="1" applyBorder="1" applyAlignment="1" applyProtection="1">
      <alignment horizontal="left" vertical="center"/>
      <protection locked="0"/>
    </xf>
    <xf numFmtId="179" fontId="3" fillId="3" borderId="40" xfId="0" applyNumberFormat="1" applyFont="1" applyFill="1" applyBorder="1" applyAlignment="1" applyProtection="1">
      <alignment horizontal="left" vertical="center"/>
      <protection locked="0"/>
    </xf>
    <xf numFmtId="0" fontId="3" fillId="3" borderId="37" xfId="0" applyFont="1" applyFill="1" applyBorder="1" applyAlignment="1" applyProtection="1">
      <alignment horizontal="right" vertical="center"/>
      <protection locked="0"/>
    </xf>
    <xf numFmtId="0" fontId="3" fillId="3" borderId="38" xfId="0" applyFont="1" applyFill="1" applyBorder="1" applyAlignment="1" applyProtection="1">
      <alignment horizontal="right" vertical="center"/>
      <protection locked="0"/>
    </xf>
    <xf numFmtId="0" fontId="3" fillId="3" borderId="35" xfId="0" applyFont="1" applyFill="1" applyBorder="1" applyAlignment="1" applyProtection="1">
      <alignment horizontal="right" vertical="center"/>
      <protection locked="0"/>
    </xf>
    <xf numFmtId="0" fontId="3" fillId="3" borderId="26" xfId="0" applyFont="1" applyFill="1" applyBorder="1" applyAlignment="1" applyProtection="1">
      <alignment horizontal="right" vertical="center"/>
      <protection locked="0"/>
    </xf>
    <xf numFmtId="0" fontId="3" fillId="3" borderId="29" xfId="0" applyFont="1" applyFill="1" applyBorder="1" applyAlignment="1" applyProtection="1">
      <alignment horizontal="center" vertical="center" wrapText="1"/>
    </xf>
    <xf numFmtId="0" fontId="3" fillId="3" borderId="30"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26"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7"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14" xfId="0" applyNumberFormat="1" applyFont="1" applyFill="1" applyBorder="1" applyAlignment="1" applyProtection="1">
      <alignment horizontal="left" vertical="center" indent="1"/>
      <protection locked="0"/>
    </xf>
    <xf numFmtId="0" fontId="3" fillId="3" borderId="15" xfId="0" applyNumberFormat="1" applyFont="1" applyFill="1" applyBorder="1" applyAlignment="1" applyProtection="1">
      <alignment horizontal="left" vertical="center" indent="1"/>
      <protection locked="0"/>
    </xf>
    <xf numFmtId="0" fontId="3" fillId="3" borderId="16" xfId="0" applyNumberFormat="1" applyFont="1" applyFill="1" applyBorder="1" applyAlignment="1" applyProtection="1">
      <alignment horizontal="left" vertical="center" indent="1"/>
      <protection locked="0"/>
    </xf>
    <xf numFmtId="0" fontId="3" fillId="3" borderId="26" xfId="0" applyNumberFormat="1" applyFont="1" applyFill="1" applyBorder="1" applyAlignment="1" applyProtection="1">
      <alignment horizontal="left" vertical="center" indent="1"/>
      <protection locked="0"/>
    </xf>
    <xf numFmtId="0" fontId="3" fillId="3" borderId="27" xfId="0" applyNumberFormat="1" applyFont="1" applyFill="1" applyBorder="1" applyAlignment="1" applyProtection="1">
      <alignment horizontal="left" vertical="center" indent="1"/>
      <protection locked="0"/>
    </xf>
    <xf numFmtId="0" fontId="3" fillId="3" borderId="28" xfId="0" applyNumberFormat="1" applyFont="1" applyFill="1" applyBorder="1" applyAlignment="1" applyProtection="1">
      <alignment horizontal="left" vertical="center" indent="1"/>
      <protection locked="0"/>
    </xf>
    <xf numFmtId="0" fontId="3" fillId="3" borderId="9"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176" fontId="3" fillId="3" borderId="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 fontId="3" fillId="3" borderId="9" xfId="0" applyNumberFormat="1" applyFont="1" applyFill="1" applyBorder="1" applyAlignment="1" applyProtection="1">
      <alignment horizontal="center" vertical="center"/>
    </xf>
    <xf numFmtId="1" fontId="3" fillId="3" borderId="23" xfId="0" applyNumberFormat="1" applyFont="1" applyFill="1" applyBorder="1" applyAlignment="1" applyProtection="1">
      <alignment horizontal="center" vertical="center"/>
    </xf>
    <xf numFmtId="1" fontId="3" fillId="0" borderId="9" xfId="0" applyNumberFormat="1" applyFont="1" applyBorder="1" applyAlignment="1" applyProtection="1">
      <alignment horizontal="center" vertical="center"/>
    </xf>
    <xf numFmtId="1" fontId="3" fillId="0" borderId="23" xfId="0" applyNumberFormat="1" applyFont="1" applyBorder="1" applyAlignment="1" applyProtection="1">
      <alignment horizontal="center" vertical="center"/>
    </xf>
    <xf numFmtId="178" fontId="14" fillId="3" borderId="10" xfId="0" applyNumberFormat="1" applyFont="1" applyFill="1" applyBorder="1" applyAlignment="1" applyProtection="1">
      <alignment horizontal="center" vertical="center"/>
      <protection locked="0"/>
    </xf>
    <xf numFmtId="178" fontId="14" fillId="3" borderId="43" xfId="0" applyNumberFormat="1" applyFont="1" applyFill="1" applyBorder="1" applyAlignment="1" applyProtection="1">
      <alignment horizontal="center" vertical="center"/>
      <protection locked="0"/>
    </xf>
    <xf numFmtId="0" fontId="3" fillId="3" borderId="25" xfId="0" applyFont="1" applyFill="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30" xfId="0" applyFont="1" applyFill="1" applyBorder="1" applyAlignment="1" applyProtection="1">
      <alignment horizontal="center" vertical="center" wrapText="1"/>
    </xf>
    <xf numFmtId="0" fontId="3" fillId="4" borderId="38" xfId="0" applyFont="1" applyFill="1" applyBorder="1" applyAlignment="1" applyProtection="1">
      <alignment horizontal="center" vertical="center" wrapText="1"/>
    </xf>
    <xf numFmtId="0" fontId="3" fillId="4" borderId="42"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4" borderId="26" xfId="0" applyFont="1" applyFill="1" applyBorder="1" applyAlignment="1" applyProtection="1">
      <alignment horizontal="center" vertical="center" wrapText="1"/>
    </xf>
    <xf numFmtId="0" fontId="3" fillId="4" borderId="37" xfId="0" applyFont="1" applyFill="1" applyBorder="1" applyAlignment="1" applyProtection="1">
      <alignment horizontal="right" vertical="center"/>
      <protection locked="0"/>
    </xf>
    <xf numFmtId="0" fontId="3" fillId="4" borderId="38" xfId="0" applyFont="1" applyFill="1" applyBorder="1" applyAlignment="1" applyProtection="1">
      <alignment horizontal="right" vertical="center"/>
      <protection locked="0"/>
    </xf>
    <xf numFmtId="0" fontId="3" fillId="4" borderId="35" xfId="0" applyFont="1" applyFill="1" applyBorder="1" applyAlignment="1" applyProtection="1">
      <alignment horizontal="right" vertical="center"/>
      <protection locked="0"/>
    </xf>
    <xf numFmtId="0" fontId="3" fillId="4" borderId="26" xfId="0" applyFont="1" applyFill="1" applyBorder="1" applyAlignment="1" applyProtection="1">
      <alignment horizontal="right" vertical="center"/>
      <protection locked="0"/>
    </xf>
    <xf numFmtId="179" fontId="3" fillId="4" borderId="37" xfId="0" applyNumberFormat="1" applyFont="1" applyFill="1" applyBorder="1" applyAlignment="1" applyProtection="1">
      <alignment horizontal="left" vertical="center"/>
      <protection locked="0"/>
    </xf>
    <xf numFmtId="179" fontId="3" fillId="4" borderId="39" xfId="0" applyNumberFormat="1" applyFont="1" applyFill="1" applyBorder="1" applyAlignment="1" applyProtection="1">
      <alignment horizontal="left" vertical="center"/>
      <protection locked="0"/>
    </xf>
    <xf numFmtId="179" fontId="3" fillId="4" borderId="35" xfId="0" applyNumberFormat="1" applyFont="1" applyFill="1" applyBorder="1" applyAlignment="1" applyProtection="1">
      <alignment horizontal="left" vertical="center"/>
      <protection locked="0"/>
    </xf>
    <xf numFmtId="179" fontId="3" fillId="4" borderId="40" xfId="0" applyNumberFormat="1" applyFont="1" applyFill="1" applyBorder="1" applyAlignment="1" applyProtection="1">
      <alignment horizontal="left" vertical="center"/>
      <protection locked="0"/>
    </xf>
    <xf numFmtId="0" fontId="3" fillId="3" borderId="37"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0" fontId="3" fillId="0" borderId="25" xfId="0" applyFont="1" applyBorder="1" applyAlignment="1" applyProtection="1">
      <alignment horizontal="center" vertical="center"/>
    </xf>
    <xf numFmtId="0" fontId="3" fillId="0" borderId="32" xfId="0" applyFont="1" applyBorder="1" applyAlignment="1" applyProtection="1">
      <alignment horizontal="center" vertical="center"/>
    </xf>
    <xf numFmtId="0" fontId="3" fillId="0" borderId="24" xfId="0" applyFont="1" applyBorder="1" applyAlignment="1" applyProtection="1">
      <alignment horizontal="center" vertical="center"/>
    </xf>
    <xf numFmtId="0" fontId="9" fillId="0" borderId="0" xfId="0" applyFont="1" applyBorder="1" applyAlignment="1" applyProtection="1">
      <alignment horizontal="center" vertical="top"/>
    </xf>
    <xf numFmtId="0" fontId="3" fillId="3" borderId="24" xfId="0" applyFont="1" applyFill="1" applyBorder="1" applyAlignment="1" applyProtection="1">
      <alignment horizontal="center" vertical="center"/>
    </xf>
    <xf numFmtId="0" fontId="3" fillId="3" borderId="21" xfId="0" applyFont="1" applyFill="1" applyBorder="1" applyAlignment="1" applyProtection="1">
      <alignment horizontal="center" vertical="center" wrapText="1"/>
    </xf>
    <xf numFmtId="0" fontId="3" fillId="0" borderId="14" xfId="0" applyNumberFormat="1" applyFont="1" applyBorder="1" applyAlignment="1" applyProtection="1">
      <alignment horizontal="center" vertical="center"/>
      <protection locked="0"/>
    </xf>
    <xf numFmtId="0" fontId="3" fillId="0" borderId="15" xfId="0" applyNumberFormat="1" applyFont="1" applyBorder="1" applyAlignment="1" applyProtection="1">
      <alignment horizontal="center" vertical="center"/>
      <protection locked="0"/>
    </xf>
    <xf numFmtId="0" fontId="3" fillId="3" borderId="14" xfId="0" applyNumberFormat="1" applyFont="1" applyFill="1" applyBorder="1" applyAlignment="1" applyProtection="1">
      <alignment horizontal="center" vertical="center"/>
      <protection locked="0"/>
    </xf>
    <xf numFmtId="0" fontId="3" fillId="3" borderId="15" xfId="0" applyNumberFormat="1" applyFont="1" applyFill="1" applyBorder="1" applyAlignment="1" applyProtection="1">
      <alignment horizontal="center" vertical="center"/>
      <protection locked="0"/>
    </xf>
    <xf numFmtId="0" fontId="3" fillId="3" borderId="16" xfId="0" applyNumberFormat="1" applyFont="1" applyFill="1" applyBorder="1" applyAlignment="1" applyProtection="1">
      <alignment horizontal="center" vertical="center"/>
      <protection locked="0"/>
    </xf>
    <xf numFmtId="0" fontId="3" fillId="3" borderId="22" xfId="0" applyNumberFormat="1" applyFont="1" applyFill="1" applyBorder="1" applyAlignment="1" applyProtection="1">
      <alignment horizontal="center" vertical="center"/>
      <protection locked="0"/>
    </xf>
    <xf numFmtId="0" fontId="4" fillId="0" borderId="9" xfId="0" applyFont="1" applyBorder="1" applyAlignment="1" applyProtection="1">
      <alignment horizontal="center" vertical="center" wrapText="1"/>
    </xf>
    <xf numFmtId="0" fontId="4" fillId="0" borderId="25" xfId="0" applyFont="1" applyBorder="1" applyAlignment="1" applyProtection="1">
      <alignment horizontal="center" vertical="center" wrapText="1"/>
    </xf>
    <xf numFmtId="0" fontId="3" fillId="0" borderId="25" xfId="0" applyFont="1" applyBorder="1" applyAlignment="1" applyProtection="1">
      <alignment horizontal="center" vertical="center"/>
      <protection locked="0"/>
    </xf>
    <xf numFmtId="1" fontId="3" fillId="0" borderId="25" xfId="0" applyNumberFormat="1" applyFont="1" applyBorder="1" applyAlignment="1" applyProtection="1">
      <alignment horizontal="center" vertical="center"/>
    </xf>
    <xf numFmtId="0" fontId="3" fillId="4" borderId="37" xfId="0" applyFont="1" applyFill="1" applyBorder="1" applyAlignment="1" applyProtection="1">
      <alignment horizontal="center" vertical="center" wrapText="1"/>
    </xf>
    <xf numFmtId="0" fontId="3" fillId="4" borderId="35" xfId="0" applyFont="1" applyFill="1" applyBorder="1" applyAlignment="1" applyProtection="1">
      <alignment horizontal="center" vertical="center" wrapText="1"/>
    </xf>
    <xf numFmtId="179" fontId="12" fillId="3" borderId="37" xfId="0" applyNumberFormat="1" applyFont="1" applyFill="1" applyBorder="1" applyAlignment="1" applyProtection="1">
      <alignment horizontal="left" vertical="center"/>
      <protection locked="0"/>
    </xf>
    <xf numFmtId="179" fontId="12" fillId="3" borderId="39" xfId="0" applyNumberFormat="1" applyFont="1" applyFill="1" applyBorder="1" applyAlignment="1" applyProtection="1">
      <alignment horizontal="left" vertical="center"/>
      <protection locked="0"/>
    </xf>
    <xf numFmtId="179" fontId="12" fillId="3" borderId="35" xfId="0" applyNumberFormat="1" applyFont="1" applyFill="1" applyBorder="1" applyAlignment="1" applyProtection="1">
      <alignment horizontal="left" vertical="center"/>
      <protection locked="0"/>
    </xf>
    <xf numFmtId="179" fontId="12" fillId="3" borderId="40" xfId="0" applyNumberFormat="1" applyFont="1" applyFill="1" applyBorder="1" applyAlignment="1" applyProtection="1">
      <alignment horizontal="left" vertical="center"/>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49" fontId="3" fillId="0" borderId="25" xfId="0" applyNumberFormat="1" applyFont="1" applyBorder="1" applyAlignment="1" applyProtection="1">
      <alignment horizontal="left" vertical="top"/>
      <protection locked="0"/>
    </xf>
    <xf numFmtId="49" fontId="3" fillId="0" borderId="32" xfId="0" applyNumberFormat="1" applyFont="1" applyBorder="1" applyAlignment="1" applyProtection="1">
      <alignment horizontal="left" vertical="top"/>
      <protection locked="0"/>
    </xf>
    <xf numFmtId="49" fontId="3" fillId="0" borderId="24" xfId="0" applyNumberFormat="1" applyFont="1" applyBorder="1" applyAlignment="1" applyProtection="1">
      <alignment horizontal="left" vertical="top"/>
      <protection locked="0"/>
    </xf>
    <xf numFmtId="49" fontId="3" fillId="3" borderId="9" xfId="0" applyNumberFormat="1" applyFont="1" applyFill="1" applyBorder="1" applyAlignment="1" applyProtection="1">
      <alignment horizontal="left" vertical="top"/>
      <protection locked="0"/>
    </xf>
    <xf numFmtId="49" fontId="3" fillId="3" borderId="23" xfId="0" applyNumberFormat="1" applyFont="1" applyFill="1" applyBorder="1" applyAlignment="1" applyProtection="1">
      <alignment horizontal="left" vertical="top"/>
      <protection locked="0"/>
    </xf>
    <xf numFmtId="49" fontId="3" fillId="3" borderId="21" xfId="0" applyNumberFormat="1" applyFont="1" applyFill="1" applyBorder="1" applyAlignment="1" applyProtection="1">
      <alignment horizontal="left" vertical="top"/>
      <protection locked="0"/>
    </xf>
    <xf numFmtId="0" fontId="3" fillId="5" borderId="9" xfId="0" applyFont="1" applyFill="1" applyBorder="1" applyAlignment="1" applyProtection="1">
      <alignment horizontal="center" vertical="center"/>
    </xf>
    <xf numFmtId="0" fontId="3" fillId="5" borderId="23" xfId="0" applyFont="1" applyFill="1" applyBorder="1" applyAlignment="1" applyProtection="1">
      <alignment horizontal="center" vertical="center"/>
    </xf>
    <xf numFmtId="0" fontId="3" fillId="5" borderId="21" xfId="0" applyFont="1" applyFill="1" applyBorder="1" applyAlignment="1" applyProtection="1">
      <alignment horizontal="center" vertical="center"/>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0" fontId="3" fillId="0" borderId="9" xfId="0" applyFont="1" applyFill="1" applyBorder="1" applyAlignment="1" applyProtection="1">
      <alignment horizontal="center" vertical="center"/>
    </xf>
    <xf numFmtId="0" fontId="3" fillId="0" borderId="23" xfId="0" applyFont="1" applyFill="1" applyBorder="1" applyAlignment="1" applyProtection="1">
      <alignment horizontal="center" vertical="center"/>
    </xf>
    <xf numFmtId="0" fontId="3" fillId="0" borderId="21"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3" borderId="23"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xf>
    <xf numFmtId="0" fontId="15" fillId="0" borderId="0" xfId="0" applyFont="1" applyBorder="1" applyAlignment="1" applyProtection="1">
      <alignment horizontal="center" vertical="center"/>
    </xf>
    <xf numFmtId="0" fontId="27" fillId="9" borderId="71" xfId="0" applyNumberFormat="1" applyFont="1" applyFill="1" applyBorder="1" applyAlignment="1" applyProtection="1">
      <alignment horizontal="center" vertical="center"/>
    </xf>
    <xf numFmtId="0" fontId="27" fillId="12" borderId="74" xfId="0" applyNumberFormat="1" applyFont="1" applyFill="1" applyBorder="1" applyAlignment="1" applyProtection="1">
      <alignment horizontal="center" vertical="center"/>
      <protection locked="0"/>
    </xf>
    <xf numFmtId="0" fontId="27" fillId="12" borderId="70" xfId="0" applyNumberFormat="1" applyFont="1" applyFill="1" applyBorder="1" applyAlignment="1" applyProtection="1">
      <alignment horizontal="center" vertical="center"/>
      <protection locked="0"/>
    </xf>
    <xf numFmtId="0" fontId="27" fillId="0" borderId="72" xfId="0" applyNumberFormat="1" applyFont="1" applyBorder="1" applyAlignment="1" applyProtection="1">
      <alignment horizontal="center" vertical="center"/>
    </xf>
    <xf numFmtId="0" fontId="27" fillId="0" borderId="73" xfId="0" applyNumberFormat="1" applyFont="1" applyBorder="1" applyAlignment="1" applyProtection="1">
      <alignment horizontal="center" vertical="center"/>
    </xf>
    <xf numFmtId="0" fontId="25" fillId="0" borderId="75" xfId="0" applyNumberFormat="1" applyFont="1" applyBorder="1" applyAlignment="1" applyProtection="1">
      <alignment horizontal="center" vertical="center"/>
    </xf>
    <xf numFmtId="0" fontId="1" fillId="0" borderId="0" xfId="0"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7" fillId="0" borderId="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18" fillId="0" borderId="21" xfId="0" applyFont="1" applyBorder="1" applyAlignment="1">
      <alignment horizontal="center" vertical="center"/>
    </xf>
    <xf numFmtId="0" fontId="18" fillId="0" borderId="9" xfId="0" applyFont="1" applyBorder="1" applyAlignment="1">
      <alignment horizontal="center" vertical="center"/>
    </xf>
    <xf numFmtId="0" fontId="18" fillId="0" borderId="24" xfId="0" applyFont="1" applyBorder="1" applyAlignment="1">
      <alignment horizontal="center" vertical="center"/>
    </xf>
    <xf numFmtId="0" fontId="18" fillId="0" borderId="25" xfId="0" applyFont="1" applyBorder="1" applyAlignment="1">
      <alignment horizontal="center" vertical="center"/>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8" xfId="0" applyFont="1" applyBorder="1" applyAlignment="1">
      <alignment horizontal="center" vertical="center"/>
    </xf>
    <xf numFmtId="0" fontId="18" fillId="3" borderId="52" xfId="0" applyFont="1" applyFill="1" applyBorder="1" applyAlignment="1">
      <alignment horizontal="center" vertical="center"/>
    </xf>
    <xf numFmtId="0" fontId="18" fillId="3" borderId="53" xfId="0" applyFont="1" applyFill="1" applyBorder="1" applyAlignment="1">
      <alignment horizontal="center" vertical="center"/>
    </xf>
    <xf numFmtId="0" fontId="18" fillId="3" borderId="54" xfId="0" applyFont="1" applyFill="1" applyBorder="1" applyAlignment="1">
      <alignment horizontal="center" vertical="center"/>
    </xf>
    <xf numFmtId="1" fontId="18" fillId="0" borderId="9" xfId="0" applyNumberFormat="1" applyFont="1" applyBorder="1" applyAlignment="1" applyProtection="1">
      <alignment horizontal="center" vertical="center"/>
    </xf>
    <xf numFmtId="0" fontId="18" fillId="3" borderId="25" xfId="0" applyFont="1" applyFill="1" applyBorder="1" applyAlignment="1" applyProtection="1">
      <alignment horizontal="center" vertical="center"/>
    </xf>
    <xf numFmtId="1" fontId="18" fillId="0" borderId="25" xfId="0" applyNumberFormat="1" applyFont="1" applyBorder="1" applyAlignment="1" applyProtection="1">
      <alignment horizontal="center" vertical="center"/>
    </xf>
    <xf numFmtId="0" fontId="18" fillId="3" borderId="10" xfId="0" applyFont="1" applyFill="1" applyBorder="1" applyAlignment="1" applyProtection="1">
      <alignment horizontal="center" vertical="center" wrapText="1"/>
    </xf>
    <xf numFmtId="0" fontId="18" fillId="3" borderId="11" xfId="0" applyFont="1" applyFill="1" applyBorder="1" applyAlignment="1" applyProtection="1">
      <alignment horizontal="center" vertical="center" wrapText="1"/>
    </xf>
    <xf numFmtId="0" fontId="18" fillId="3" borderId="43" xfId="0" applyFont="1" applyFill="1" applyBorder="1" applyAlignment="1" applyProtection="1">
      <alignment horizontal="center" vertical="center" wrapText="1"/>
    </xf>
    <xf numFmtId="0" fontId="18" fillId="3" borderId="33" xfId="0" applyFont="1" applyFill="1" applyBorder="1" applyAlignment="1" applyProtection="1">
      <alignment horizontal="center" vertical="center" wrapText="1"/>
    </xf>
    <xf numFmtId="0" fontId="18" fillId="3" borderId="7" xfId="0" applyFont="1" applyFill="1" applyBorder="1" applyAlignment="1" applyProtection="1">
      <alignment horizontal="center" vertical="center" wrapText="1"/>
    </xf>
    <xf numFmtId="0" fontId="18" fillId="3" borderId="8" xfId="0" applyFont="1" applyFill="1" applyBorder="1" applyAlignment="1" applyProtection="1">
      <alignment horizontal="center" vertical="center" wrapText="1"/>
    </xf>
    <xf numFmtId="0" fontId="18" fillId="3" borderId="21"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wrapText="1"/>
    </xf>
    <xf numFmtId="0" fontId="18" fillId="3" borderId="24" xfId="0" applyFont="1" applyFill="1" applyBorder="1" applyAlignment="1" applyProtection="1">
      <alignment horizontal="center" vertical="center" wrapText="1"/>
    </xf>
    <xf numFmtId="0" fontId="18" fillId="3" borderId="25"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protection locked="0"/>
    </xf>
    <xf numFmtId="0" fontId="18" fillId="3" borderId="25" xfId="0" applyFont="1" applyFill="1" applyBorder="1" applyAlignment="1" applyProtection="1">
      <alignment horizontal="center" vertical="center"/>
      <protection locked="0"/>
    </xf>
    <xf numFmtId="1" fontId="18" fillId="3" borderId="9" xfId="0" applyNumberFormat="1" applyFont="1" applyFill="1" applyBorder="1" applyAlignment="1" applyProtection="1">
      <alignment horizontal="center" vertical="center"/>
    </xf>
    <xf numFmtId="0" fontId="18" fillId="0" borderId="9" xfId="0" applyFont="1" applyBorder="1" applyAlignment="1" applyProtection="1">
      <alignment horizontal="center" vertical="center" wrapText="1"/>
    </xf>
    <xf numFmtId="0" fontId="18" fillId="0" borderId="25" xfId="0" applyFont="1" applyBorder="1" applyAlignment="1" applyProtection="1">
      <alignment horizontal="center" vertical="center" wrapText="1"/>
    </xf>
    <xf numFmtId="0" fontId="18" fillId="0" borderId="9" xfId="0" applyFont="1" applyBorder="1" applyAlignment="1" applyProtection="1">
      <alignment horizontal="center" vertical="center"/>
      <protection locked="0"/>
    </xf>
    <xf numFmtId="0" fontId="18" fillId="0" borderId="25" xfId="0" applyFont="1" applyBorder="1" applyAlignment="1" applyProtection="1">
      <alignment horizontal="center" vertical="center"/>
      <protection locked="0"/>
    </xf>
    <xf numFmtId="0" fontId="3" fillId="4" borderId="21" xfId="0" applyFont="1" applyFill="1" applyBorder="1" applyAlignment="1" applyProtection="1">
      <alignment horizontal="center" vertical="center"/>
    </xf>
    <xf numFmtId="0" fontId="17" fillId="2" borderId="29" xfId="0" applyFont="1" applyFill="1" applyBorder="1" applyAlignment="1" applyProtection="1">
      <alignment horizontal="center" vertical="center"/>
    </xf>
    <xf numFmtId="0" fontId="17" fillId="2" borderId="30" xfId="0" applyFont="1" applyFill="1" applyBorder="1" applyAlignment="1" applyProtection="1">
      <alignment horizontal="center" vertical="center"/>
    </xf>
    <xf numFmtId="0" fontId="17" fillId="2" borderId="31" xfId="0" applyFont="1" applyFill="1" applyBorder="1" applyAlignment="1" applyProtection="1">
      <alignment horizontal="center" vertical="center"/>
    </xf>
    <xf numFmtId="0" fontId="18" fillId="0" borderId="23" xfId="0" applyFont="1" applyBorder="1" applyAlignment="1">
      <alignment horizontal="center" vertical="center"/>
    </xf>
    <xf numFmtId="0" fontId="18" fillId="0" borderId="32" xfId="0" applyFont="1" applyBorder="1" applyAlignment="1">
      <alignment horizontal="center" vertical="center"/>
    </xf>
    <xf numFmtId="1" fontId="18" fillId="0" borderId="23" xfId="0" applyNumberFormat="1" applyFont="1" applyBorder="1" applyAlignment="1" applyProtection="1">
      <alignment horizontal="center" vertical="center"/>
    </xf>
    <xf numFmtId="0" fontId="18" fillId="0" borderId="9" xfId="0" applyFont="1" applyBorder="1" applyAlignment="1" applyProtection="1">
      <alignment horizontal="center" vertical="center"/>
    </xf>
    <xf numFmtId="0" fontId="18" fillId="0" borderId="21" xfId="0" applyFont="1" applyBorder="1" applyAlignment="1" applyProtection="1">
      <alignment horizontal="center" vertical="center" wrapText="1"/>
    </xf>
    <xf numFmtId="0" fontId="24" fillId="8" borderId="62" xfId="0" applyFont="1" applyFill="1" applyBorder="1" applyAlignment="1">
      <alignment horizontal="center" vertical="center"/>
    </xf>
    <xf numFmtId="0" fontId="24" fillId="8" borderId="63" xfId="0" applyFont="1" applyFill="1" applyBorder="1" applyAlignment="1">
      <alignment horizontal="center" vertical="center"/>
    </xf>
    <xf numFmtId="0" fontId="24" fillId="8" borderId="64" xfId="0" applyFont="1" applyFill="1" applyBorder="1" applyAlignment="1">
      <alignment horizontal="center" vertical="center"/>
    </xf>
    <xf numFmtId="1" fontId="18" fillId="3" borderId="23" xfId="0" applyNumberFormat="1" applyFont="1" applyFill="1" applyBorder="1" applyAlignment="1" applyProtection="1">
      <alignment horizontal="center" vertical="center"/>
    </xf>
    <xf numFmtId="0" fontId="18" fillId="3" borderId="9" xfId="0" applyFont="1" applyFill="1" applyBorder="1" applyAlignment="1" applyProtection="1">
      <alignment horizontal="center" vertical="center"/>
    </xf>
    <xf numFmtId="0" fontId="25" fillId="0" borderId="61" xfId="0" applyFont="1" applyBorder="1" applyAlignment="1">
      <alignment horizontal="center" vertical="center" wrapText="1"/>
    </xf>
    <xf numFmtId="0" fontId="25" fillId="9" borderId="65" xfId="0" applyFont="1" applyFill="1" applyBorder="1" applyAlignment="1">
      <alignment horizontal="center" vertical="center" wrapText="1"/>
    </xf>
    <xf numFmtId="0" fontId="25" fillId="9" borderId="61" xfId="0" applyFont="1" applyFill="1" applyBorder="1" applyAlignment="1">
      <alignment horizontal="center" vertical="center" wrapText="1"/>
    </xf>
    <xf numFmtId="0" fontId="25" fillId="9" borderId="66" xfId="0" applyFont="1" applyFill="1" applyBorder="1" applyAlignment="1">
      <alignment horizontal="center" vertical="center" wrapText="1"/>
    </xf>
    <xf numFmtId="0" fontId="25" fillId="0" borderId="65" xfId="0" applyFont="1" applyBorder="1" applyAlignment="1">
      <alignment horizontal="center" vertical="center" wrapText="1"/>
    </xf>
    <xf numFmtId="0" fontId="25" fillId="9" borderId="67" xfId="0" applyFont="1" applyFill="1" applyBorder="1" applyAlignment="1">
      <alignment horizontal="center" vertical="center" wrapText="1"/>
    </xf>
    <xf numFmtId="0" fontId="25" fillId="9" borderId="68" xfId="0" applyFont="1" applyFill="1" applyBorder="1" applyAlignment="1">
      <alignment horizontal="center" vertical="center" wrapText="1"/>
    </xf>
    <xf numFmtId="0" fontId="25" fillId="0" borderId="68" xfId="0" applyFont="1" applyBorder="1" applyAlignment="1">
      <alignment horizontal="center" vertical="center" wrapText="1"/>
    </xf>
    <xf numFmtId="0" fontId="25" fillId="0" borderId="66" xfId="0" applyFont="1" applyBorder="1" applyAlignment="1">
      <alignment horizontal="center" vertical="center" wrapText="1"/>
    </xf>
    <xf numFmtId="0" fontId="25" fillId="9" borderId="61" xfId="0" applyNumberFormat="1" applyFont="1" applyFill="1" applyBorder="1" applyAlignment="1">
      <alignment horizontal="center" vertical="center" wrapText="1"/>
    </xf>
    <xf numFmtId="0" fontId="25" fillId="9" borderId="66" xfId="0" applyNumberFormat="1" applyFont="1" applyFill="1" applyBorder="1" applyAlignment="1">
      <alignment horizontal="center" vertical="center" wrapText="1"/>
    </xf>
    <xf numFmtId="0" fontId="25" fillId="9" borderId="68" xfId="0" applyNumberFormat="1" applyFont="1" applyFill="1" applyBorder="1" applyAlignment="1">
      <alignment horizontal="center" vertical="center" wrapText="1"/>
    </xf>
    <xf numFmtId="0" fontId="25" fillId="9" borderId="69" xfId="0" applyNumberFormat="1" applyFont="1" applyFill="1" applyBorder="1" applyAlignment="1">
      <alignment horizontal="center" vertical="center" wrapText="1"/>
    </xf>
    <xf numFmtId="0" fontId="17" fillId="2" borderId="14" xfId="0" applyFont="1" applyFill="1" applyBorder="1" applyAlignment="1" applyProtection="1">
      <alignment horizontal="center" vertical="center"/>
      <protection locked="0"/>
    </xf>
    <xf numFmtId="0" fontId="17" fillId="2" borderId="16" xfId="0" applyFont="1" applyFill="1" applyBorder="1" applyAlignment="1" applyProtection="1">
      <alignment horizontal="center" vertical="center"/>
      <protection locked="0"/>
    </xf>
  </cellXfs>
  <cellStyles count="2">
    <cellStyle name="常规" xfId="0" builtinId="0"/>
    <cellStyle name="常规 2" xfId="1" xr:uid="{00000000-0005-0000-0000-00000100000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表1" displayName="表1" ref="A1:H104" totalsRowShown="0">
  <tableColumns count="8">
    <tableColumn id="1" xr3:uid="{00000000-0010-0000-0000-000001000000}" name="名称"/>
    <tableColumn id="2" xr3:uid="{00000000-0010-0000-0000-000002000000}" name="利用技能"/>
    <tableColumn id="3" xr3:uid="{00000000-0010-0000-0000-000003000000}" name="伤害"/>
    <tableColumn id="4" xr3:uid="{00000000-0010-0000-0000-000004000000}" name="射程"/>
    <tableColumn id="5" xr3:uid="{00000000-0010-0000-0000-000005000000}" name="穿刺"/>
    <tableColumn id="6" xr3:uid="{00000000-0010-0000-0000-000006000000}" name="次数"/>
    <tableColumn id="7" xr3:uid="{00000000-0010-0000-0000-000007000000}" name="装弹量"/>
    <tableColumn id="8" xr3:uid="{00000000-0010-0000-0000-000008000000}" name="故障值"/>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O101"/>
  <sheetViews>
    <sheetView showGridLines="0" showRowColHeaders="0" tabSelected="1" topLeftCell="A16" zoomScaleNormal="100" workbookViewId="0">
      <selection activeCell="L42" sqref="L42:M42"/>
    </sheetView>
  </sheetViews>
  <sheetFormatPr defaultColWidth="3.21875" defaultRowHeight="15" x14ac:dyDescent="0.25"/>
  <cols>
    <col min="1" max="6" width="3.21875" style="17"/>
    <col min="7" max="7" width="4.6640625" style="17" bestFit="1" customWidth="1"/>
    <col min="8" max="9" width="3.21875" style="17"/>
    <col min="10" max="10" width="4.6640625" style="17" bestFit="1" customWidth="1"/>
    <col min="11" max="16384" width="3.21875" style="17"/>
  </cols>
  <sheetData>
    <row r="1" spans="2:41" ht="15.6" thickBot="1" x14ac:dyDescent="0.3">
      <c r="N1" s="23"/>
      <c r="O1" s="23"/>
      <c r="P1" s="24"/>
      <c r="Q1" s="24"/>
      <c r="R1" s="24"/>
      <c r="S1" s="24"/>
      <c r="T1" s="24"/>
      <c r="U1" s="24"/>
      <c r="V1" s="24"/>
      <c r="W1" s="24"/>
      <c r="X1" s="24"/>
      <c r="Y1" s="24"/>
      <c r="Z1" s="24"/>
      <c r="AA1" s="24"/>
      <c r="AB1" s="24"/>
      <c r="AC1" s="24"/>
      <c r="AD1" s="24"/>
      <c r="AE1" s="24"/>
      <c r="AF1" s="23"/>
      <c r="AG1" s="23"/>
    </row>
    <row r="2" spans="2:41" x14ac:dyDescent="0.25">
      <c r="B2" s="164" t="s">
        <v>401</v>
      </c>
      <c r="C2" s="165"/>
      <c r="D2" s="165"/>
      <c r="E2" s="165"/>
      <c r="F2" s="165"/>
      <c r="G2" s="165"/>
      <c r="H2" s="165"/>
      <c r="I2" s="165"/>
      <c r="J2" s="165"/>
      <c r="K2" s="165"/>
      <c r="L2" s="165"/>
      <c r="M2" s="165"/>
      <c r="N2" s="165"/>
      <c r="O2" s="166"/>
      <c r="Q2" s="194" t="s">
        <v>358</v>
      </c>
      <c r="R2" s="195"/>
      <c r="S2" s="195"/>
      <c r="T2" s="195"/>
      <c r="U2" s="195"/>
      <c r="V2" s="195"/>
      <c r="W2" s="195"/>
      <c r="X2" s="195"/>
      <c r="Y2" s="195"/>
      <c r="Z2" s="195"/>
      <c r="AA2" s="195"/>
      <c r="AB2" s="195"/>
      <c r="AC2" s="195"/>
      <c r="AD2" s="195"/>
      <c r="AE2" s="195"/>
      <c r="AF2" s="195"/>
      <c r="AG2" s="195"/>
      <c r="AH2" s="196"/>
      <c r="AJ2" s="298" t="s">
        <v>6</v>
      </c>
      <c r="AK2" s="299"/>
      <c r="AL2" s="299"/>
      <c r="AM2" s="299"/>
      <c r="AN2" s="299"/>
      <c r="AO2" s="300"/>
    </row>
    <row r="3" spans="2:41" x14ac:dyDescent="0.25">
      <c r="B3" s="152" t="s">
        <v>0</v>
      </c>
      <c r="C3" s="150"/>
      <c r="D3" s="307" t="s">
        <v>953</v>
      </c>
      <c r="E3" s="308"/>
      <c r="F3" s="308"/>
      <c r="G3" s="308"/>
      <c r="H3" s="308"/>
      <c r="I3" s="308"/>
      <c r="J3" s="308"/>
      <c r="K3" s="308"/>
      <c r="L3" s="308"/>
      <c r="M3" s="308"/>
      <c r="N3" s="308"/>
      <c r="O3" s="309"/>
      <c r="Q3" s="351" t="s">
        <v>419</v>
      </c>
      <c r="R3" s="316"/>
      <c r="S3" s="317">
        <v>80</v>
      </c>
      <c r="T3" s="317"/>
      <c r="U3" s="321">
        <f>INT(S3/2)</f>
        <v>40</v>
      </c>
      <c r="V3" s="321"/>
      <c r="W3" s="154" t="s">
        <v>421</v>
      </c>
      <c r="X3" s="154"/>
      <c r="Y3" s="318">
        <v>90</v>
      </c>
      <c r="Z3" s="318"/>
      <c r="AA3" s="323">
        <f>INT(Y3/2)</f>
        <v>45</v>
      </c>
      <c r="AB3" s="323"/>
      <c r="AC3" s="316" t="s">
        <v>423</v>
      </c>
      <c r="AD3" s="316"/>
      <c r="AE3" s="317">
        <v>60</v>
      </c>
      <c r="AF3" s="317"/>
      <c r="AG3" s="321">
        <f>INT(AE3/2)</f>
        <v>30</v>
      </c>
      <c r="AH3" s="322"/>
      <c r="AJ3" s="301"/>
      <c r="AK3" s="302"/>
      <c r="AL3" s="302"/>
      <c r="AM3" s="302"/>
      <c r="AN3" s="302"/>
      <c r="AO3" s="303"/>
    </row>
    <row r="4" spans="2:41" x14ac:dyDescent="0.25">
      <c r="B4" s="183" t="s">
        <v>1</v>
      </c>
      <c r="C4" s="184"/>
      <c r="D4" s="310" t="s">
        <v>954</v>
      </c>
      <c r="E4" s="311"/>
      <c r="F4" s="311"/>
      <c r="G4" s="311"/>
      <c r="H4" s="311"/>
      <c r="I4" s="312"/>
      <c r="J4" s="354" t="s">
        <v>28</v>
      </c>
      <c r="K4" s="355"/>
      <c r="L4" s="356"/>
      <c r="M4" s="354"/>
      <c r="N4" s="355"/>
      <c r="O4" s="357"/>
      <c r="Q4" s="351"/>
      <c r="R4" s="316"/>
      <c r="S4" s="317"/>
      <c r="T4" s="317"/>
      <c r="U4" s="184">
        <f>INT(S3/5)</f>
        <v>16</v>
      </c>
      <c r="V4" s="184"/>
      <c r="W4" s="154"/>
      <c r="X4" s="154"/>
      <c r="Y4" s="318"/>
      <c r="Z4" s="318"/>
      <c r="AA4" s="323">
        <f>INT(Y3/5)</f>
        <v>18</v>
      </c>
      <c r="AB4" s="323"/>
      <c r="AC4" s="316"/>
      <c r="AD4" s="316"/>
      <c r="AE4" s="317"/>
      <c r="AF4" s="317"/>
      <c r="AG4" s="321">
        <f>INT(AE3/5)</f>
        <v>12</v>
      </c>
      <c r="AH4" s="322"/>
      <c r="AJ4" s="301"/>
      <c r="AK4" s="302"/>
      <c r="AL4" s="302"/>
      <c r="AM4" s="302"/>
      <c r="AN4" s="302"/>
      <c r="AO4" s="303"/>
    </row>
    <row r="5" spans="2:41" x14ac:dyDescent="0.25">
      <c r="B5" s="152" t="s">
        <v>2</v>
      </c>
      <c r="C5" s="150"/>
      <c r="D5" s="352" t="s">
        <v>955</v>
      </c>
      <c r="E5" s="353"/>
      <c r="F5" s="353"/>
      <c r="G5" s="353"/>
      <c r="H5" s="353"/>
      <c r="I5" s="353"/>
      <c r="J5" s="352" t="str">
        <f>IF(M5=0," ","职业序号：")</f>
        <v>职业序号：</v>
      </c>
      <c r="K5" s="353"/>
      <c r="L5" s="353"/>
      <c r="M5" s="307">
        <v>103</v>
      </c>
      <c r="N5" s="308"/>
      <c r="O5" s="309"/>
      <c r="Q5" s="153" t="s">
        <v>420</v>
      </c>
      <c r="R5" s="154"/>
      <c r="S5" s="318">
        <v>55</v>
      </c>
      <c r="T5" s="318"/>
      <c r="U5" s="323">
        <f t="shared" ref="U5" si="0">INT(S5/2)</f>
        <v>27</v>
      </c>
      <c r="V5" s="323"/>
      <c r="W5" s="316" t="s">
        <v>530</v>
      </c>
      <c r="X5" s="316"/>
      <c r="Y5" s="317">
        <v>80</v>
      </c>
      <c r="Z5" s="317"/>
      <c r="AA5" s="321">
        <f t="shared" ref="AA5" si="1">INT(Y5/2)</f>
        <v>40</v>
      </c>
      <c r="AB5" s="321"/>
      <c r="AC5" s="154" t="s">
        <v>424</v>
      </c>
      <c r="AD5" s="154"/>
      <c r="AE5" s="318">
        <v>72</v>
      </c>
      <c r="AF5" s="318"/>
      <c r="AG5" s="323">
        <f>INT(AE5/2)</f>
        <v>36</v>
      </c>
      <c r="AH5" s="324"/>
      <c r="AJ5" s="301"/>
      <c r="AK5" s="302"/>
      <c r="AL5" s="302"/>
      <c r="AM5" s="302"/>
      <c r="AN5" s="302"/>
      <c r="AO5" s="303"/>
    </row>
    <row r="6" spans="2:41" x14ac:dyDescent="0.25">
      <c r="B6" s="183" t="s">
        <v>3</v>
      </c>
      <c r="C6" s="184"/>
      <c r="D6" s="310">
        <v>36</v>
      </c>
      <c r="E6" s="311"/>
      <c r="F6" s="311"/>
      <c r="G6" s="311"/>
      <c r="H6" s="311"/>
      <c r="I6" s="312"/>
      <c r="J6" s="354" t="s">
        <v>4</v>
      </c>
      <c r="K6" s="355"/>
      <c r="L6" s="356"/>
      <c r="M6" s="354" t="s">
        <v>956</v>
      </c>
      <c r="N6" s="355"/>
      <c r="O6" s="357"/>
      <c r="Q6" s="153"/>
      <c r="R6" s="154"/>
      <c r="S6" s="318"/>
      <c r="T6" s="318"/>
      <c r="U6" s="150">
        <f t="shared" ref="U6" si="2">INT(S5/5)</f>
        <v>11</v>
      </c>
      <c r="V6" s="150"/>
      <c r="W6" s="316"/>
      <c r="X6" s="316"/>
      <c r="Y6" s="317"/>
      <c r="Z6" s="317"/>
      <c r="AA6" s="321">
        <f t="shared" ref="AA6" si="3">INT(Y5/5)</f>
        <v>16</v>
      </c>
      <c r="AB6" s="321"/>
      <c r="AC6" s="154"/>
      <c r="AD6" s="154"/>
      <c r="AE6" s="318"/>
      <c r="AF6" s="318"/>
      <c r="AG6" s="323">
        <f>INT(AE5/5)</f>
        <v>14</v>
      </c>
      <c r="AH6" s="324"/>
      <c r="AJ6" s="301"/>
      <c r="AK6" s="302"/>
      <c r="AL6" s="302"/>
      <c r="AM6" s="302"/>
      <c r="AN6" s="302"/>
      <c r="AO6" s="303"/>
    </row>
    <row r="7" spans="2:41" x14ac:dyDescent="0.25">
      <c r="B7" s="152" t="s">
        <v>359</v>
      </c>
      <c r="C7" s="150"/>
      <c r="D7" s="307" t="s">
        <v>957</v>
      </c>
      <c r="E7" s="308"/>
      <c r="F7" s="308"/>
      <c r="G7" s="308"/>
      <c r="H7" s="308"/>
      <c r="I7" s="308"/>
      <c r="J7" s="308"/>
      <c r="K7" s="308"/>
      <c r="L7" s="308"/>
      <c r="M7" s="308"/>
      <c r="N7" s="308"/>
      <c r="O7" s="309"/>
      <c r="Q7" s="351" t="s">
        <v>5</v>
      </c>
      <c r="R7" s="316"/>
      <c r="S7" s="317">
        <v>90</v>
      </c>
      <c r="T7" s="317"/>
      <c r="U7" s="321">
        <f t="shared" ref="U7" si="4">INT(S7/2)</f>
        <v>45</v>
      </c>
      <c r="V7" s="321"/>
      <c r="W7" s="358" t="s">
        <v>422</v>
      </c>
      <c r="X7" s="358"/>
      <c r="Y7" s="318">
        <v>45</v>
      </c>
      <c r="Z7" s="318"/>
      <c r="AA7" s="323">
        <f t="shared" ref="AA7" si="5">INT(Y7/2)</f>
        <v>22</v>
      </c>
      <c r="AB7" s="323"/>
      <c r="AC7" s="316" t="s">
        <v>425</v>
      </c>
      <c r="AD7" s="316"/>
      <c r="AE7" s="319">
        <f>附表!F27-LOOKUP(D6,附表!E2:E7,附表!F2:F7)</f>
        <v>7</v>
      </c>
      <c r="AF7" s="319"/>
      <c r="AG7" s="325" t="s">
        <v>418</v>
      </c>
      <c r="AH7" s="326"/>
      <c r="AJ7" s="301"/>
      <c r="AK7" s="302"/>
      <c r="AL7" s="302"/>
      <c r="AM7" s="302"/>
      <c r="AN7" s="302"/>
      <c r="AO7" s="303"/>
    </row>
    <row r="8" spans="2:41" ht="15.6" thickBot="1" x14ac:dyDescent="0.3">
      <c r="B8" s="350" t="s">
        <v>360</v>
      </c>
      <c r="C8" s="327"/>
      <c r="D8" s="313" t="s">
        <v>958</v>
      </c>
      <c r="E8" s="314"/>
      <c r="F8" s="314"/>
      <c r="G8" s="314"/>
      <c r="H8" s="314"/>
      <c r="I8" s="314"/>
      <c r="J8" s="314"/>
      <c r="K8" s="314"/>
      <c r="L8" s="314"/>
      <c r="M8" s="314"/>
      <c r="N8" s="314"/>
      <c r="O8" s="315"/>
      <c r="Q8" s="98"/>
      <c r="R8" s="99"/>
      <c r="S8" s="106"/>
      <c r="T8" s="106"/>
      <c r="U8" s="327">
        <f t="shared" ref="U8" si="6">INT(S7/5)</f>
        <v>18</v>
      </c>
      <c r="V8" s="327"/>
      <c r="W8" s="359"/>
      <c r="X8" s="359"/>
      <c r="Y8" s="360"/>
      <c r="Z8" s="360"/>
      <c r="AA8" s="361">
        <f t="shared" ref="AA8" si="7">INT(Y7/5)</f>
        <v>9</v>
      </c>
      <c r="AB8" s="361"/>
      <c r="AC8" s="99"/>
      <c r="AD8" s="99"/>
      <c r="AE8" s="320"/>
      <c r="AF8" s="320"/>
      <c r="AG8" s="86">
        <v>0</v>
      </c>
      <c r="AH8" s="87"/>
      <c r="AJ8" s="304"/>
      <c r="AK8" s="305"/>
      <c r="AL8" s="305"/>
      <c r="AM8" s="305"/>
      <c r="AN8" s="305"/>
      <c r="AO8" s="306"/>
    </row>
    <row r="9" spans="2:41" ht="15.6" thickBot="1" x14ac:dyDescent="0.3">
      <c r="AJ9" s="18"/>
      <c r="AK9" s="18"/>
      <c r="AL9" s="18"/>
      <c r="AM9" s="18"/>
      <c r="AN9" s="18"/>
    </row>
    <row r="10" spans="2:41" x14ac:dyDescent="0.25">
      <c r="B10" s="294" t="s">
        <v>426</v>
      </c>
      <c r="C10" s="295"/>
      <c r="D10" s="295"/>
      <c r="E10" s="296"/>
      <c r="F10" s="290">
        <v>14</v>
      </c>
      <c r="G10" s="291"/>
      <c r="H10" s="286">
        <f>INT((S7+S5)/10)</f>
        <v>14</v>
      </c>
      <c r="I10" s="287"/>
      <c r="J10" s="328" t="s">
        <v>427</v>
      </c>
      <c r="K10" s="329"/>
      <c r="L10" s="329"/>
      <c r="M10" s="330"/>
      <c r="N10" s="334">
        <v>60</v>
      </c>
      <c r="O10" s="335"/>
      <c r="P10" s="338">
        <f>IF(ISBLANK(N10),MIN(AE3,99-P26),INT(99-P26))</f>
        <v>99</v>
      </c>
      <c r="Q10" s="339"/>
      <c r="R10" s="342" t="s">
        <v>428</v>
      </c>
      <c r="S10" s="295"/>
      <c r="T10" s="295"/>
      <c r="U10" s="296"/>
      <c r="V10" s="290">
        <v>65</v>
      </c>
      <c r="W10" s="291"/>
      <c r="X10" s="364">
        <v>99</v>
      </c>
      <c r="Y10" s="365"/>
      <c r="Z10" s="362" t="s">
        <v>429</v>
      </c>
      <c r="AA10" s="329"/>
      <c r="AB10" s="329"/>
      <c r="AC10" s="330"/>
      <c r="AD10" s="334">
        <v>0</v>
      </c>
      <c r="AE10" s="335"/>
      <c r="AF10" s="338">
        <f>INT(AE3/5)</f>
        <v>12</v>
      </c>
      <c r="AG10" s="339"/>
      <c r="AH10" s="92" t="s">
        <v>432</v>
      </c>
      <c r="AI10" s="93"/>
      <c r="AJ10" s="93"/>
      <c r="AK10" s="94"/>
      <c r="AL10" s="281" t="s">
        <v>413</v>
      </c>
      <c r="AM10" s="281"/>
      <c r="AN10" s="281"/>
      <c r="AO10" s="282"/>
    </row>
    <row r="11" spans="2:41" ht="15.6" thickBot="1" x14ac:dyDescent="0.3">
      <c r="B11" s="98"/>
      <c r="C11" s="99"/>
      <c r="D11" s="99"/>
      <c r="E11" s="297"/>
      <c r="F11" s="292"/>
      <c r="G11" s="293"/>
      <c r="H11" s="288"/>
      <c r="I11" s="289"/>
      <c r="J11" s="331"/>
      <c r="K11" s="332"/>
      <c r="L11" s="332"/>
      <c r="M11" s="333"/>
      <c r="N11" s="336"/>
      <c r="O11" s="337"/>
      <c r="P11" s="340"/>
      <c r="Q11" s="341"/>
      <c r="R11" s="343"/>
      <c r="S11" s="99"/>
      <c r="T11" s="99"/>
      <c r="U11" s="297"/>
      <c r="V11" s="292"/>
      <c r="W11" s="293"/>
      <c r="X11" s="366"/>
      <c r="Y11" s="367"/>
      <c r="Z11" s="363"/>
      <c r="AA11" s="332"/>
      <c r="AB11" s="332"/>
      <c r="AC11" s="333"/>
      <c r="AD11" s="336"/>
      <c r="AE11" s="337"/>
      <c r="AF11" s="340"/>
      <c r="AG11" s="341"/>
      <c r="AH11" s="95" t="s">
        <v>440</v>
      </c>
      <c r="AI11" s="96"/>
      <c r="AJ11" s="96"/>
      <c r="AK11" s="97"/>
      <c r="AL11" s="106" t="s">
        <v>416</v>
      </c>
      <c r="AM11" s="106"/>
      <c r="AN11" s="106"/>
      <c r="AO11" s="107"/>
    </row>
    <row r="12" spans="2:41" ht="15.6" thickBot="1" x14ac:dyDescent="0.4">
      <c r="B12" s="19" t="str">
        <f>IF(M5=0," ","["&amp;LOOKUP(M5,职业列表!A2:A116,职业列表!B2:B116)&amp;"]的本职技能："&amp;LOOKUP(M5,职业列表!A2:A116,职业列表!F2:F116))</f>
        <v>[士兵、海军陆战队士兵]的本职技能：攀爬或游泳，闪避，格斗，射击，潜行，生存，下面任选两项：急救、机械维修、外语。</v>
      </c>
      <c r="D12" s="19"/>
      <c r="E12" s="20"/>
      <c r="F12" s="20"/>
      <c r="G12" s="20"/>
      <c r="H12" s="20"/>
      <c r="I12" s="20"/>
      <c r="J12" s="20"/>
      <c r="K12" s="16"/>
      <c r="L12" s="16"/>
      <c r="M12" s="16"/>
      <c r="N12" s="16"/>
      <c r="O12" s="16"/>
      <c r="P12" s="16"/>
      <c r="Q12" s="16"/>
      <c r="R12" s="16"/>
      <c r="S12" s="16"/>
      <c r="T12" s="16"/>
      <c r="U12" s="16"/>
      <c r="V12" s="16"/>
      <c r="W12" s="16"/>
      <c r="X12" s="16"/>
      <c r="Y12" s="16"/>
      <c r="Z12" s="16"/>
      <c r="AA12" s="16"/>
      <c r="AB12" s="16"/>
      <c r="AH12" s="16"/>
      <c r="AI12" s="16"/>
      <c r="AJ12" s="16"/>
      <c r="AK12" s="16"/>
      <c r="AL12" s="16"/>
      <c r="AM12" s="16"/>
      <c r="AN12" s="16"/>
    </row>
    <row r="13" spans="2:41" x14ac:dyDescent="0.25">
      <c r="B13" s="194" t="s">
        <v>14</v>
      </c>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195"/>
      <c r="AI13" s="195"/>
      <c r="AJ13" s="195"/>
      <c r="AK13" s="195"/>
      <c r="AL13" s="195"/>
      <c r="AM13" s="195"/>
      <c r="AN13" s="195"/>
      <c r="AO13" s="196"/>
    </row>
    <row r="14" spans="2:41" x14ac:dyDescent="0.25">
      <c r="B14" s="50"/>
      <c r="C14" s="250" t="s">
        <v>452</v>
      </c>
      <c r="D14" s="104"/>
      <c r="E14" s="104"/>
      <c r="F14" s="104"/>
      <c r="G14" s="105"/>
      <c r="H14" s="283" t="s">
        <v>7</v>
      </c>
      <c r="I14" s="283"/>
      <c r="J14" s="283" t="s">
        <v>12</v>
      </c>
      <c r="K14" s="283"/>
      <c r="L14" s="283" t="s">
        <v>2</v>
      </c>
      <c r="M14" s="283"/>
      <c r="N14" s="283" t="s">
        <v>8</v>
      </c>
      <c r="O14" s="283"/>
      <c r="P14" s="283" t="s">
        <v>9</v>
      </c>
      <c r="Q14" s="283"/>
      <c r="R14" s="283"/>
      <c r="S14" s="283"/>
      <c r="T14" s="283"/>
      <c r="U14" s="284"/>
      <c r="V14" s="51"/>
      <c r="W14" s="104" t="s">
        <v>452</v>
      </c>
      <c r="X14" s="104"/>
      <c r="Y14" s="104"/>
      <c r="Z14" s="104"/>
      <c r="AA14" s="105"/>
      <c r="AB14" s="283" t="s">
        <v>7</v>
      </c>
      <c r="AC14" s="283"/>
      <c r="AD14" s="283" t="s">
        <v>12</v>
      </c>
      <c r="AE14" s="283"/>
      <c r="AF14" s="283" t="s">
        <v>2</v>
      </c>
      <c r="AG14" s="283"/>
      <c r="AH14" s="283" t="s">
        <v>8</v>
      </c>
      <c r="AI14" s="283"/>
      <c r="AJ14" s="283" t="s">
        <v>9</v>
      </c>
      <c r="AK14" s="283"/>
      <c r="AL14" s="283"/>
      <c r="AM14" s="283"/>
      <c r="AN14" s="283"/>
      <c r="AO14" s="285"/>
    </row>
    <row r="15" spans="2:41" x14ac:dyDescent="0.25">
      <c r="B15" s="71" t="s">
        <v>525</v>
      </c>
      <c r="C15" s="249" t="s">
        <v>937</v>
      </c>
      <c r="D15" s="249"/>
      <c r="E15" s="249"/>
      <c r="F15" s="249"/>
      <c r="G15" s="249"/>
      <c r="H15" s="100">
        <v>5</v>
      </c>
      <c r="I15" s="100"/>
      <c r="J15" s="100"/>
      <c r="K15" s="100"/>
      <c r="L15" s="100"/>
      <c r="M15" s="100"/>
      <c r="N15" s="100"/>
      <c r="O15" s="100"/>
      <c r="P15" s="101">
        <f>SUM(H15:O15)</f>
        <v>5</v>
      </c>
      <c r="Q15" s="101"/>
      <c r="R15" s="101">
        <f>INT(P15/2)</f>
        <v>2</v>
      </c>
      <c r="S15" s="101"/>
      <c r="T15" s="101">
        <f>INT(P15/5)</f>
        <v>1</v>
      </c>
      <c r="U15" s="240"/>
      <c r="V15" s="72" t="s">
        <v>525</v>
      </c>
      <c r="W15" s="238" t="s">
        <v>10</v>
      </c>
      <c r="X15" s="238"/>
      <c r="Y15" s="238"/>
      <c r="Z15" s="238"/>
      <c r="AA15" s="238"/>
      <c r="AB15" s="100">
        <v>5</v>
      </c>
      <c r="AC15" s="100"/>
      <c r="AD15" s="100"/>
      <c r="AE15" s="100"/>
      <c r="AF15" s="100"/>
      <c r="AG15" s="100"/>
      <c r="AH15" s="100"/>
      <c r="AI15" s="100"/>
      <c r="AJ15" s="101">
        <f>SUM(AB15:AI15)</f>
        <v>5</v>
      </c>
      <c r="AK15" s="101"/>
      <c r="AL15" s="101">
        <f>INT(AJ15/2)</f>
        <v>2</v>
      </c>
      <c r="AM15" s="101"/>
      <c r="AN15" s="101">
        <f>INT(AJ15/5)</f>
        <v>1</v>
      </c>
      <c r="AO15" s="280"/>
    </row>
    <row r="16" spans="2:41" x14ac:dyDescent="0.25">
      <c r="B16" s="69" t="s">
        <v>525</v>
      </c>
      <c r="C16" s="245" t="s">
        <v>367</v>
      </c>
      <c r="D16" s="245"/>
      <c r="E16" s="245"/>
      <c r="F16" s="245"/>
      <c r="G16" s="245"/>
      <c r="H16" s="90">
        <v>1</v>
      </c>
      <c r="I16" s="90"/>
      <c r="J16" s="90"/>
      <c r="K16" s="90"/>
      <c r="L16" s="90"/>
      <c r="M16" s="90"/>
      <c r="N16" s="90"/>
      <c r="O16" s="90"/>
      <c r="P16" s="91">
        <f>SUM(H16:O16)</f>
        <v>1</v>
      </c>
      <c r="Q16" s="91"/>
      <c r="R16" s="91">
        <f>INT(P16/2)</f>
        <v>0</v>
      </c>
      <c r="S16" s="91"/>
      <c r="T16" s="91">
        <f>INT(P16/5)</f>
        <v>0</v>
      </c>
      <c r="U16" s="239"/>
      <c r="V16" s="68" t="s">
        <v>525</v>
      </c>
      <c r="W16" s="245" t="s">
        <v>500</v>
      </c>
      <c r="X16" s="245"/>
      <c r="Y16" s="245"/>
      <c r="Z16" s="245"/>
      <c r="AA16" s="245"/>
      <c r="AB16" s="90">
        <v>20</v>
      </c>
      <c r="AC16" s="90"/>
      <c r="AD16" s="90"/>
      <c r="AE16" s="90"/>
      <c r="AF16" s="90"/>
      <c r="AG16" s="90"/>
      <c r="AH16" s="90"/>
      <c r="AI16" s="90"/>
      <c r="AJ16" s="91">
        <f>SUM(AB16:AI16)</f>
        <v>20</v>
      </c>
      <c r="AK16" s="91"/>
      <c r="AL16" s="91">
        <f>INT(AJ16/2)</f>
        <v>10</v>
      </c>
      <c r="AM16" s="91"/>
      <c r="AN16" s="91">
        <f>INT(AJ16/5)</f>
        <v>4</v>
      </c>
      <c r="AO16" s="124"/>
    </row>
    <row r="17" spans="2:41" x14ac:dyDescent="0.25">
      <c r="B17" s="71" t="s">
        <v>525</v>
      </c>
      <c r="C17" s="249" t="s">
        <v>951</v>
      </c>
      <c r="D17" s="249"/>
      <c r="E17" s="249"/>
      <c r="F17" s="249"/>
      <c r="G17" s="249"/>
      <c r="H17" s="100">
        <v>5</v>
      </c>
      <c r="I17" s="100"/>
      <c r="J17" s="100"/>
      <c r="K17" s="100"/>
      <c r="L17" s="100"/>
      <c r="M17" s="100"/>
      <c r="N17" s="100"/>
      <c r="O17" s="100"/>
      <c r="P17" s="101">
        <f t="shared" ref="P17:P46" si="8">SUM(H17:O17)</f>
        <v>5</v>
      </c>
      <c r="Q17" s="101"/>
      <c r="R17" s="101">
        <f t="shared" ref="R17:R46" si="9">INT(P17/2)</f>
        <v>2</v>
      </c>
      <c r="S17" s="101"/>
      <c r="T17" s="101">
        <f t="shared" ref="T17:T46" si="10">INT(P17/5)</f>
        <v>1</v>
      </c>
      <c r="U17" s="240"/>
      <c r="V17" s="72" t="s">
        <v>525</v>
      </c>
      <c r="W17" s="238" t="s">
        <v>378</v>
      </c>
      <c r="X17" s="238"/>
      <c r="Y17" s="238"/>
      <c r="Z17" s="238"/>
      <c r="AA17" s="238"/>
      <c r="AB17" s="100">
        <v>20</v>
      </c>
      <c r="AC17" s="100"/>
      <c r="AD17" s="102"/>
      <c r="AE17" s="103"/>
      <c r="AF17" s="100"/>
      <c r="AG17" s="100"/>
      <c r="AH17" s="100"/>
      <c r="AI17" s="100"/>
      <c r="AJ17" s="101">
        <f t="shared" ref="AJ17:AJ46" si="11">SUM(AB17:AI17)</f>
        <v>20</v>
      </c>
      <c r="AK17" s="101"/>
      <c r="AL17" s="101">
        <f t="shared" ref="AL17:AL46" si="12">INT(AJ17/2)</f>
        <v>10</v>
      </c>
      <c r="AM17" s="101"/>
      <c r="AN17" s="101">
        <f t="shared" ref="AN17:AN46" si="13">INT(AJ17/5)</f>
        <v>4</v>
      </c>
      <c r="AO17" s="280"/>
    </row>
    <row r="18" spans="2:41" x14ac:dyDescent="0.25">
      <c r="B18" s="69" t="s">
        <v>525</v>
      </c>
      <c r="C18" s="245" t="s">
        <v>368</v>
      </c>
      <c r="D18" s="245"/>
      <c r="E18" s="245"/>
      <c r="F18" s="245"/>
      <c r="G18" s="245"/>
      <c r="H18" s="90">
        <v>1</v>
      </c>
      <c r="I18" s="90"/>
      <c r="J18" s="90"/>
      <c r="K18" s="90"/>
      <c r="L18" s="90"/>
      <c r="M18" s="90"/>
      <c r="N18" s="90"/>
      <c r="O18" s="90"/>
      <c r="P18" s="91">
        <f t="shared" si="8"/>
        <v>1</v>
      </c>
      <c r="Q18" s="91"/>
      <c r="R18" s="91">
        <f t="shared" si="9"/>
        <v>0</v>
      </c>
      <c r="S18" s="91"/>
      <c r="T18" s="91">
        <f t="shared" si="10"/>
        <v>0</v>
      </c>
      <c r="U18" s="239"/>
      <c r="V18" s="68" t="s">
        <v>525</v>
      </c>
      <c r="W18" s="245" t="s">
        <v>379</v>
      </c>
      <c r="X18" s="245"/>
      <c r="Y18" s="245"/>
      <c r="Z18" s="245"/>
      <c r="AA18" s="245"/>
      <c r="AB18" s="90">
        <v>1</v>
      </c>
      <c r="AC18" s="90"/>
      <c r="AD18" s="88"/>
      <c r="AE18" s="89"/>
      <c r="AF18" s="90"/>
      <c r="AG18" s="90"/>
      <c r="AH18" s="90"/>
      <c r="AI18" s="90"/>
      <c r="AJ18" s="91">
        <f t="shared" si="11"/>
        <v>1</v>
      </c>
      <c r="AK18" s="91"/>
      <c r="AL18" s="91">
        <f t="shared" si="12"/>
        <v>0</v>
      </c>
      <c r="AM18" s="91"/>
      <c r="AN18" s="91">
        <f t="shared" si="13"/>
        <v>0</v>
      </c>
      <c r="AO18" s="124"/>
    </row>
    <row r="19" spans="2:41" ht="13.95" customHeight="1" x14ac:dyDescent="0.25">
      <c r="B19" s="71" t="s">
        <v>525</v>
      </c>
      <c r="C19" s="144" t="s">
        <v>394</v>
      </c>
      <c r="D19" s="145"/>
      <c r="E19" s="241"/>
      <c r="F19" s="241"/>
      <c r="G19" s="242"/>
      <c r="H19" s="100">
        <v>5</v>
      </c>
      <c r="I19" s="100"/>
      <c r="J19" s="100"/>
      <c r="K19" s="100"/>
      <c r="L19" s="100"/>
      <c r="M19" s="100"/>
      <c r="N19" s="100"/>
      <c r="O19" s="100"/>
      <c r="P19" s="101">
        <f t="shared" si="8"/>
        <v>5</v>
      </c>
      <c r="Q19" s="101"/>
      <c r="R19" s="101">
        <f t="shared" si="9"/>
        <v>2</v>
      </c>
      <c r="S19" s="101"/>
      <c r="T19" s="101">
        <f t="shared" si="10"/>
        <v>1</v>
      </c>
      <c r="U19" s="240"/>
      <c r="V19" s="72" t="s">
        <v>525</v>
      </c>
      <c r="W19" s="238" t="s">
        <v>380</v>
      </c>
      <c r="X19" s="238"/>
      <c r="Y19" s="238"/>
      <c r="Z19" s="238"/>
      <c r="AA19" s="238"/>
      <c r="AB19" s="100">
        <v>10</v>
      </c>
      <c r="AC19" s="100"/>
      <c r="AD19" s="102"/>
      <c r="AE19" s="103"/>
      <c r="AF19" s="100">
        <v>60</v>
      </c>
      <c r="AG19" s="100"/>
      <c r="AH19" s="100">
        <v>15</v>
      </c>
      <c r="AI19" s="100"/>
      <c r="AJ19" s="101">
        <f t="shared" si="11"/>
        <v>85</v>
      </c>
      <c r="AK19" s="101"/>
      <c r="AL19" s="101">
        <f t="shared" si="12"/>
        <v>42</v>
      </c>
      <c r="AM19" s="101"/>
      <c r="AN19" s="101">
        <f t="shared" si="13"/>
        <v>17</v>
      </c>
      <c r="AO19" s="280"/>
    </row>
    <row r="20" spans="2:41" ht="16.5" customHeight="1" x14ac:dyDescent="0.25">
      <c r="B20" s="69" t="s">
        <v>525</v>
      </c>
      <c r="C20" s="146" t="s">
        <v>394</v>
      </c>
      <c r="D20" s="147"/>
      <c r="E20" s="88"/>
      <c r="F20" s="253"/>
      <c r="G20" s="89"/>
      <c r="H20" s="90">
        <v>5</v>
      </c>
      <c r="I20" s="90"/>
      <c r="J20" s="90"/>
      <c r="K20" s="90"/>
      <c r="L20" s="90"/>
      <c r="M20" s="90"/>
      <c r="N20" s="90"/>
      <c r="O20" s="90"/>
      <c r="P20" s="91">
        <f t="shared" si="8"/>
        <v>5</v>
      </c>
      <c r="Q20" s="91"/>
      <c r="R20" s="91">
        <f t="shared" si="9"/>
        <v>2</v>
      </c>
      <c r="S20" s="91"/>
      <c r="T20" s="91">
        <f t="shared" si="10"/>
        <v>1</v>
      </c>
      <c r="U20" s="239"/>
      <c r="V20" s="68" t="s">
        <v>525</v>
      </c>
      <c r="W20" s="245" t="s">
        <v>952</v>
      </c>
      <c r="X20" s="245"/>
      <c r="Y20" s="245"/>
      <c r="Z20" s="245"/>
      <c r="AA20" s="245"/>
      <c r="AB20" s="90">
        <v>1</v>
      </c>
      <c r="AC20" s="90"/>
      <c r="AD20" s="88"/>
      <c r="AE20" s="89"/>
      <c r="AF20" s="90"/>
      <c r="AG20" s="90"/>
      <c r="AH20" s="90"/>
      <c r="AI20" s="90"/>
      <c r="AJ20" s="91">
        <f t="shared" si="11"/>
        <v>1</v>
      </c>
      <c r="AK20" s="91"/>
      <c r="AL20" s="91">
        <f t="shared" si="12"/>
        <v>0</v>
      </c>
      <c r="AM20" s="91"/>
      <c r="AN20" s="91">
        <f t="shared" si="13"/>
        <v>0</v>
      </c>
      <c r="AO20" s="124"/>
    </row>
    <row r="21" spans="2:41" ht="16.5" customHeight="1" x14ac:dyDescent="0.25">
      <c r="B21" s="71" t="s">
        <v>525</v>
      </c>
      <c r="C21" s="144" t="s">
        <v>938</v>
      </c>
      <c r="D21" s="145"/>
      <c r="E21" s="241"/>
      <c r="F21" s="241"/>
      <c r="G21" s="242"/>
      <c r="H21" s="100">
        <v>5</v>
      </c>
      <c r="I21" s="100"/>
      <c r="J21" s="100"/>
      <c r="K21" s="100"/>
      <c r="L21" s="100"/>
      <c r="M21" s="100"/>
      <c r="N21" s="100"/>
      <c r="O21" s="100"/>
      <c r="P21" s="101">
        <f t="shared" si="8"/>
        <v>5</v>
      </c>
      <c r="Q21" s="101"/>
      <c r="R21" s="101">
        <f t="shared" si="9"/>
        <v>2</v>
      </c>
      <c r="S21" s="101"/>
      <c r="T21" s="101">
        <f t="shared" si="10"/>
        <v>1</v>
      </c>
      <c r="U21" s="240"/>
      <c r="V21" s="72" t="s">
        <v>525</v>
      </c>
      <c r="W21" s="238" t="s">
        <v>524</v>
      </c>
      <c r="X21" s="238"/>
      <c r="Y21" s="238"/>
      <c r="Z21" s="238"/>
      <c r="AA21" s="238"/>
      <c r="AB21" s="100">
        <v>10</v>
      </c>
      <c r="AC21" s="100"/>
      <c r="AD21" s="102"/>
      <c r="AE21" s="103"/>
      <c r="AF21" s="100"/>
      <c r="AG21" s="100"/>
      <c r="AH21" s="100"/>
      <c r="AI21" s="100"/>
      <c r="AJ21" s="101">
        <f t="shared" si="11"/>
        <v>10</v>
      </c>
      <c r="AK21" s="101"/>
      <c r="AL21" s="101">
        <f t="shared" si="12"/>
        <v>5</v>
      </c>
      <c r="AM21" s="101"/>
      <c r="AN21" s="101">
        <f t="shared" si="13"/>
        <v>2</v>
      </c>
      <c r="AO21" s="280"/>
    </row>
    <row r="22" spans="2:41" x14ac:dyDescent="0.25">
      <c r="B22" s="69" t="s">
        <v>525</v>
      </c>
      <c r="C22" s="245" t="s">
        <v>936</v>
      </c>
      <c r="D22" s="245"/>
      <c r="E22" s="245"/>
      <c r="F22" s="245"/>
      <c r="G22" s="245"/>
      <c r="H22" s="90">
        <v>15</v>
      </c>
      <c r="I22" s="90"/>
      <c r="J22" s="90"/>
      <c r="K22" s="90"/>
      <c r="L22" s="90"/>
      <c r="M22" s="90"/>
      <c r="N22" s="90"/>
      <c r="O22" s="90"/>
      <c r="P22" s="91">
        <f t="shared" si="8"/>
        <v>15</v>
      </c>
      <c r="Q22" s="91"/>
      <c r="R22" s="91">
        <f t="shared" si="9"/>
        <v>7</v>
      </c>
      <c r="S22" s="91"/>
      <c r="T22" s="91">
        <f t="shared" si="10"/>
        <v>3</v>
      </c>
      <c r="U22" s="239"/>
      <c r="V22" s="68" t="s">
        <v>525</v>
      </c>
      <c r="W22" s="245" t="s">
        <v>381</v>
      </c>
      <c r="X22" s="245"/>
      <c r="Y22" s="245"/>
      <c r="Z22" s="245"/>
      <c r="AA22" s="245"/>
      <c r="AB22" s="90">
        <v>10</v>
      </c>
      <c r="AC22" s="90"/>
      <c r="AD22" s="88"/>
      <c r="AE22" s="89"/>
      <c r="AF22" s="90"/>
      <c r="AG22" s="90"/>
      <c r="AH22" s="90"/>
      <c r="AI22" s="90"/>
      <c r="AJ22" s="91">
        <f t="shared" si="11"/>
        <v>10</v>
      </c>
      <c r="AK22" s="91"/>
      <c r="AL22" s="91">
        <f t="shared" si="12"/>
        <v>5</v>
      </c>
      <c r="AM22" s="91"/>
      <c r="AN22" s="91">
        <f t="shared" si="13"/>
        <v>2</v>
      </c>
      <c r="AO22" s="124"/>
    </row>
    <row r="23" spans="2:41" x14ac:dyDescent="0.25">
      <c r="B23" s="71" t="s">
        <v>525</v>
      </c>
      <c r="C23" s="249" t="s">
        <v>369</v>
      </c>
      <c r="D23" s="249"/>
      <c r="E23" s="249"/>
      <c r="F23" s="249"/>
      <c r="G23" s="249"/>
      <c r="H23" s="100">
        <v>20</v>
      </c>
      <c r="I23" s="100"/>
      <c r="J23" s="102"/>
      <c r="K23" s="103"/>
      <c r="L23" s="100">
        <v>50</v>
      </c>
      <c r="M23" s="100"/>
      <c r="N23" s="100"/>
      <c r="O23" s="100"/>
      <c r="P23" s="101">
        <f t="shared" si="8"/>
        <v>70</v>
      </c>
      <c r="Q23" s="101"/>
      <c r="R23" s="101">
        <f t="shared" si="9"/>
        <v>35</v>
      </c>
      <c r="S23" s="101"/>
      <c r="T23" s="101">
        <f t="shared" si="10"/>
        <v>14</v>
      </c>
      <c r="U23" s="240"/>
      <c r="V23" s="72" t="s">
        <v>525</v>
      </c>
      <c r="W23" s="238" t="s">
        <v>382</v>
      </c>
      <c r="X23" s="238"/>
      <c r="Y23" s="238"/>
      <c r="Z23" s="238"/>
      <c r="AA23" s="238"/>
      <c r="AB23" s="100">
        <v>5</v>
      </c>
      <c r="AC23" s="100"/>
      <c r="AD23" s="102"/>
      <c r="AE23" s="103"/>
      <c r="AF23" s="100"/>
      <c r="AG23" s="100"/>
      <c r="AH23" s="100"/>
      <c r="AI23" s="100"/>
      <c r="AJ23" s="101">
        <f t="shared" si="11"/>
        <v>5</v>
      </c>
      <c r="AK23" s="101"/>
      <c r="AL23" s="101">
        <f t="shared" si="12"/>
        <v>2</v>
      </c>
      <c r="AM23" s="101"/>
      <c r="AN23" s="101">
        <f t="shared" si="13"/>
        <v>1</v>
      </c>
      <c r="AO23" s="280"/>
    </row>
    <row r="24" spans="2:41" x14ac:dyDescent="0.25">
      <c r="B24" s="69" t="s">
        <v>525</v>
      </c>
      <c r="C24" s="245" t="s">
        <v>557</v>
      </c>
      <c r="D24" s="245"/>
      <c r="E24" s="245"/>
      <c r="F24" s="245"/>
      <c r="G24" s="245"/>
      <c r="H24" s="90">
        <v>5</v>
      </c>
      <c r="I24" s="90"/>
      <c r="J24" s="88"/>
      <c r="K24" s="89"/>
      <c r="L24" s="90"/>
      <c r="M24" s="90"/>
      <c r="N24" s="90"/>
      <c r="O24" s="90"/>
      <c r="P24" s="91">
        <f t="shared" si="8"/>
        <v>5</v>
      </c>
      <c r="Q24" s="91"/>
      <c r="R24" s="91">
        <f t="shared" si="9"/>
        <v>2</v>
      </c>
      <c r="S24" s="91"/>
      <c r="T24" s="91">
        <f t="shared" si="10"/>
        <v>1</v>
      </c>
      <c r="U24" s="239"/>
      <c r="V24" s="68" t="s">
        <v>525</v>
      </c>
      <c r="W24" s="245" t="s">
        <v>383</v>
      </c>
      <c r="X24" s="245"/>
      <c r="Y24" s="245"/>
      <c r="Z24" s="245"/>
      <c r="AA24" s="245"/>
      <c r="AB24" s="90">
        <v>1</v>
      </c>
      <c r="AC24" s="90"/>
      <c r="AD24" s="88"/>
      <c r="AE24" s="89"/>
      <c r="AF24" s="90"/>
      <c r="AG24" s="90"/>
      <c r="AH24" s="90"/>
      <c r="AI24" s="90"/>
      <c r="AJ24" s="91">
        <f t="shared" si="11"/>
        <v>1</v>
      </c>
      <c r="AK24" s="91"/>
      <c r="AL24" s="91">
        <f t="shared" si="12"/>
        <v>0</v>
      </c>
      <c r="AM24" s="91"/>
      <c r="AN24" s="91">
        <f t="shared" si="13"/>
        <v>0</v>
      </c>
      <c r="AO24" s="124"/>
    </row>
    <row r="25" spans="2:41" x14ac:dyDescent="0.25">
      <c r="B25" s="71"/>
      <c r="C25" s="249" t="s">
        <v>499</v>
      </c>
      <c r="D25" s="249"/>
      <c r="E25" s="249"/>
      <c r="F25" s="249"/>
      <c r="G25" s="249"/>
      <c r="H25" s="100">
        <v>0</v>
      </c>
      <c r="I25" s="100"/>
      <c r="J25" s="102">
        <v>9</v>
      </c>
      <c r="K25" s="103"/>
      <c r="L25" s="100">
        <v>1</v>
      </c>
      <c r="M25" s="100"/>
      <c r="N25" s="100"/>
      <c r="O25" s="100"/>
      <c r="P25" s="101">
        <f t="shared" si="8"/>
        <v>10</v>
      </c>
      <c r="Q25" s="101"/>
      <c r="R25" s="101">
        <f t="shared" si="9"/>
        <v>5</v>
      </c>
      <c r="S25" s="101"/>
      <c r="T25" s="101">
        <f t="shared" si="10"/>
        <v>2</v>
      </c>
      <c r="U25" s="240"/>
      <c r="V25" s="72" t="s">
        <v>525</v>
      </c>
      <c r="W25" s="238" t="s">
        <v>80</v>
      </c>
      <c r="X25" s="238"/>
      <c r="Y25" s="238"/>
      <c r="Z25" s="238"/>
      <c r="AA25" s="238"/>
      <c r="AB25" s="100">
        <v>10</v>
      </c>
      <c r="AC25" s="100"/>
      <c r="AD25" s="102"/>
      <c r="AE25" s="103"/>
      <c r="AF25" s="100"/>
      <c r="AG25" s="100"/>
      <c r="AH25" s="100"/>
      <c r="AI25" s="100"/>
      <c r="AJ25" s="101">
        <f t="shared" si="11"/>
        <v>10</v>
      </c>
      <c r="AK25" s="101"/>
      <c r="AL25" s="101">
        <f t="shared" si="12"/>
        <v>5</v>
      </c>
      <c r="AM25" s="101"/>
      <c r="AN25" s="101">
        <f t="shared" si="13"/>
        <v>2</v>
      </c>
      <c r="AO25" s="280"/>
    </row>
    <row r="26" spans="2:41" x14ac:dyDescent="0.25">
      <c r="B26" s="69"/>
      <c r="C26" s="245" t="s">
        <v>370</v>
      </c>
      <c r="D26" s="245"/>
      <c r="E26" s="245"/>
      <c r="F26" s="245"/>
      <c r="G26" s="245"/>
      <c r="H26" s="90">
        <v>0</v>
      </c>
      <c r="I26" s="90"/>
      <c r="J26" s="88"/>
      <c r="K26" s="89"/>
      <c r="L26" s="90" t="s">
        <v>415</v>
      </c>
      <c r="M26" s="90"/>
      <c r="N26" s="90" t="s">
        <v>415</v>
      </c>
      <c r="O26" s="90" t="s">
        <v>35</v>
      </c>
      <c r="P26" s="91">
        <f t="shared" si="8"/>
        <v>0</v>
      </c>
      <c r="Q26" s="91"/>
      <c r="R26" s="91">
        <f t="shared" si="9"/>
        <v>0</v>
      </c>
      <c r="S26" s="91"/>
      <c r="T26" s="91">
        <f t="shared" si="10"/>
        <v>0</v>
      </c>
      <c r="U26" s="239"/>
      <c r="V26" s="68" t="s">
        <v>525</v>
      </c>
      <c r="W26" s="251" t="s">
        <v>399</v>
      </c>
      <c r="X26" s="252"/>
      <c r="Y26" s="256"/>
      <c r="Z26" s="256"/>
      <c r="AA26" s="257"/>
      <c r="AB26" s="90">
        <v>1</v>
      </c>
      <c r="AC26" s="90"/>
      <c r="AD26" s="88"/>
      <c r="AE26" s="89"/>
      <c r="AF26" s="90"/>
      <c r="AG26" s="90"/>
      <c r="AH26" s="90"/>
      <c r="AI26" s="90"/>
      <c r="AJ26" s="91">
        <f t="shared" si="11"/>
        <v>1</v>
      </c>
      <c r="AK26" s="91"/>
      <c r="AL26" s="91">
        <f t="shared" si="12"/>
        <v>0</v>
      </c>
      <c r="AM26" s="91"/>
      <c r="AN26" s="91">
        <f t="shared" si="13"/>
        <v>0</v>
      </c>
      <c r="AO26" s="124"/>
    </row>
    <row r="27" spans="2:41" x14ac:dyDescent="0.25">
      <c r="B27" s="71" t="s">
        <v>525</v>
      </c>
      <c r="C27" s="249" t="s">
        <v>371</v>
      </c>
      <c r="D27" s="249"/>
      <c r="E27" s="249"/>
      <c r="F27" s="249"/>
      <c r="G27" s="249"/>
      <c r="H27" s="100">
        <v>5</v>
      </c>
      <c r="I27" s="100"/>
      <c r="J27" s="102"/>
      <c r="K27" s="103"/>
      <c r="L27" s="100"/>
      <c r="M27" s="100"/>
      <c r="N27" s="100"/>
      <c r="O27" s="100"/>
      <c r="P27" s="101">
        <f t="shared" si="8"/>
        <v>5</v>
      </c>
      <c r="Q27" s="101"/>
      <c r="R27" s="101">
        <f t="shared" si="9"/>
        <v>2</v>
      </c>
      <c r="S27" s="101"/>
      <c r="T27" s="101">
        <f t="shared" si="10"/>
        <v>1</v>
      </c>
      <c r="U27" s="240"/>
      <c r="V27" s="72" t="s">
        <v>525</v>
      </c>
      <c r="W27" s="238" t="s">
        <v>384</v>
      </c>
      <c r="X27" s="238"/>
      <c r="Y27" s="238"/>
      <c r="Z27" s="238"/>
      <c r="AA27" s="238"/>
      <c r="AB27" s="100">
        <v>1</v>
      </c>
      <c r="AC27" s="100"/>
      <c r="AD27" s="102"/>
      <c r="AE27" s="103"/>
      <c r="AF27" s="100"/>
      <c r="AG27" s="100"/>
      <c r="AH27" s="100"/>
      <c r="AI27" s="100"/>
      <c r="AJ27" s="101">
        <f t="shared" si="11"/>
        <v>1</v>
      </c>
      <c r="AK27" s="101"/>
      <c r="AL27" s="101">
        <f t="shared" si="12"/>
        <v>0</v>
      </c>
      <c r="AM27" s="101"/>
      <c r="AN27" s="101">
        <f t="shared" si="13"/>
        <v>0</v>
      </c>
      <c r="AO27" s="280"/>
    </row>
    <row r="28" spans="2:41" x14ac:dyDescent="0.25">
      <c r="B28" s="69" t="s">
        <v>586</v>
      </c>
      <c r="C28" s="245" t="s">
        <v>372</v>
      </c>
      <c r="D28" s="245"/>
      <c r="E28" s="245"/>
      <c r="F28" s="245"/>
      <c r="G28" s="245"/>
      <c r="H28" s="90">
        <f>INT(Y3/2)</f>
        <v>45</v>
      </c>
      <c r="I28" s="90"/>
      <c r="J28" s="88"/>
      <c r="K28" s="89"/>
      <c r="L28" s="90">
        <v>50</v>
      </c>
      <c r="M28" s="90"/>
      <c r="N28" s="90"/>
      <c r="O28" s="90"/>
      <c r="P28" s="91">
        <f t="shared" si="8"/>
        <v>95</v>
      </c>
      <c r="Q28" s="91"/>
      <c r="R28" s="91">
        <f t="shared" si="9"/>
        <v>47</v>
      </c>
      <c r="S28" s="91"/>
      <c r="T28" s="91">
        <f t="shared" si="10"/>
        <v>19</v>
      </c>
      <c r="U28" s="239"/>
      <c r="V28" s="68" t="s">
        <v>525</v>
      </c>
      <c r="W28" s="245" t="s">
        <v>385</v>
      </c>
      <c r="X28" s="245"/>
      <c r="Y28" s="245"/>
      <c r="Z28" s="245"/>
      <c r="AA28" s="245"/>
      <c r="AB28" s="90">
        <v>10</v>
      </c>
      <c r="AC28" s="90"/>
      <c r="AD28" s="88"/>
      <c r="AE28" s="89"/>
      <c r="AF28" s="90"/>
      <c r="AG28" s="90"/>
      <c r="AH28" s="90"/>
      <c r="AI28" s="90"/>
      <c r="AJ28" s="91">
        <f t="shared" si="11"/>
        <v>10</v>
      </c>
      <c r="AK28" s="91"/>
      <c r="AL28" s="91">
        <f t="shared" si="12"/>
        <v>5</v>
      </c>
      <c r="AM28" s="91"/>
      <c r="AN28" s="91">
        <f t="shared" si="13"/>
        <v>2</v>
      </c>
      <c r="AO28" s="124"/>
    </row>
    <row r="29" spans="2:41" x14ac:dyDescent="0.25">
      <c r="B29" s="71" t="s">
        <v>525</v>
      </c>
      <c r="C29" s="249" t="s">
        <v>373</v>
      </c>
      <c r="D29" s="249"/>
      <c r="E29" s="249"/>
      <c r="F29" s="249"/>
      <c r="G29" s="249"/>
      <c r="H29" s="100">
        <v>20</v>
      </c>
      <c r="I29" s="100"/>
      <c r="J29" s="102"/>
      <c r="K29" s="103"/>
      <c r="L29" s="100"/>
      <c r="M29" s="100"/>
      <c r="N29" s="100"/>
      <c r="O29" s="100"/>
      <c r="P29" s="101">
        <f t="shared" si="8"/>
        <v>20</v>
      </c>
      <c r="Q29" s="101"/>
      <c r="R29" s="101">
        <f t="shared" si="9"/>
        <v>10</v>
      </c>
      <c r="S29" s="101"/>
      <c r="T29" s="101">
        <f t="shared" si="10"/>
        <v>4</v>
      </c>
      <c r="U29" s="240"/>
      <c r="V29" s="72" t="s">
        <v>525</v>
      </c>
      <c r="W29" s="238" t="s">
        <v>386</v>
      </c>
      <c r="X29" s="238"/>
      <c r="Y29" s="238"/>
      <c r="Z29" s="238"/>
      <c r="AA29" s="238"/>
      <c r="AB29" s="100">
        <v>5</v>
      </c>
      <c r="AC29" s="100"/>
      <c r="AD29" s="102"/>
      <c r="AE29" s="103"/>
      <c r="AF29" s="100"/>
      <c r="AG29" s="100"/>
      <c r="AH29" s="100"/>
      <c r="AI29" s="100"/>
      <c r="AJ29" s="101">
        <f t="shared" si="11"/>
        <v>5</v>
      </c>
      <c r="AK29" s="101"/>
      <c r="AL29" s="101">
        <f t="shared" si="12"/>
        <v>2</v>
      </c>
      <c r="AM29" s="101"/>
      <c r="AN29" s="101">
        <f t="shared" si="13"/>
        <v>1</v>
      </c>
      <c r="AO29" s="280"/>
    </row>
    <row r="30" spans="2:41" x14ac:dyDescent="0.25">
      <c r="B30" s="69" t="s">
        <v>525</v>
      </c>
      <c r="C30" s="245" t="s">
        <v>374</v>
      </c>
      <c r="D30" s="245"/>
      <c r="E30" s="245"/>
      <c r="F30" s="245"/>
      <c r="G30" s="245"/>
      <c r="H30" s="90">
        <v>10</v>
      </c>
      <c r="I30" s="90"/>
      <c r="J30" s="88"/>
      <c r="K30" s="89"/>
      <c r="L30" s="90"/>
      <c r="M30" s="90"/>
      <c r="N30" s="344"/>
      <c r="O30" s="345"/>
      <c r="P30" s="91">
        <f t="shared" si="8"/>
        <v>10</v>
      </c>
      <c r="Q30" s="91"/>
      <c r="R30" s="91">
        <f t="shared" si="9"/>
        <v>5</v>
      </c>
      <c r="S30" s="91"/>
      <c r="T30" s="91">
        <f t="shared" si="10"/>
        <v>2</v>
      </c>
      <c r="U30" s="239"/>
      <c r="V30" s="68" t="s">
        <v>525</v>
      </c>
      <c r="W30" s="234" t="s">
        <v>398</v>
      </c>
      <c r="X30" s="235"/>
      <c r="Y30" s="232"/>
      <c r="Z30" s="232"/>
      <c r="AA30" s="233"/>
      <c r="AB30" s="90">
        <v>1</v>
      </c>
      <c r="AC30" s="90"/>
      <c r="AD30" s="88"/>
      <c r="AE30" s="89"/>
      <c r="AF30" s="90"/>
      <c r="AG30" s="90"/>
      <c r="AH30" s="90"/>
      <c r="AI30" s="90"/>
      <c r="AJ30" s="91">
        <f t="shared" si="11"/>
        <v>1</v>
      </c>
      <c r="AK30" s="91"/>
      <c r="AL30" s="91">
        <f t="shared" si="12"/>
        <v>0</v>
      </c>
      <c r="AM30" s="91"/>
      <c r="AN30" s="91">
        <f t="shared" si="13"/>
        <v>0</v>
      </c>
      <c r="AO30" s="124"/>
    </row>
    <row r="31" spans="2:41" x14ac:dyDescent="0.25">
      <c r="B31" s="71" t="s">
        <v>525</v>
      </c>
      <c r="C31" s="249" t="s">
        <v>558</v>
      </c>
      <c r="D31" s="249"/>
      <c r="E31" s="249"/>
      <c r="F31" s="249"/>
      <c r="G31" s="249"/>
      <c r="H31" s="100">
        <v>1</v>
      </c>
      <c r="I31" s="100"/>
      <c r="J31" s="102"/>
      <c r="K31" s="103"/>
      <c r="L31" s="100"/>
      <c r="M31" s="100"/>
      <c r="N31" s="100"/>
      <c r="O31" s="100"/>
      <c r="P31" s="101">
        <f t="shared" si="8"/>
        <v>1</v>
      </c>
      <c r="Q31" s="101"/>
      <c r="R31" s="101">
        <f t="shared" si="9"/>
        <v>0</v>
      </c>
      <c r="S31" s="101"/>
      <c r="T31" s="101">
        <f t="shared" si="10"/>
        <v>0</v>
      </c>
      <c r="U31" s="240"/>
      <c r="V31" s="72" t="s">
        <v>525</v>
      </c>
      <c r="W31" s="236" t="s">
        <v>398</v>
      </c>
      <c r="X31" s="237"/>
      <c r="Y31" s="102"/>
      <c r="Z31" s="279"/>
      <c r="AA31" s="103"/>
      <c r="AB31" s="100">
        <v>1</v>
      </c>
      <c r="AC31" s="100"/>
      <c r="AD31" s="102"/>
      <c r="AE31" s="103"/>
      <c r="AF31" s="100"/>
      <c r="AG31" s="100"/>
      <c r="AH31" s="100"/>
      <c r="AI31" s="100"/>
      <c r="AJ31" s="101">
        <f t="shared" si="11"/>
        <v>1</v>
      </c>
      <c r="AK31" s="101"/>
      <c r="AL31" s="101">
        <f t="shared" si="12"/>
        <v>0</v>
      </c>
      <c r="AM31" s="101"/>
      <c r="AN31" s="101">
        <f t="shared" si="13"/>
        <v>0</v>
      </c>
      <c r="AO31" s="280"/>
    </row>
    <row r="32" spans="2:41" x14ac:dyDescent="0.25">
      <c r="B32" s="69" t="s">
        <v>525</v>
      </c>
      <c r="C32" s="245" t="s">
        <v>375</v>
      </c>
      <c r="D32" s="245"/>
      <c r="E32" s="245"/>
      <c r="F32" s="245"/>
      <c r="G32" s="245"/>
      <c r="H32" s="90">
        <v>5</v>
      </c>
      <c r="I32" s="90"/>
      <c r="J32" s="88"/>
      <c r="K32" s="89"/>
      <c r="L32" s="90"/>
      <c r="M32" s="90"/>
      <c r="N32" s="90"/>
      <c r="O32" s="90"/>
      <c r="P32" s="91">
        <f t="shared" si="8"/>
        <v>5</v>
      </c>
      <c r="Q32" s="91"/>
      <c r="R32" s="91">
        <f t="shared" si="9"/>
        <v>2</v>
      </c>
      <c r="S32" s="91"/>
      <c r="T32" s="91">
        <f t="shared" si="10"/>
        <v>1</v>
      </c>
      <c r="U32" s="239"/>
      <c r="V32" s="68" t="s">
        <v>525</v>
      </c>
      <c r="W32" s="234" t="s">
        <v>398</v>
      </c>
      <c r="X32" s="235"/>
      <c r="Y32" s="232" t="s">
        <v>945</v>
      </c>
      <c r="Z32" s="232"/>
      <c r="AA32" s="233"/>
      <c r="AB32" s="90">
        <v>1</v>
      </c>
      <c r="AC32" s="90"/>
      <c r="AD32" s="88"/>
      <c r="AE32" s="89"/>
      <c r="AF32" s="90"/>
      <c r="AG32" s="90"/>
      <c r="AH32" s="90"/>
      <c r="AI32" s="90"/>
      <c r="AJ32" s="91">
        <f t="shared" si="11"/>
        <v>1</v>
      </c>
      <c r="AK32" s="91"/>
      <c r="AL32" s="91">
        <f t="shared" si="12"/>
        <v>0</v>
      </c>
      <c r="AM32" s="91"/>
      <c r="AN32" s="91">
        <f t="shared" si="13"/>
        <v>0</v>
      </c>
      <c r="AO32" s="124"/>
    </row>
    <row r="33" spans="2:41" x14ac:dyDescent="0.25">
      <c r="B33" s="71" t="s">
        <v>525</v>
      </c>
      <c r="C33" s="266" t="s">
        <v>395</v>
      </c>
      <c r="D33" s="267"/>
      <c r="E33" s="254" t="s">
        <v>77</v>
      </c>
      <c r="F33" s="254"/>
      <c r="G33" s="255"/>
      <c r="H33" s="100">
        <f>LOOKUP(E33,分支技能!$H$4:$H$11,分支技能!$I$4:$I$11)</f>
        <v>25</v>
      </c>
      <c r="I33" s="100"/>
      <c r="J33" s="102"/>
      <c r="K33" s="103"/>
      <c r="L33" s="100"/>
      <c r="M33" s="100"/>
      <c r="N33" s="100"/>
      <c r="O33" s="100"/>
      <c r="P33" s="101">
        <f>SUM(H33:O33)</f>
        <v>25</v>
      </c>
      <c r="Q33" s="101"/>
      <c r="R33" s="101">
        <f t="shared" si="9"/>
        <v>12</v>
      </c>
      <c r="S33" s="101"/>
      <c r="T33" s="101">
        <f t="shared" si="10"/>
        <v>5</v>
      </c>
      <c r="U33" s="240"/>
      <c r="V33" s="72" t="s">
        <v>525</v>
      </c>
      <c r="W33" s="238" t="s">
        <v>388</v>
      </c>
      <c r="X33" s="238"/>
      <c r="Y33" s="238"/>
      <c r="Z33" s="238"/>
      <c r="AA33" s="238"/>
      <c r="AB33" s="100">
        <v>10</v>
      </c>
      <c r="AC33" s="100"/>
      <c r="AD33" s="102"/>
      <c r="AE33" s="103"/>
      <c r="AF33" s="100"/>
      <c r="AG33" s="100"/>
      <c r="AH33" s="100"/>
      <c r="AI33" s="100"/>
      <c r="AJ33" s="101">
        <f t="shared" si="11"/>
        <v>10</v>
      </c>
      <c r="AK33" s="101"/>
      <c r="AL33" s="101">
        <f t="shared" si="12"/>
        <v>5</v>
      </c>
      <c r="AM33" s="101"/>
      <c r="AN33" s="101">
        <f t="shared" si="13"/>
        <v>2</v>
      </c>
      <c r="AO33" s="280"/>
    </row>
    <row r="34" spans="2:41" x14ac:dyDescent="0.25">
      <c r="B34" s="69" t="s">
        <v>525</v>
      </c>
      <c r="C34" s="268" t="s">
        <v>395</v>
      </c>
      <c r="D34" s="269"/>
      <c r="E34" s="256" t="s">
        <v>498</v>
      </c>
      <c r="F34" s="256"/>
      <c r="G34" s="257"/>
      <c r="H34" s="90">
        <f>LOOKUP(E34,分支技能!$H$4:$H$11,分支技能!$I$4:$I$11)</f>
        <v>20</v>
      </c>
      <c r="I34" s="90"/>
      <c r="J34" s="88"/>
      <c r="K34" s="89"/>
      <c r="L34" s="90">
        <v>75</v>
      </c>
      <c r="M34" s="90"/>
      <c r="N34" s="90"/>
      <c r="O34" s="90"/>
      <c r="P34" s="91">
        <f t="shared" si="8"/>
        <v>95</v>
      </c>
      <c r="Q34" s="91"/>
      <c r="R34" s="91">
        <f t="shared" si="9"/>
        <v>47</v>
      </c>
      <c r="S34" s="91"/>
      <c r="T34" s="91">
        <f t="shared" si="10"/>
        <v>19</v>
      </c>
      <c r="U34" s="239"/>
      <c r="V34" s="68" t="s">
        <v>525</v>
      </c>
      <c r="W34" s="245" t="s">
        <v>389</v>
      </c>
      <c r="X34" s="245"/>
      <c r="Y34" s="245"/>
      <c r="Z34" s="245"/>
      <c r="AA34" s="245"/>
      <c r="AB34" s="90">
        <v>25</v>
      </c>
      <c r="AC34" s="90"/>
      <c r="AD34" s="88"/>
      <c r="AE34" s="89"/>
      <c r="AF34" s="90"/>
      <c r="AG34" s="90"/>
      <c r="AH34" s="90"/>
      <c r="AI34" s="90"/>
      <c r="AJ34" s="91">
        <f t="shared" si="11"/>
        <v>25</v>
      </c>
      <c r="AK34" s="91"/>
      <c r="AL34" s="91">
        <f t="shared" si="12"/>
        <v>12</v>
      </c>
      <c r="AM34" s="91"/>
      <c r="AN34" s="91">
        <f t="shared" si="13"/>
        <v>5</v>
      </c>
      <c r="AO34" s="124"/>
    </row>
    <row r="35" spans="2:41" x14ac:dyDescent="0.25">
      <c r="B35" s="71" t="s">
        <v>525</v>
      </c>
      <c r="C35" s="272" t="s">
        <v>395</v>
      </c>
      <c r="D35" s="273"/>
      <c r="E35" s="258" t="s">
        <v>900</v>
      </c>
      <c r="F35" s="259"/>
      <c r="G35" s="260"/>
      <c r="H35" s="102">
        <f>LOOKUP(E35,分支技能!$H$4:$H$11,分支技能!$I$4:$I$11)</f>
        <v>5</v>
      </c>
      <c r="I35" s="103"/>
      <c r="J35" s="102"/>
      <c r="K35" s="103"/>
      <c r="L35" s="100"/>
      <c r="M35" s="100"/>
      <c r="N35" s="100"/>
      <c r="O35" s="100"/>
      <c r="P35" s="101">
        <f t="shared" si="8"/>
        <v>5</v>
      </c>
      <c r="Q35" s="101"/>
      <c r="R35" s="101">
        <f t="shared" si="9"/>
        <v>2</v>
      </c>
      <c r="S35" s="101"/>
      <c r="T35" s="101">
        <f t="shared" si="10"/>
        <v>1</v>
      </c>
      <c r="U35" s="240"/>
      <c r="V35" s="72" t="s">
        <v>525</v>
      </c>
      <c r="W35" s="238" t="s">
        <v>390</v>
      </c>
      <c r="X35" s="238"/>
      <c r="Y35" s="238"/>
      <c r="Z35" s="238"/>
      <c r="AA35" s="238"/>
      <c r="AB35" s="100">
        <v>20</v>
      </c>
      <c r="AC35" s="100"/>
      <c r="AD35" s="102"/>
      <c r="AE35" s="103"/>
      <c r="AF35" s="100">
        <v>60</v>
      </c>
      <c r="AG35" s="100"/>
      <c r="AH35" s="100">
        <v>15</v>
      </c>
      <c r="AI35" s="100"/>
      <c r="AJ35" s="101">
        <f t="shared" si="11"/>
        <v>95</v>
      </c>
      <c r="AK35" s="101"/>
      <c r="AL35" s="101">
        <f t="shared" si="12"/>
        <v>47</v>
      </c>
      <c r="AM35" s="101"/>
      <c r="AN35" s="101">
        <f t="shared" si="13"/>
        <v>19</v>
      </c>
      <c r="AO35" s="280"/>
    </row>
    <row r="36" spans="2:41" x14ac:dyDescent="0.25">
      <c r="B36" s="69" t="s">
        <v>525</v>
      </c>
      <c r="C36" s="274" t="s">
        <v>396</v>
      </c>
      <c r="D36" s="275"/>
      <c r="E36" s="276" t="s">
        <v>81</v>
      </c>
      <c r="F36" s="277"/>
      <c r="G36" s="277"/>
      <c r="H36" s="88">
        <f>LOOKUP(E36,分支技能!K3:K9,分支技能!L3:L9)</f>
        <v>20</v>
      </c>
      <c r="I36" s="89"/>
      <c r="J36" s="88"/>
      <c r="K36" s="89"/>
      <c r="L36" s="90"/>
      <c r="M36" s="90"/>
      <c r="N36" s="90"/>
      <c r="O36" s="90"/>
      <c r="P36" s="91">
        <f t="shared" si="8"/>
        <v>20</v>
      </c>
      <c r="Q36" s="91"/>
      <c r="R36" s="91">
        <f t="shared" si="9"/>
        <v>10</v>
      </c>
      <c r="S36" s="91"/>
      <c r="T36" s="91">
        <f t="shared" si="10"/>
        <v>4</v>
      </c>
      <c r="U36" s="239"/>
      <c r="V36" s="68" t="s">
        <v>525</v>
      </c>
      <c r="W36" s="251" t="s">
        <v>439</v>
      </c>
      <c r="X36" s="252"/>
      <c r="Y36" s="232"/>
      <c r="Z36" s="232"/>
      <c r="AA36" s="233"/>
      <c r="AB36" s="90">
        <v>10</v>
      </c>
      <c r="AC36" s="90"/>
      <c r="AD36" s="88"/>
      <c r="AE36" s="89"/>
      <c r="AF36" s="90"/>
      <c r="AG36" s="90"/>
      <c r="AH36" s="90"/>
      <c r="AI36" s="90"/>
      <c r="AJ36" s="91">
        <f t="shared" si="11"/>
        <v>10</v>
      </c>
      <c r="AK36" s="91"/>
      <c r="AL36" s="91">
        <f t="shared" si="12"/>
        <v>5</v>
      </c>
      <c r="AM36" s="91"/>
      <c r="AN36" s="91">
        <f t="shared" si="13"/>
        <v>2</v>
      </c>
      <c r="AO36" s="124"/>
    </row>
    <row r="37" spans="2:41" x14ac:dyDescent="0.25">
      <c r="B37" s="71" t="s">
        <v>525</v>
      </c>
      <c r="C37" s="270" t="s">
        <v>396</v>
      </c>
      <c r="D37" s="271"/>
      <c r="E37" s="261" t="s">
        <v>393</v>
      </c>
      <c r="F37" s="261"/>
      <c r="G37" s="262"/>
      <c r="H37" s="102">
        <f>LOOKUP(E37,分支技能!K4:K10,分支技能!L4:L10)</f>
        <v>25</v>
      </c>
      <c r="I37" s="103"/>
      <c r="J37" s="102"/>
      <c r="K37" s="103"/>
      <c r="L37" s="100"/>
      <c r="M37" s="100"/>
      <c r="N37" s="100"/>
      <c r="O37" s="100"/>
      <c r="P37" s="101">
        <f>SUM(H37:O37)</f>
        <v>25</v>
      </c>
      <c r="Q37" s="101"/>
      <c r="R37" s="101">
        <f t="shared" si="9"/>
        <v>12</v>
      </c>
      <c r="S37" s="101"/>
      <c r="T37" s="101">
        <f t="shared" si="10"/>
        <v>5</v>
      </c>
      <c r="U37" s="240"/>
      <c r="V37" s="72" t="s">
        <v>525</v>
      </c>
      <c r="W37" s="238" t="s">
        <v>391</v>
      </c>
      <c r="X37" s="238"/>
      <c r="Y37" s="238"/>
      <c r="Z37" s="238"/>
      <c r="AA37" s="238"/>
      <c r="AB37" s="100">
        <v>20</v>
      </c>
      <c r="AC37" s="100"/>
      <c r="AD37" s="102"/>
      <c r="AE37" s="103"/>
      <c r="AF37" s="100"/>
      <c r="AG37" s="100"/>
      <c r="AH37" s="100"/>
      <c r="AI37" s="100"/>
      <c r="AJ37" s="101">
        <f t="shared" si="11"/>
        <v>20</v>
      </c>
      <c r="AK37" s="101"/>
      <c r="AL37" s="101">
        <f t="shared" si="12"/>
        <v>10</v>
      </c>
      <c r="AM37" s="101"/>
      <c r="AN37" s="101">
        <f t="shared" si="13"/>
        <v>4</v>
      </c>
      <c r="AO37" s="280"/>
    </row>
    <row r="38" spans="2:41" x14ac:dyDescent="0.25">
      <c r="B38" s="69" t="s">
        <v>525</v>
      </c>
      <c r="C38" s="274" t="s">
        <v>396</v>
      </c>
      <c r="D38" s="275"/>
      <c r="E38" s="263" t="s">
        <v>684</v>
      </c>
      <c r="F38" s="264"/>
      <c r="G38" s="265"/>
      <c r="H38" s="88">
        <f>LOOKUP(E38,分支技能!K5:K11,分支技能!L5:L11)</f>
        <v>15</v>
      </c>
      <c r="I38" s="89"/>
      <c r="J38" s="88"/>
      <c r="K38" s="89"/>
      <c r="L38" s="90"/>
      <c r="M38" s="90"/>
      <c r="N38" s="90"/>
      <c r="O38" s="90"/>
      <c r="P38" s="91">
        <f t="shared" si="8"/>
        <v>15</v>
      </c>
      <c r="Q38" s="91"/>
      <c r="R38" s="91">
        <f t="shared" si="9"/>
        <v>7</v>
      </c>
      <c r="S38" s="91"/>
      <c r="T38" s="91">
        <f t="shared" si="10"/>
        <v>3</v>
      </c>
      <c r="U38" s="239"/>
      <c r="V38" s="68" t="s">
        <v>525</v>
      </c>
      <c r="W38" s="245" t="s">
        <v>392</v>
      </c>
      <c r="X38" s="245"/>
      <c r="Y38" s="245"/>
      <c r="Z38" s="245"/>
      <c r="AA38" s="245"/>
      <c r="AB38" s="90">
        <v>20</v>
      </c>
      <c r="AC38" s="90"/>
      <c r="AD38" s="88"/>
      <c r="AE38" s="89"/>
      <c r="AF38" s="90"/>
      <c r="AG38" s="90"/>
      <c r="AH38" s="90"/>
      <c r="AI38" s="90"/>
      <c r="AJ38" s="91">
        <f t="shared" si="11"/>
        <v>20</v>
      </c>
      <c r="AK38" s="91"/>
      <c r="AL38" s="91">
        <f t="shared" si="12"/>
        <v>10</v>
      </c>
      <c r="AM38" s="91"/>
      <c r="AN38" s="91">
        <f t="shared" si="13"/>
        <v>4</v>
      </c>
      <c r="AO38" s="124"/>
    </row>
    <row r="39" spans="2:41" x14ac:dyDescent="0.25">
      <c r="B39" s="71" t="s">
        <v>525</v>
      </c>
      <c r="C39" s="249" t="s">
        <v>943</v>
      </c>
      <c r="D39" s="249"/>
      <c r="E39" s="249"/>
      <c r="F39" s="249"/>
      <c r="G39" s="249"/>
      <c r="H39" s="100">
        <v>30</v>
      </c>
      <c r="I39" s="100"/>
      <c r="J39" s="102"/>
      <c r="K39" s="103"/>
      <c r="L39" s="100">
        <v>28</v>
      </c>
      <c r="M39" s="100"/>
      <c r="N39" s="100">
        <v>10</v>
      </c>
      <c r="O39" s="100"/>
      <c r="P39" s="101">
        <f t="shared" si="8"/>
        <v>68</v>
      </c>
      <c r="Q39" s="101"/>
      <c r="R39" s="101">
        <f t="shared" si="9"/>
        <v>34</v>
      </c>
      <c r="S39" s="101"/>
      <c r="T39" s="101">
        <f t="shared" si="10"/>
        <v>13</v>
      </c>
      <c r="U39" s="240"/>
      <c r="V39" s="72" t="s">
        <v>525</v>
      </c>
      <c r="W39" s="238" t="s">
        <v>387</v>
      </c>
      <c r="X39" s="238"/>
      <c r="Y39" s="238"/>
      <c r="Z39" s="238"/>
      <c r="AA39" s="238"/>
      <c r="AB39" s="100">
        <v>10</v>
      </c>
      <c r="AC39" s="100"/>
      <c r="AD39" s="102"/>
      <c r="AE39" s="103"/>
      <c r="AF39" s="100"/>
      <c r="AG39" s="100"/>
      <c r="AH39" s="100"/>
      <c r="AI39" s="100"/>
      <c r="AJ39" s="101">
        <f t="shared" si="11"/>
        <v>10</v>
      </c>
      <c r="AK39" s="101"/>
      <c r="AL39" s="101">
        <f t="shared" si="12"/>
        <v>5</v>
      </c>
      <c r="AM39" s="101"/>
      <c r="AN39" s="101">
        <f t="shared" si="13"/>
        <v>2</v>
      </c>
      <c r="AO39" s="280"/>
    </row>
    <row r="40" spans="2:41" x14ac:dyDescent="0.25">
      <c r="B40" s="69" t="s">
        <v>525</v>
      </c>
      <c r="C40" s="245" t="s">
        <v>944</v>
      </c>
      <c r="D40" s="245"/>
      <c r="E40" s="245"/>
      <c r="F40" s="245"/>
      <c r="G40" s="245"/>
      <c r="H40" s="90">
        <v>5</v>
      </c>
      <c r="I40" s="90"/>
      <c r="J40" s="88"/>
      <c r="K40" s="89"/>
      <c r="L40" s="90"/>
      <c r="M40" s="90"/>
      <c r="N40" s="90"/>
      <c r="O40" s="90"/>
      <c r="P40" s="91">
        <f t="shared" si="8"/>
        <v>5</v>
      </c>
      <c r="Q40" s="91"/>
      <c r="R40" s="91">
        <f t="shared" si="9"/>
        <v>2</v>
      </c>
      <c r="S40" s="91"/>
      <c r="T40" s="91">
        <f t="shared" si="10"/>
        <v>1</v>
      </c>
      <c r="U40" s="239"/>
      <c r="V40" s="68" t="s">
        <v>525</v>
      </c>
      <c r="W40" s="278" t="s">
        <v>397</v>
      </c>
      <c r="X40" s="251"/>
      <c r="Y40" s="232" t="s">
        <v>417</v>
      </c>
      <c r="Z40" s="232"/>
      <c r="AA40" s="233"/>
      <c r="AB40" s="90">
        <f>LOOKUP(Y40,分支技能!N4:N9,分支技能!O4:O9)</f>
        <v>1</v>
      </c>
      <c r="AC40" s="90"/>
      <c r="AD40" s="88"/>
      <c r="AE40" s="89"/>
      <c r="AF40" s="90"/>
      <c r="AG40" s="90"/>
      <c r="AH40" s="90"/>
      <c r="AI40" s="90"/>
      <c r="AJ40" s="91">
        <f t="shared" si="11"/>
        <v>1</v>
      </c>
      <c r="AK40" s="91"/>
      <c r="AL40" s="91">
        <f t="shared" si="12"/>
        <v>0</v>
      </c>
      <c r="AM40" s="91"/>
      <c r="AN40" s="91">
        <f t="shared" si="13"/>
        <v>0</v>
      </c>
      <c r="AO40" s="124"/>
    </row>
    <row r="41" spans="2:41" x14ac:dyDescent="0.25">
      <c r="B41" s="71" t="s">
        <v>525</v>
      </c>
      <c r="C41" s="249" t="s">
        <v>376</v>
      </c>
      <c r="D41" s="249"/>
      <c r="E41" s="249"/>
      <c r="F41" s="249"/>
      <c r="G41" s="249"/>
      <c r="H41" s="100">
        <v>15</v>
      </c>
      <c r="I41" s="100"/>
      <c r="J41" s="102"/>
      <c r="K41" s="103"/>
      <c r="L41" s="100"/>
      <c r="M41" s="100"/>
      <c r="N41" s="100"/>
      <c r="O41" s="100"/>
      <c r="P41" s="101">
        <f t="shared" si="8"/>
        <v>15</v>
      </c>
      <c r="Q41" s="101"/>
      <c r="R41" s="101">
        <f t="shared" si="9"/>
        <v>7</v>
      </c>
      <c r="S41" s="101"/>
      <c r="T41" s="101">
        <f t="shared" si="10"/>
        <v>3</v>
      </c>
      <c r="U41" s="240"/>
      <c r="V41" s="72" t="s">
        <v>525</v>
      </c>
      <c r="W41" s="246"/>
      <c r="X41" s="247"/>
      <c r="Y41" s="247"/>
      <c r="Z41" s="247"/>
      <c r="AA41" s="248"/>
      <c r="AB41" s="100"/>
      <c r="AC41" s="100"/>
      <c r="AD41" s="102"/>
      <c r="AE41" s="103"/>
      <c r="AF41" s="100"/>
      <c r="AG41" s="100"/>
      <c r="AH41" s="100"/>
      <c r="AI41" s="100"/>
      <c r="AJ41" s="101">
        <f t="shared" si="11"/>
        <v>0</v>
      </c>
      <c r="AK41" s="101"/>
      <c r="AL41" s="101">
        <f t="shared" si="12"/>
        <v>0</v>
      </c>
      <c r="AM41" s="101"/>
      <c r="AN41" s="101">
        <f t="shared" si="13"/>
        <v>0</v>
      </c>
      <c r="AO41" s="280"/>
    </row>
    <row r="42" spans="2:41" x14ac:dyDescent="0.25">
      <c r="B42" s="69" t="s">
        <v>525</v>
      </c>
      <c r="C42" s="245" t="s">
        <v>377</v>
      </c>
      <c r="D42" s="245"/>
      <c r="E42" s="245"/>
      <c r="F42" s="245"/>
      <c r="G42" s="245"/>
      <c r="H42" s="90">
        <v>20</v>
      </c>
      <c r="I42" s="90"/>
      <c r="J42" s="88"/>
      <c r="K42" s="89"/>
      <c r="L42" s="90"/>
      <c r="M42" s="90"/>
      <c r="N42" s="90">
        <v>50</v>
      </c>
      <c r="O42" s="90"/>
      <c r="P42" s="91">
        <f t="shared" si="8"/>
        <v>70</v>
      </c>
      <c r="Q42" s="91"/>
      <c r="R42" s="91">
        <f t="shared" si="9"/>
        <v>35</v>
      </c>
      <c r="S42" s="91"/>
      <c r="T42" s="91">
        <f t="shared" si="10"/>
        <v>14</v>
      </c>
      <c r="U42" s="239"/>
      <c r="V42" s="68" t="s">
        <v>525</v>
      </c>
      <c r="W42" s="245"/>
      <c r="X42" s="245"/>
      <c r="Y42" s="245"/>
      <c r="Z42" s="245"/>
      <c r="AA42" s="245"/>
      <c r="AB42" s="90"/>
      <c r="AC42" s="90"/>
      <c r="AD42" s="88"/>
      <c r="AE42" s="89"/>
      <c r="AF42" s="90"/>
      <c r="AG42" s="90"/>
      <c r="AH42" s="90"/>
      <c r="AI42" s="90"/>
      <c r="AJ42" s="91">
        <f t="shared" si="11"/>
        <v>0</v>
      </c>
      <c r="AK42" s="91"/>
      <c r="AL42" s="91">
        <f t="shared" si="12"/>
        <v>0</v>
      </c>
      <c r="AM42" s="91"/>
      <c r="AN42" s="91">
        <f t="shared" si="13"/>
        <v>0</v>
      </c>
      <c r="AO42" s="124"/>
    </row>
    <row r="43" spans="2:41" x14ac:dyDescent="0.25">
      <c r="B43" s="71" t="s">
        <v>525</v>
      </c>
      <c r="C43" s="228" t="s">
        <v>518</v>
      </c>
      <c r="D43" s="229"/>
      <c r="E43" s="243"/>
      <c r="F43" s="243"/>
      <c r="G43" s="244"/>
      <c r="H43" s="100">
        <v>1</v>
      </c>
      <c r="I43" s="100"/>
      <c r="J43" s="102"/>
      <c r="K43" s="103"/>
      <c r="L43" s="100"/>
      <c r="M43" s="100"/>
      <c r="N43" s="100"/>
      <c r="O43" s="100"/>
      <c r="P43" s="101">
        <f t="shared" si="8"/>
        <v>1</v>
      </c>
      <c r="Q43" s="101"/>
      <c r="R43" s="101">
        <f t="shared" si="9"/>
        <v>0</v>
      </c>
      <c r="S43" s="101"/>
      <c r="T43" s="101">
        <f t="shared" si="10"/>
        <v>0</v>
      </c>
      <c r="U43" s="240"/>
      <c r="V43" s="72" t="s">
        <v>525</v>
      </c>
      <c r="W43" s="238"/>
      <c r="X43" s="238"/>
      <c r="Y43" s="238"/>
      <c r="Z43" s="238"/>
      <c r="AA43" s="238"/>
      <c r="AB43" s="100"/>
      <c r="AC43" s="100"/>
      <c r="AD43" s="102"/>
      <c r="AE43" s="103"/>
      <c r="AF43" s="100"/>
      <c r="AG43" s="100"/>
      <c r="AH43" s="100"/>
      <c r="AI43" s="100"/>
      <c r="AJ43" s="101">
        <f t="shared" si="11"/>
        <v>0</v>
      </c>
      <c r="AK43" s="101"/>
      <c r="AL43" s="101">
        <f t="shared" si="12"/>
        <v>0</v>
      </c>
      <c r="AM43" s="101"/>
      <c r="AN43" s="101">
        <f t="shared" si="13"/>
        <v>0</v>
      </c>
      <c r="AO43" s="280"/>
    </row>
    <row r="44" spans="2:41" x14ac:dyDescent="0.25">
      <c r="B44" s="69" t="s">
        <v>525</v>
      </c>
      <c r="C44" s="230" t="s">
        <v>939</v>
      </c>
      <c r="D44" s="231"/>
      <c r="E44" s="232"/>
      <c r="F44" s="232"/>
      <c r="G44" s="233"/>
      <c r="H44" s="90">
        <v>1</v>
      </c>
      <c r="I44" s="90"/>
      <c r="J44" s="88"/>
      <c r="K44" s="89"/>
      <c r="L44" s="90"/>
      <c r="M44" s="90"/>
      <c r="N44" s="90"/>
      <c r="O44" s="90"/>
      <c r="P44" s="91">
        <f t="shared" si="8"/>
        <v>1</v>
      </c>
      <c r="Q44" s="91"/>
      <c r="R44" s="91">
        <f t="shared" si="9"/>
        <v>0</v>
      </c>
      <c r="S44" s="91"/>
      <c r="T44" s="91">
        <f t="shared" si="10"/>
        <v>0</v>
      </c>
      <c r="U44" s="239"/>
      <c r="V44" s="68" t="s">
        <v>525</v>
      </c>
      <c r="W44" s="245"/>
      <c r="X44" s="245"/>
      <c r="Y44" s="245"/>
      <c r="Z44" s="245"/>
      <c r="AA44" s="245"/>
      <c r="AB44" s="90"/>
      <c r="AC44" s="90"/>
      <c r="AD44" s="88"/>
      <c r="AE44" s="89"/>
      <c r="AF44" s="90"/>
      <c r="AG44" s="90"/>
      <c r="AH44" s="90"/>
      <c r="AI44" s="90"/>
      <c r="AJ44" s="91">
        <f t="shared" si="11"/>
        <v>0</v>
      </c>
      <c r="AK44" s="91"/>
      <c r="AL44" s="91">
        <f t="shared" si="12"/>
        <v>0</v>
      </c>
      <c r="AM44" s="91"/>
      <c r="AN44" s="91">
        <f t="shared" si="13"/>
        <v>0</v>
      </c>
      <c r="AO44" s="124"/>
    </row>
    <row r="45" spans="2:41" x14ac:dyDescent="0.25">
      <c r="B45" s="71" t="s">
        <v>525</v>
      </c>
      <c r="C45" s="228" t="s">
        <v>518</v>
      </c>
      <c r="D45" s="229"/>
      <c r="E45" s="243"/>
      <c r="F45" s="243"/>
      <c r="G45" s="244"/>
      <c r="H45" s="100">
        <v>1</v>
      </c>
      <c r="I45" s="100"/>
      <c r="J45" s="102"/>
      <c r="K45" s="103"/>
      <c r="L45" s="100"/>
      <c r="M45" s="100"/>
      <c r="N45" s="100"/>
      <c r="O45" s="100"/>
      <c r="P45" s="101">
        <f t="shared" si="8"/>
        <v>1</v>
      </c>
      <c r="Q45" s="101"/>
      <c r="R45" s="101">
        <f t="shared" si="9"/>
        <v>0</v>
      </c>
      <c r="S45" s="101"/>
      <c r="T45" s="101">
        <f t="shared" si="10"/>
        <v>0</v>
      </c>
      <c r="U45" s="240"/>
      <c r="V45" s="72" t="s">
        <v>525</v>
      </c>
      <c r="W45" s="246"/>
      <c r="X45" s="247"/>
      <c r="Y45" s="247"/>
      <c r="Z45" s="247"/>
      <c r="AA45" s="248"/>
      <c r="AB45" s="100"/>
      <c r="AC45" s="100"/>
      <c r="AD45" s="102"/>
      <c r="AE45" s="103"/>
      <c r="AF45" s="100"/>
      <c r="AG45" s="100"/>
      <c r="AH45" s="100"/>
      <c r="AI45" s="100"/>
      <c r="AJ45" s="101">
        <f t="shared" si="11"/>
        <v>0</v>
      </c>
      <c r="AK45" s="101"/>
      <c r="AL45" s="101">
        <f t="shared" si="12"/>
        <v>0</v>
      </c>
      <c r="AM45" s="101"/>
      <c r="AN45" s="101">
        <f t="shared" si="13"/>
        <v>0</v>
      </c>
      <c r="AO45" s="280"/>
    </row>
    <row r="46" spans="2:41" ht="15.6" thickBot="1" x14ac:dyDescent="0.3">
      <c r="B46" s="67" t="s">
        <v>525</v>
      </c>
      <c r="C46" s="139" t="s">
        <v>400</v>
      </c>
      <c r="D46" s="140"/>
      <c r="E46" s="142"/>
      <c r="F46" s="142"/>
      <c r="G46" s="143"/>
      <c r="H46" s="210">
        <f>AE5</f>
        <v>72</v>
      </c>
      <c r="I46" s="210"/>
      <c r="J46" s="211"/>
      <c r="K46" s="212"/>
      <c r="L46" s="210"/>
      <c r="M46" s="210"/>
      <c r="N46" s="210"/>
      <c r="O46" s="210"/>
      <c r="P46" s="131">
        <f t="shared" si="8"/>
        <v>72</v>
      </c>
      <c r="Q46" s="131"/>
      <c r="R46" s="131">
        <f t="shared" si="9"/>
        <v>36</v>
      </c>
      <c r="S46" s="131"/>
      <c r="T46" s="131">
        <f t="shared" si="10"/>
        <v>14</v>
      </c>
      <c r="U46" s="209"/>
      <c r="V46" s="70" t="s">
        <v>525</v>
      </c>
      <c r="W46" s="133"/>
      <c r="X46" s="134"/>
      <c r="Y46" s="134"/>
      <c r="Z46" s="134"/>
      <c r="AA46" s="135"/>
      <c r="AB46" s="210"/>
      <c r="AC46" s="210"/>
      <c r="AD46" s="211"/>
      <c r="AE46" s="212"/>
      <c r="AF46" s="210"/>
      <c r="AG46" s="210"/>
      <c r="AH46" s="210"/>
      <c r="AI46" s="210"/>
      <c r="AJ46" s="131">
        <f t="shared" si="11"/>
        <v>0</v>
      </c>
      <c r="AK46" s="131"/>
      <c r="AL46" s="131">
        <f t="shared" si="12"/>
        <v>0</v>
      </c>
      <c r="AM46" s="131"/>
      <c r="AN46" s="131">
        <f t="shared" si="13"/>
        <v>0</v>
      </c>
      <c r="AO46" s="132"/>
    </row>
    <row r="47" spans="2:41" ht="15.6" thickBot="1" x14ac:dyDescent="0.3">
      <c r="B47" s="141" t="str">
        <f>IF(M5=0," ","职业信用范围："&amp;LOOKUP(M5,职业列表!A2:A116,职业列表!C2:C116))</f>
        <v>职业信用范围：9-30</v>
      </c>
      <c r="C47" s="141"/>
      <c r="D47" s="141"/>
      <c r="E47" s="141"/>
      <c r="F47" s="141"/>
      <c r="G47" s="141"/>
      <c r="H47" s="141"/>
      <c r="I47" s="141"/>
      <c r="J47" s="349" t="str">
        <f>IF(M5=0," ","剩余职业点="&amp;LOOKUP(M5,职业列表!A2:A116,职业列表!E2:E116)-SUM(人物卡!L15:M46,人物卡!AF15:AG46)&amp;"   剩余兴趣点="&amp;Y7*2-SUM(N15:O46,AH15:AI46))</f>
        <v>剩余职业点=0   剩余兴趣点=0</v>
      </c>
      <c r="K47" s="349"/>
      <c r="L47" s="349"/>
      <c r="M47" s="349"/>
      <c r="N47" s="349"/>
      <c r="O47" s="349"/>
      <c r="P47" s="349"/>
      <c r="Q47" s="349"/>
      <c r="R47" s="349"/>
      <c r="S47" s="21"/>
      <c r="T47" s="20"/>
      <c r="U47" s="20"/>
      <c r="AD47" s="392"/>
      <c r="AE47" s="392"/>
      <c r="AF47" s="392"/>
      <c r="AG47" s="392"/>
      <c r="AH47" s="392"/>
      <c r="AI47" s="392"/>
      <c r="AJ47" s="392"/>
      <c r="AK47" s="392"/>
      <c r="AL47" s="392"/>
      <c r="AM47" s="22"/>
    </row>
    <row r="48" spans="2:41" ht="15.6" x14ac:dyDescent="0.25">
      <c r="B48" s="136" t="s">
        <v>922</v>
      </c>
      <c r="C48" s="137"/>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8"/>
      <c r="AH48" s="194" t="s">
        <v>16</v>
      </c>
      <c r="AI48" s="195"/>
      <c r="AJ48" s="195"/>
      <c r="AK48" s="195"/>
      <c r="AL48" s="195"/>
      <c r="AM48" s="195"/>
      <c r="AN48" s="195"/>
      <c r="AO48" s="196"/>
    </row>
    <row r="49" spans="2:41" ht="15.6" x14ac:dyDescent="0.25">
      <c r="B49" s="216" t="s">
        <v>922</v>
      </c>
      <c r="C49" s="215"/>
      <c r="D49" s="215"/>
      <c r="E49" s="215"/>
      <c r="F49" s="215"/>
      <c r="G49" s="215" t="s">
        <v>921</v>
      </c>
      <c r="H49" s="215"/>
      <c r="I49" s="215"/>
      <c r="J49" s="215" t="s">
        <v>926</v>
      </c>
      <c r="K49" s="215"/>
      <c r="L49" s="215"/>
      <c r="M49" s="215" t="s">
        <v>925</v>
      </c>
      <c r="N49" s="215"/>
      <c r="O49" s="215"/>
      <c r="P49" s="215"/>
      <c r="Q49" s="215"/>
      <c r="R49" s="213" t="s">
        <v>403</v>
      </c>
      <c r="S49" s="213"/>
      <c r="T49" s="213"/>
      <c r="U49" s="213" t="s">
        <v>924</v>
      </c>
      <c r="V49" s="213"/>
      <c r="W49" s="213"/>
      <c r="X49" s="213" t="s">
        <v>402</v>
      </c>
      <c r="Y49" s="213"/>
      <c r="Z49" s="213"/>
      <c r="AA49" s="213" t="s">
        <v>923</v>
      </c>
      <c r="AB49" s="213"/>
      <c r="AC49" s="213"/>
      <c r="AD49" s="213" t="s">
        <v>15</v>
      </c>
      <c r="AE49" s="213"/>
      <c r="AF49" s="214"/>
      <c r="AH49" s="388" t="s">
        <v>430</v>
      </c>
      <c r="AI49" s="389"/>
      <c r="AJ49" s="389"/>
      <c r="AK49" s="389"/>
      <c r="AL49" s="386" t="str">
        <f>LOOKUP(S3+S7,附表!A2:A32,附表!B2:B32)</f>
        <v>+1D6</v>
      </c>
      <c r="AM49" s="386"/>
      <c r="AN49" s="386"/>
      <c r="AO49" s="387"/>
    </row>
    <row r="50" spans="2:41" ht="15.6" x14ac:dyDescent="0.25">
      <c r="B50" s="226" t="s">
        <v>927</v>
      </c>
      <c r="C50" s="227"/>
      <c r="D50" s="227"/>
      <c r="E50" s="227"/>
      <c r="F50" s="227"/>
      <c r="G50" s="227" t="s">
        <v>928</v>
      </c>
      <c r="H50" s="227"/>
      <c r="I50" s="227"/>
      <c r="J50" s="84">
        <f>P33</f>
        <v>25</v>
      </c>
      <c r="K50" s="82">
        <f t="shared" ref="K50:K53" si="14">INT(J50/2)</f>
        <v>12</v>
      </c>
      <c r="L50" s="82">
        <f t="shared" ref="L50" si="15">INT(J50/5)</f>
        <v>5</v>
      </c>
      <c r="M50" s="227" t="s">
        <v>930</v>
      </c>
      <c r="N50" s="227"/>
      <c r="O50" s="227"/>
      <c r="P50" s="227"/>
      <c r="Q50" s="227"/>
      <c r="R50" s="227" t="s">
        <v>931</v>
      </c>
      <c r="S50" s="227"/>
      <c r="T50" s="227"/>
      <c r="U50" s="227" t="s">
        <v>932</v>
      </c>
      <c r="V50" s="227"/>
      <c r="W50" s="227"/>
      <c r="X50" s="227">
        <v>1</v>
      </c>
      <c r="Y50" s="227"/>
      <c r="Z50" s="227"/>
      <c r="AA50" s="227" t="s">
        <v>933</v>
      </c>
      <c r="AB50" s="227"/>
      <c r="AC50" s="227"/>
      <c r="AD50" s="227" t="s">
        <v>934</v>
      </c>
      <c r="AE50" s="227"/>
      <c r="AF50" s="393"/>
      <c r="AH50" s="388"/>
      <c r="AI50" s="389"/>
      <c r="AJ50" s="389"/>
      <c r="AK50" s="389"/>
      <c r="AL50" s="386"/>
      <c r="AM50" s="386"/>
      <c r="AN50" s="386"/>
      <c r="AO50" s="387"/>
    </row>
    <row r="51" spans="2:41" ht="15.6" x14ac:dyDescent="0.25">
      <c r="B51" s="220" t="s">
        <v>847</v>
      </c>
      <c r="C51" s="221"/>
      <c r="D51" s="221"/>
      <c r="E51" s="221"/>
      <c r="F51" s="221"/>
      <c r="G51" s="217" t="str">
        <f>IF(B51=0,"请选择武器",VLOOKUP(B51,武器列表!$A$2:$H$105,2,FALSE))</f>
        <v>剑</v>
      </c>
      <c r="H51" s="218"/>
      <c r="I51" s="219"/>
      <c r="J51" s="83"/>
      <c r="K51" s="83">
        <f>INT(J51/2)</f>
        <v>0</v>
      </c>
      <c r="L51" s="83">
        <f>INT(J51/5)</f>
        <v>0</v>
      </c>
      <c r="M51" s="222" t="str">
        <f>IF(B51=0,"请选择武器",VLOOKUP(B51,武器列表!A2:H105,3,FALSE))</f>
        <v>1D8+1+DB</v>
      </c>
      <c r="N51" s="222"/>
      <c r="O51" s="222"/>
      <c r="P51" s="222"/>
      <c r="Q51" s="222"/>
      <c r="R51" s="224" t="str">
        <f>IF(B51=0," ",VLOOKUP(B51,武器列表!A2:H105,4,FALSE))</f>
        <v>接触</v>
      </c>
      <c r="S51" s="224"/>
      <c r="T51" s="224"/>
      <c r="U51" s="222" t="str">
        <f>IF(B51=0," ",VLOOKUP(B51,武器列表!A2:H105,5,FALSE))</f>
        <v>×</v>
      </c>
      <c r="V51" s="222"/>
      <c r="W51" s="222"/>
      <c r="X51" s="223" t="str">
        <f>IF(B51=0," ",VLOOKUP(B51,武器列表!A2:H105,6,FALSE))</f>
        <v>1</v>
      </c>
      <c r="Y51" s="223"/>
      <c r="Z51" s="223"/>
      <c r="AA51" s="222" t="str">
        <f>IF(B51=0," ",VLOOKUP(B51,武器列表!A2:H105,7,FALSE))</f>
        <v>-</v>
      </c>
      <c r="AB51" s="222"/>
      <c r="AC51" s="222"/>
      <c r="AD51" s="222" t="str">
        <f>IF(B51=0," ",VLOOKUP(B51,武器列表!A2:H105,8,FALSE))</f>
        <v>-</v>
      </c>
      <c r="AE51" s="222"/>
      <c r="AF51" s="225"/>
      <c r="AH51" s="351" t="s">
        <v>431</v>
      </c>
      <c r="AI51" s="316"/>
      <c r="AJ51" s="316"/>
      <c r="AK51" s="316"/>
      <c r="AL51" s="184">
        <f>LOOKUP(S3+S7,附表!A2:A32,附表!C2:C32)</f>
        <v>2</v>
      </c>
      <c r="AM51" s="184"/>
      <c r="AN51" s="184"/>
      <c r="AO51" s="390"/>
    </row>
    <row r="52" spans="2:41" ht="15.6" x14ac:dyDescent="0.25">
      <c r="B52" s="394" t="s">
        <v>844</v>
      </c>
      <c r="C52" s="395"/>
      <c r="D52" s="395"/>
      <c r="E52" s="395"/>
      <c r="F52" s="395"/>
      <c r="G52" s="227" t="str">
        <f>IF(B52=0,"请选择武器",VLOOKUP(B52,武器列表!$A$2:$H$105,2,FALSE))</f>
        <v>剑</v>
      </c>
      <c r="H52" s="227"/>
      <c r="I52" s="227"/>
      <c r="J52" s="82"/>
      <c r="K52" s="82">
        <f t="shared" si="14"/>
        <v>0</v>
      </c>
      <c r="L52" s="82">
        <f t="shared" ref="L52:L53" si="16">INT(J52/5)</f>
        <v>0</v>
      </c>
      <c r="M52" s="227" t="str">
        <f>IF(B52=0,"请选择武器",VLOOKUP(B52,武器列表!A2:H105,3,FALSE))</f>
        <v>1D6+1+DB</v>
      </c>
      <c r="N52" s="227"/>
      <c r="O52" s="227"/>
      <c r="P52" s="227"/>
      <c r="Q52" s="227"/>
      <c r="R52" s="227" t="str">
        <f>IF(B52=0," ",VLOOKUP(B52,武器列表!A2:H105,4,FALSE))</f>
        <v>接触</v>
      </c>
      <c r="S52" s="227"/>
      <c r="T52" s="227"/>
      <c r="U52" s="227" t="str">
        <f>IF(B52=0," ",VLOOKUP(B52,武器列表!A2:H105,5,FALSE))</f>
        <v>√</v>
      </c>
      <c r="V52" s="227"/>
      <c r="W52" s="227"/>
      <c r="X52" s="227" t="str">
        <f>IF(B52=0," ",VLOOKUP(B52,武器列表!A2:H105,6,FALSE))</f>
        <v>1</v>
      </c>
      <c r="Y52" s="227"/>
      <c r="Z52" s="227"/>
      <c r="AA52" s="227" t="str">
        <f>IF(B52=0," ",VLOOKUP(B52,武器列表!A2:H105,7,FALSE))</f>
        <v>-</v>
      </c>
      <c r="AB52" s="227"/>
      <c r="AC52" s="227"/>
      <c r="AD52" s="227" t="str">
        <f>IF(B52=0," ",VLOOKUP(B52,武器列表!A2:H105,8,FALSE))</f>
        <v>-</v>
      </c>
      <c r="AE52" s="227"/>
      <c r="AF52" s="393"/>
      <c r="AH52" s="351"/>
      <c r="AI52" s="316"/>
      <c r="AJ52" s="316"/>
      <c r="AK52" s="316"/>
      <c r="AL52" s="184"/>
      <c r="AM52" s="184"/>
      <c r="AN52" s="184"/>
      <c r="AO52" s="390"/>
    </row>
    <row r="53" spans="2:41" ht="15.6" x14ac:dyDescent="0.25">
      <c r="B53" s="220"/>
      <c r="C53" s="221"/>
      <c r="D53" s="221"/>
      <c r="E53" s="221"/>
      <c r="F53" s="221"/>
      <c r="G53" s="217" t="str">
        <f>IF(B53=0,"请选择武器",VLOOKUP(B53,武器列表!$A$2:$H$105,2,FALSE))</f>
        <v>请选择武器</v>
      </c>
      <c r="H53" s="218"/>
      <c r="I53" s="219"/>
      <c r="J53" s="83"/>
      <c r="K53" s="83">
        <f t="shared" si="14"/>
        <v>0</v>
      </c>
      <c r="L53" s="83">
        <f t="shared" si="16"/>
        <v>0</v>
      </c>
      <c r="M53" s="222" t="str">
        <f>IF(B53=0,"请选择武器",VLOOKUP(B53,武器列表!A2:H105,3,FALSE))</f>
        <v>请选择武器</v>
      </c>
      <c r="N53" s="222"/>
      <c r="O53" s="222"/>
      <c r="P53" s="222"/>
      <c r="Q53" s="222"/>
      <c r="R53" s="224" t="str">
        <f>IF(B53=0," ",VLOOKUP(B53,武器列表!A2:H105,4,FALSE))</f>
        <v xml:space="preserve"> </v>
      </c>
      <c r="S53" s="224"/>
      <c r="T53" s="224"/>
      <c r="U53" s="222" t="str">
        <f>IF(B53=0," ",VLOOKUP(B53,武器列表!A2:H105,5,FALSE))</f>
        <v xml:space="preserve"> </v>
      </c>
      <c r="V53" s="222"/>
      <c r="W53" s="222"/>
      <c r="X53" s="223" t="str">
        <f>IF(B53=0," ",VLOOKUP(B53,武器列表!A2:H105,6,FALSE))</f>
        <v xml:space="preserve"> </v>
      </c>
      <c r="Y53" s="223"/>
      <c r="Z53" s="223"/>
      <c r="AA53" s="222" t="str">
        <f>IF(B53=0," ",VLOOKUP(B53,武器列表!A2:H105,7,FALSE))</f>
        <v xml:space="preserve"> </v>
      </c>
      <c r="AB53" s="222"/>
      <c r="AC53" s="222"/>
      <c r="AD53" s="222" t="str">
        <f>IF(B53=0," ",VLOOKUP(B53,武器列表!A2:H105,8,FALSE))</f>
        <v xml:space="preserve"> </v>
      </c>
      <c r="AE53" s="222"/>
      <c r="AF53" s="225"/>
      <c r="AH53" s="388" t="s">
        <v>517</v>
      </c>
      <c r="AI53" s="389"/>
      <c r="AJ53" s="389"/>
      <c r="AK53" s="389"/>
      <c r="AL53" s="391">
        <f>P28</f>
        <v>95</v>
      </c>
      <c r="AM53" s="386"/>
      <c r="AN53" s="391">
        <f>R28</f>
        <v>47</v>
      </c>
      <c r="AO53" s="387"/>
    </row>
    <row r="54" spans="2:41" ht="15.6" x14ac:dyDescent="0.25">
      <c r="B54" s="394"/>
      <c r="C54" s="395"/>
      <c r="D54" s="395"/>
      <c r="E54" s="395"/>
      <c r="F54" s="395"/>
      <c r="G54" s="227" t="str">
        <f>IF(B54=0,"请选择武器",VLOOKUP(B54,武器列表!$A$2:$H$105,2,FALSE))</f>
        <v>请选择武器</v>
      </c>
      <c r="H54" s="227"/>
      <c r="I54" s="227"/>
      <c r="J54" s="82"/>
      <c r="K54" s="82">
        <f>INT(J54/2)</f>
        <v>0</v>
      </c>
      <c r="L54" s="82">
        <f t="shared" ref="L54" si="17">INT(J54/5)</f>
        <v>0</v>
      </c>
      <c r="M54" s="227" t="str">
        <f>IF(B54=0,"请选择武器",VLOOKUP(B54,武器列表!A2:H105,3,FALSE))</f>
        <v>请选择武器</v>
      </c>
      <c r="N54" s="227"/>
      <c r="O54" s="227"/>
      <c r="P54" s="227"/>
      <c r="Q54" s="227"/>
      <c r="R54" s="227" t="str">
        <f>IF(B54=0," ",VLOOKUP(B54,武器列表!A2:H105,4,FALSE))</f>
        <v xml:space="preserve"> </v>
      </c>
      <c r="S54" s="227"/>
      <c r="T54" s="227"/>
      <c r="U54" s="227" t="str">
        <f>IF(B54=0," ",VLOOKUP(B54,武器列表!A2:H105,5,FALSE))</f>
        <v xml:space="preserve"> </v>
      </c>
      <c r="V54" s="227"/>
      <c r="W54" s="227"/>
      <c r="X54" s="227" t="str">
        <f>IF(B54=0," ",VLOOKUP(B54,武器列表!A2:H105,6,FALSE))</f>
        <v xml:space="preserve"> </v>
      </c>
      <c r="Y54" s="227"/>
      <c r="Z54" s="227"/>
      <c r="AA54" s="227" t="str">
        <f>IF(B54=0," ",VLOOKUP(B54,武器列表!A2:H105,7,FALSE))</f>
        <v xml:space="preserve"> </v>
      </c>
      <c r="AB54" s="227"/>
      <c r="AC54" s="227"/>
      <c r="AD54" s="227" t="str">
        <f>IF(B54=0," ",VLOOKUP(B54,武器列表!A2:H105,8,FALSE))</f>
        <v xml:space="preserve"> </v>
      </c>
      <c r="AE54" s="227"/>
      <c r="AF54" s="393"/>
      <c r="AH54" s="388"/>
      <c r="AI54" s="389"/>
      <c r="AJ54" s="389"/>
      <c r="AK54" s="389"/>
      <c r="AL54" s="386"/>
      <c r="AM54" s="386"/>
      <c r="AN54" s="391">
        <f>T28</f>
        <v>19</v>
      </c>
      <c r="AO54" s="387"/>
    </row>
    <row r="55" spans="2:41" ht="16.5" customHeight="1" thickBot="1" x14ac:dyDescent="0.3">
      <c r="B55" s="398"/>
      <c r="C55" s="396"/>
      <c r="D55" s="396"/>
      <c r="E55" s="396"/>
      <c r="F55" s="396"/>
      <c r="G55" s="396"/>
      <c r="H55" s="396"/>
      <c r="I55" s="396"/>
      <c r="J55" s="85"/>
      <c r="K55" s="85">
        <f>INT(J55/2)</f>
        <v>0</v>
      </c>
      <c r="L55" s="85">
        <f>INT(K55/5)</f>
        <v>0</v>
      </c>
      <c r="M55" s="396"/>
      <c r="N55" s="396"/>
      <c r="O55" s="396"/>
      <c r="P55" s="396"/>
      <c r="Q55" s="396"/>
      <c r="R55" s="396"/>
      <c r="S55" s="396"/>
      <c r="T55" s="396"/>
      <c r="U55" s="396"/>
      <c r="V55" s="396"/>
      <c r="W55" s="396"/>
      <c r="X55" s="396"/>
      <c r="Y55" s="396"/>
      <c r="Z55" s="396"/>
      <c r="AA55" s="396"/>
      <c r="AB55" s="396"/>
      <c r="AC55" s="396"/>
      <c r="AD55" s="396"/>
      <c r="AE55" s="396"/>
      <c r="AF55" s="397"/>
      <c r="AH55" s="98" t="s">
        <v>434</v>
      </c>
      <c r="AI55" s="99"/>
      <c r="AJ55" s="99"/>
      <c r="AK55" s="99"/>
      <c r="AL55" s="106"/>
      <c r="AM55" s="106"/>
      <c r="AN55" s="106"/>
      <c r="AO55" s="107"/>
    </row>
    <row r="56" spans="2:41" x14ac:dyDescent="0.25">
      <c r="B56" s="149" t="s">
        <v>950</v>
      </c>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c r="AE56" s="149"/>
      <c r="AF56" s="149"/>
      <c r="AG56" s="149"/>
      <c r="AH56" s="149"/>
      <c r="AI56" s="149"/>
      <c r="AJ56" s="149"/>
      <c r="AK56" s="149"/>
      <c r="AL56" s="149"/>
      <c r="AM56" s="149"/>
      <c r="AN56" s="149"/>
      <c r="AO56" s="149"/>
    </row>
    <row r="57" spans="2:41" ht="15.6" thickBot="1" x14ac:dyDescent="0.3"/>
    <row r="58" spans="2:41" x14ac:dyDescent="0.25">
      <c r="B58" s="194" t="s">
        <v>36</v>
      </c>
      <c r="C58" s="195"/>
      <c r="D58" s="195"/>
      <c r="E58" s="195"/>
      <c r="F58" s="195"/>
      <c r="G58" s="195"/>
      <c r="H58" s="195"/>
      <c r="I58" s="195"/>
      <c r="J58" s="195"/>
      <c r="K58" s="195"/>
      <c r="L58" s="195"/>
      <c r="M58" s="195"/>
      <c r="N58" s="195"/>
      <c r="O58" s="195"/>
      <c r="P58" s="195"/>
      <c r="Q58" s="196"/>
      <c r="S58" s="194" t="s">
        <v>37</v>
      </c>
      <c r="T58" s="195"/>
      <c r="U58" s="195"/>
      <c r="V58" s="195"/>
      <c r="W58" s="195"/>
      <c r="X58" s="195"/>
      <c r="Y58" s="195"/>
      <c r="Z58" s="195"/>
      <c r="AA58" s="195"/>
      <c r="AB58" s="195"/>
      <c r="AC58" s="195"/>
      <c r="AD58" s="195"/>
      <c r="AE58" s="195"/>
      <c r="AF58" s="195"/>
      <c r="AG58" s="195"/>
      <c r="AH58" s="195"/>
      <c r="AI58" s="195"/>
      <c r="AJ58" s="195"/>
      <c r="AK58" s="195"/>
      <c r="AL58" s="195"/>
      <c r="AM58" s="195"/>
      <c r="AN58" s="195"/>
      <c r="AO58" s="196"/>
    </row>
    <row r="59" spans="2:41" x14ac:dyDescent="0.25">
      <c r="B59" s="203" t="str">
        <f>"信用评级："&amp;P25&amp;"% / "&amp;R25&amp;"% / "&amp;T25&amp;"%"</f>
        <v>信用评级：10% / 5% / 2%</v>
      </c>
      <c r="C59" s="204"/>
      <c r="D59" s="204"/>
      <c r="E59" s="204"/>
      <c r="F59" s="204"/>
      <c r="G59" s="204"/>
      <c r="H59" s="204"/>
      <c r="I59" s="204"/>
      <c r="J59" s="204" t="str">
        <f>"生活水平："&amp;LOOKUP(P25,{0,1,10,50,90,99},{"身无分文","贫穷","标准","小康","富裕","富豪"})</f>
        <v>生活水平：标准</v>
      </c>
      <c r="K59" s="204"/>
      <c r="L59" s="204"/>
      <c r="M59" s="204"/>
      <c r="N59" s="204"/>
      <c r="O59" s="204"/>
      <c r="P59" s="204"/>
      <c r="Q59" s="205"/>
      <c r="S59" s="152" t="s">
        <v>514</v>
      </c>
      <c r="T59" s="150"/>
      <c r="U59" s="150"/>
      <c r="V59" s="150"/>
      <c r="W59" s="168" t="s">
        <v>966</v>
      </c>
      <c r="X59" s="169"/>
      <c r="Y59" s="169"/>
      <c r="Z59" s="169"/>
      <c r="AA59" s="169"/>
      <c r="AB59" s="169"/>
      <c r="AC59" s="169"/>
      <c r="AD59" s="169"/>
      <c r="AE59" s="169"/>
      <c r="AF59" s="169"/>
      <c r="AG59" s="169"/>
      <c r="AH59" s="169"/>
      <c r="AI59" s="169"/>
      <c r="AJ59" s="169"/>
      <c r="AK59" s="169"/>
      <c r="AL59" s="169"/>
      <c r="AM59" s="169"/>
      <c r="AN59" s="169"/>
      <c r="AO59" s="170"/>
    </row>
    <row r="60" spans="2:41" x14ac:dyDescent="0.25">
      <c r="B60" s="197" t="s">
        <v>408</v>
      </c>
      <c r="C60" s="198"/>
      <c r="D60" s="200"/>
      <c r="E60" s="200"/>
      <c r="F60" s="200"/>
      <c r="G60" s="200"/>
      <c r="H60" s="200"/>
      <c r="I60" s="200"/>
      <c r="J60" s="202"/>
      <c r="K60" s="198" t="s">
        <v>409</v>
      </c>
      <c r="L60" s="199"/>
      <c r="M60" s="199"/>
      <c r="N60" s="200"/>
      <c r="O60" s="200"/>
      <c r="P60" s="200"/>
      <c r="Q60" s="201"/>
      <c r="S60" s="152"/>
      <c r="T60" s="150"/>
      <c r="U60" s="150"/>
      <c r="V60" s="150"/>
      <c r="W60" s="171"/>
      <c r="X60" s="172"/>
      <c r="Y60" s="172"/>
      <c r="Z60" s="172"/>
      <c r="AA60" s="172"/>
      <c r="AB60" s="172"/>
      <c r="AC60" s="172"/>
      <c r="AD60" s="172"/>
      <c r="AE60" s="172"/>
      <c r="AF60" s="172"/>
      <c r="AG60" s="172"/>
      <c r="AH60" s="172"/>
      <c r="AI60" s="172"/>
      <c r="AJ60" s="172"/>
      <c r="AK60" s="172"/>
      <c r="AL60" s="172"/>
      <c r="AM60" s="172"/>
      <c r="AN60" s="172"/>
      <c r="AO60" s="173"/>
    </row>
    <row r="61" spans="2:41" x14ac:dyDescent="0.25">
      <c r="B61" s="185"/>
      <c r="C61" s="186"/>
      <c r="D61" s="186"/>
      <c r="E61" s="186"/>
      <c r="F61" s="186"/>
      <c r="G61" s="186"/>
      <c r="H61" s="186"/>
      <c r="I61" s="186"/>
      <c r="J61" s="186"/>
      <c r="K61" s="186"/>
      <c r="L61" s="186"/>
      <c r="M61" s="186"/>
      <c r="N61" s="186"/>
      <c r="O61" s="186"/>
      <c r="P61" s="186"/>
      <c r="Q61" s="187"/>
      <c r="S61" s="183" t="s">
        <v>435</v>
      </c>
      <c r="T61" s="184"/>
      <c r="U61" s="184"/>
      <c r="V61" s="184"/>
      <c r="W61" s="174"/>
      <c r="X61" s="175"/>
      <c r="Y61" s="175"/>
      <c r="Z61" s="175"/>
      <c r="AA61" s="175"/>
      <c r="AB61" s="175"/>
      <c r="AC61" s="175"/>
      <c r="AD61" s="175"/>
      <c r="AE61" s="175"/>
      <c r="AF61" s="175"/>
      <c r="AG61" s="175"/>
      <c r="AH61" s="175"/>
      <c r="AI61" s="175"/>
      <c r="AJ61" s="175"/>
      <c r="AK61" s="175"/>
      <c r="AL61" s="175"/>
      <c r="AM61" s="175"/>
      <c r="AN61" s="175"/>
      <c r="AO61" s="176"/>
    </row>
    <row r="62" spans="2:41" x14ac:dyDescent="0.25">
      <c r="B62" s="188"/>
      <c r="C62" s="189"/>
      <c r="D62" s="189"/>
      <c r="E62" s="189"/>
      <c r="F62" s="189"/>
      <c r="G62" s="189"/>
      <c r="H62" s="189"/>
      <c r="I62" s="189"/>
      <c r="J62" s="189"/>
      <c r="K62" s="189"/>
      <c r="L62" s="189"/>
      <c r="M62" s="189"/>
      <c r="N62" s="189"/>
      <c r="O62" s="189"/>
      <c r="P62" s="189"/>
      <c r="Q62" s="190"/>
      <c r="S62" s="183"/>
      <c r="T62" s="184"/>
      <c r="U62" s="184"/>
      <c r="V62" s="184"/>
      <c r="W62" s="177"/>
      <c r="X62" s="178"/>
      <c r="Y62" s="178"/>
      <c r="Z62" s="178"/>
      <c r="AA62" s="178"/>
      <c r="AB62" s="178"/>
      <c r="AC62" s="178"/>
      <c r="AD62" s="178"/>
      <c r="AE62" s="178"/>
      <c r="AF62" s="178"/>
      <c r="AG62" s="178"/>
      <c r="AH62" s="178"/>
      <c r="AI62" s="178"/>
      <c r="AJ62" s="178"/>
      <c r="AK62" s="178"/>
      <c r="AL62" s="178"/>
      <c r="AM62" s="178"/>
      <c r="AN62" s="178"/>
      <c r="AO62" s="179"/>
    </row>
    <row r="63" spans="2:41" x14ac:dyDescent="0.25">
      <c r="B63" s="188"/>
      <c r="C63" s="189"/>
      <c r="D63" s="189"/>
      <c r="E63" s="189"/>
      <c r="F63" s="189"/>
      <c r="G63" s="189"/>
      <c r="H63" s="189"/>
      <c r="I63" s="189"/>
      <c r="J63" s="189"/>
      <c r="K63" s="189"/>
      <c r="L63" s="189"/>
      <c r="M63" s="189"/>
      <c r="N63" s="189"/>
      <c r="O63" s="189"/>
      <c r="P63" s="189"/>
      <c r="Q63" s="190"/>
      <c r="S63" s="152" t="s">
        <v>436</v>
      </c>
      <c r="T63" s="150"/>
      <c r="U63" s="150"/>
      <c r="V63" s="150"/>
      <c r="W63" s="168"/>
      <c r="X63" s="169"/>
      <c r="Y63" s="169"/>
      <c r="Z63" s="169"/>
      <c r="AA63" s="169"/>
      <c r="AB63" s="169"/>
      <c r="AC63" s="169"/>
      <c r="AD63" s="169"/>
      <c r="AE63" s="169"/>
      <c r="AF63" s="169"/>
      <c r="AG63" s="169"/>
      <c r="AH63" s="169"/>
      <c r="AI63" s="169"/>
      <c r="AJ63" s="169"/>
      <c r="AK63" s="169"/>
      <c r="AL63" s="169"/>
      <c r="AM63" s="169"/>
      <c r="AN63" s="169"/>
      <c r="AO63" s="170"/>
    </row>
    <row r="64" spans="2:41" ht="15.6" thickBot="1" x14ac:dyDescent="0.3">
      <c r="B64" s="191"/>
      <c r="C64" s="192"/>
      <c r="D64" s="192"/>
      <c r="E64" s="192"/>
      <c r="F64" s="192"/>
      <c r="G64" s="192"/>
      <c r="H64" s="192"/>
      <c r="I64" s="192"/>
      <c r="J64" s="192"/>
      <c r="K64" s="192"/>
      <c r="L64" s="192"/>
      <c r="M64" s="192"/>
      <c r="N64" s="192"/>
      <c r="O64" s="192"/>
      <c r="P64" s="192"/>
      <c r="Q64" s="193"/>
      <c r="S64" s="152"/>
      <c r="T64" s="150"/>
      <c r="U64" s="150"/>
      <c r="V64" s="150"/>
      <c r="W64" s="171"/>
      <c r="X64" s="172"/>
      <c r="Y64" s="172"/>
      <c r="Z64" s="172"/>
      <c r="AA64" s="172"/>
      <c r="AB64" s="172"/>
      <c r="AC64" s="172"/>
      <c r="AD64" s="172"/>
      <c r="AE64" s="172"/>
      <c r="AF64" s="172"/>
      <c r="AG64" s="172"/>
      <c r="AH64" s="172"/>
      <c r="AI64" s="172"/>
      <c r="AJ64" s="172"/>
      <c r="AK64" s="172"/>
      <c r="AL64" s="172"/>
      <c r="AM64" s="172"/>
      <c r="AN64" s="172"/>
      <c r="AO64" s="173"/>
    </row>
    <row r="65" spans="2:41" ht="15.6" thickBot="1" x14ac:dyDescent="0.3">
      <c r="B65" s="18"/>
      <c r="C65" s="18"/>
      <c r="D65" s="18"/>
      <c r="E65" s="18"/>
      <c r="F65" s="18"/>
      <c r="G65" s="18"/>
      <c r="H65" s="18"/>
      <c r="I65" s="18"/>
      <c r="J65" s="18"/>
      <c r="K65" s="18"/>
      <c r="L65" s="18"/>
      <c r="M65" s="18"/>
      <c r="N65" s="18"/>
      <c r="O65" s="18"/>
      <c r="P65" s="18"/>
      <c r="Q65" s="18"/>
      <c r="S65" s="183" t="s">
        <v>405</v>
      </c>
      <c r="T65" s="184"/>
      <c r="U65" s="184"/>
      <c r="V65" s="184"/>
      <c r="W65" s="174" t="s">
        <v>967</v>
      </c>
      <c r="X65" s="175"/>
      <c r="Y65" s="175"/>
      <c r="Z65" s="175"/>
      <c r="AA65" s="175"/>
      <c r="AB65" s="175"/>
      <c r="AC65" s="175"/>
      <c r="AD65" s="175"/>
      <c r="AE65" s="175"/>
      <c r="AF65" s="175"/>
      <c r="AG65" s="175"/>
      <c r="AH65" s="175"/>
      <c r="AI65" s="175"/>
      <c r="AJ65" s="175"/>
      <c r="AK65" s="175"/>
      <c r="AL65" s="175"/>
      <c r="AM65" s="175"/>
      <c r="AN65" s="175"/>
      <c r="AO65" s="176"/>
    </row>
    <row r="66" spans="2:41" x14ac:dyDescent="0.25">
      <c r="B66" s="206" t="s">
        <v>38</v>
      </c>
      <c r="C66" s="207"/>
      <c r="D66" s="207"/>
      <c r="E66" s="207"/>
      <c r="F66" s="207"/>
      <c r="G66" s="207"/>
      <c r="H66" s="207"/>
      <c r="I66" s="207"/>
      <c r="J66" s="207"/>
      <c r="K66" s="207"/>
      <c r="L66" s="207"/>
      <c r="M66" s="207"/>
      <c r="N66" s="207"/>
      <c r="O66" s="207"/>
      <c r="P66" s="207"/>
      <c r="Q66" s="208"/>
      <c r="S66" s="183"/>
      <c r="T66" s="184"/>
      <c r="U66" s="184"/>
      <c r="V66" s="184"/>
      <c r="W66" s="177"/>
      <c r="X66" s="178"/>
      <c r="Y66" s="178"/>
      <c r="Z66" s="178"/>
      <c r="AA66" s="178"/>
      <c r="AB66" s="178"/>
      <c r="AC66" s="178"/>
      <c r="AD66" s="178"/>
      <c r="AE66" s="178"/>
      <c r="AF66" s="178"/>
      <c r="AG66" s="178"/>
      <c r="AH66" s="178"/>
      <c r="AI66" s="178"/>
      <c r="AJ66" s="178"/>
      <c r="AK66" s="178"/>
      <c r="AL66" s="178"/>
      <c r="AM66" s="178"/>
      <c r="AN66" s="178"/>
      <c r="AO66" s="179"/>
    </row>
    <row r="67" spans="2:41" x14ac:dyDescent="0.25">
      <c r="B67" s="180" t="s">
        <v>968</v>
      </c>
      <c r="C67" s="181"/>
      <c r="D67" s="181"/>
      <c r="E67" s="181"/>
      <c r="F67" s="181"/>
      <c r="G67" s="181"/>
      <c r="H67" s="181"/>
      <c r="I67" s="181"/>
      <c r="J67" s="181"/>
      <c r="K67" s="181"/>
      <c r="L67" s="181"/>
      <c r="M67" s="181"/>
      <c r="N67" s="181"/>
      <c r="O67" s="181"/>
      <c r="P67" s="181"/>
      <c r="Q67" s="182"/>
      <c r="S67" s="152" t="s">
        <v>433</v>
      </c>
      <c r="T67" s="150"/>
      <c r="U67" s="150"/>
      <c r="V67" s="150"/>
      <c r="W67" s="168"/>
      <c r="X67" s="169"/>
      <c r="Y67" s="169"/>
      <c r="Z67" s="169"/>
      <c r="AA67" s="169"/>
      <c r="AB67" s="169"/>
      <c r="AC67" s="169"/>
      <c r="AD67" s="169"/>
      <c r="AE67" s="169"/>
      <c r="AF67" s="169"/>
      <c r="AG67" s="169"/>
      <c r="AH67" s="169"/>
      <c r="AI67" s="169"/>
      <c r="AJ67" s="169"/>
      <c r="AK67" s="169"/>
      <c r="AL67" s="169"/>
      <c r="AM67" s="169"/>
      <c r="AN67" s="169"/>
      <c r="AO67" s="170"/>
    </row>
    <row r="68" spans="2:41" x14ac:dyDescent="0.25">
      <c r="B68" s="155" t="s">
        <v>959</v>
      </c>
      <c r="C68" s="156"/>
      <c r="D68" s="156"/>
      <c r="E68" s="156"/>
      <c r="F68" s="156"/>
      <c r="G68" s="156"/>
      <c r="H68" s="156"/>
      <c r="I68" s="156"/>
      <c r="J68" s="156"/>
      <c r="K68" s="156"/>
      <c r="L68" s="156"/>
      <c r="M68" s="156"/>
      <c r="N68" s="156"/>
      <c r="O68" s="156"/>
      <c r="P68" s="156"/>
      <c r="Q68" s="157"/>
      <c r="S68" s="152"/>
      <c r="T68" s="150"/>
      <c r="U68" s="150"/>
      <c r="V68" s="150"/>
      <c r="W68" s="171"/>
      <c r="X68" s="172"/>
      <c r="Y68" s="172"/>
      <c r="Z68" s="172"/>
      <c r="AA68" s="172"/>
      <c r="AB68" s="172"/>
      <c r="AC68" s="172"/>
      <c r="AD68" s="172"/>
      <c r="AE68" s="172"/>
      <c r="AF68" s="172"/>
      <c r="AG68" s="172"/>
      <c r="AH68" s="172"/>
      <c r="AI68" s="172"/>
      <c r="AJ68" s="172"/>
      <c r="AK68" s="172"/>
      <c r="AL68" s="172"/>
      <c r="AM68" s="172"/>
      <c r="AN68" s="172"/>
      <c r="AO68" s="173"/>
    </row>
    <row r="69" spans="2:41" x14ac:dyDescent="0.25">
      <c r="B69" s="180" t="s">
        <v>960</v>
      </c>
      <c r="C69" s="181"/>
      <c r="D69" s="181"/>
      <c r="E69" s="181"/>
      <c r="F69" s="181"/>
      <c r="G69" s="181"/>
      <c r="H69" s="181"/>
      <c r="I69" s="181"/>
      <c r="J69" s="181"/>
      <c r="K69" s="181"/>
      <c r="L69" s="181"/>
      <c r="M69" s="181"/>
      <c r="N69" s="181"/>
      <c r="O69" s="181"/>
      <c r="P69" s="181"/>
      <c r="Q69" s="182"/>
      <c r="S69" s="183" t="s">
        <v>437</v>
      </c>
      <c r="T69" s="184"/>
      <c r="U69" s="184"/>
      <c r="V69" s="184"/>
      <c r="W69" s="174"/>
      <c r="X69" s="175"/>
      <c r="Y69" s="175"/>
      <c r="Z69" s="175"/>
      <c r="AA69" s="175"/>
      <c r="AB69" s="175"/>
      <c r="AC69" s="175"/>
      <c r="AD69" s="175"/>
      <c r="AE69" s="175"/>
      <c r="AF69" s="175"/>
      <c r="AG69" s="175"/>
      <c r="AH69" s="175"/>
      <c r="AI69" s="175"/>
      <c r="AJ69" s="175"/>
      <c r="AK69" s="175"/>
      <c r="AL69" s="175"/>
      <c r="AM69" s="175"/>
      <c r="AN69" s="175"/>
      <c r="AO69" s="176"/>
    </row>
    <row r="70" spans="2:41" x14ac:dyDescent="0.25">
      <c r="B70" s="155" t="s">
        <v>961</v>
      </c>
      <c r="C70" s="156"/>
      <c r="D70" s="156"/>
      <c r="E70" s="156"/>
      <c r="F70" s="156"/>
      <c r="G70" s="156"/>
      <c r="H70" s="156"/>
      <c r="I70" s="156"/>
      <c r="J70" s="156"/>
      <c r="K70" s="156"/>
      <c r="L70" s="156"/>
      <c r="M70" s="156"/>
      <c r="N70" s="156"/>
      <c r="O70" s="156"/>
      <c r="P70" s="156"/>
      <c r="Q70" s="157"/>
      <c r="S70" s="183"/>
      <c r="T70" s="184"/>
      <c r="U70" s="184"/>
      <c r="V70" s="184"/>
      <c r="W70" s="177"/>
      <c r="X70" s="178"/>
      <c r="Y70" s="178"/>
      <c r="Z70" s="178"/>
      <c r="AA70" s="178"/>
      <c r="AB70" s="178"/>
      <c r="AC70" s="178"/>
      <c r="AD70" s="178"/>
      <c r="AE70" s="178"/>
      <c r="AF70" s="178"/>
      <c r="AG70" s="178"/>
      <c r="AH70" s="178"/>
      <c r="AI70" s="178"/>
      <c r="AJ70" s="178"/>
      <c r="AK70" s="178"/>
      <c r="AL70" s="178"/>
      <c r="AM70" s="178"/>
      <c r="AN70" s="178"/>
      <c r="AO70" s="179"/>
    </row>
    <row r="71" spans="2:41" x14ac:dyDescent="0.25">
      <c r="B71" s="180" t="s">
        <v>962</v>
      </c>
      <c r="C71" s="181"/>
      <c r="D71" s="181"/>
      <c r="E71" s="181"/>
      <c r="F71" s="181"/>
      <c r="G71" s="181"/>
      <c r="H71" s="181"/>
      <c r="I71" s="181"/>
      <c r="J71" s="181"/>
      <c r="K71" s="181"/>
      <c r="L71" s="181"/>
      <c r="M71" s="181"/>
      <c r="N71" s="181"/>
      <c r="O71" s="181"/>
      <c r="P71" s="181"/>
      <c r="Q71" s="182"/>
      <c r="S71" s="152" t="s">
        <v>406</v>
      </c>
      <c r="T71" s="150"/>
      <c r="U71" s="150"/>
      <c r="V71" s="150"/>
      <c r="W71" s="168" t="s">
        <v>964</v>
      </c>
      <c r="X71" s="169"/>
      <c r="Y71" s="169"/>
      <c r="Z71" s="169"/>
      <c r="AA71" s="169"/>
      <c r="AB71" s="169"/>
      <c r="AC71" s="169"/>
      <c r="AD71" s="169"/>
      <c r="AE71" s="169"/>
      <c r="AF71" s="169"/>
      <c r="AG71" s="169"/>
      <c r="AH71" s="169"/>
      <c r="AI71" s="169"/>
      <c r="AJ71" s="169"/>
      <c r="AK71" s="169"/>
      <c r="AL71" s="169"/>
      <c r="AM71" s="169"/>
      <c r="AN71" s="169"/>
      <c r="AO71" s="170"/>
    </row>
    <row r="72" spans="2:41" x14ac:dyDescent="0.25">
      <c r="B72" s="155" t="s">
        <v>963</v>
      </c>
      <c r="C72" s="156"/>
      <c r="D72" s="156"/>
      <c r="E72" s="156"/>
      <c r="F72" s="156"/>
      <c r="G72" s="156"/>
      <c r="H72" s="156"/>
      <c r="I72" s="156"/>
      <c r="J72" s="156"/>
      <c r="K72" s="156"/>
      <c r="L72" s="156"/>
      <c r="M72" s="156"/>
      <c r="N72" s="156"/>
      <c r="O72" s="156"/>
      <c r="P72" s="156"/>
      <c r="Q72" s="157"/>
      <c r="S72" s="152"/>
      <c r="T72" s="150"/>
      <c r="U72" s="150"/>
      <c r="V72" s="150"/>
      <c r="W72" s="171"/>
      <c r="X72" s="172"/>
      <c r="Y72" s="172"/>
      <c r="Z72" s="172"/>
      <c r="AA72" s="172"/>
      <c r="AB72" s="172"/>
      <c r="AC72" s="172"/>
      <c r="AD72" s="172"/>
      <c r="AE72" s="172"/>
      <c r="AF72" s="172"/>
      <c r="AG72" s="172"/>
      <c r="AH72" s="172"/>
      <c r="AI72" s="172"/>
      <c r="AJ72" s="172"/>
      <c r="AK72" s="172"/>
      <c r="AL72" s="172"/>
      <c r="AM72" s="172"/>
      <c r="AN72" s="172"/>
      <c r="AO72" s="173"/>
    </row>
    <row r="73" spans="2:41" x14ac:dyDescent="0.25">
      <c r="B73" s="180" t="s">
        <v>965</v>
      </c>
      <c r="C73" s="181"/>
      <c r="D73" s="181"/>
      <c r="E73" s="181"/>
      <c r="F73" s="181"/>
      <c r="G73" s="181"/>
      <c r="H73" s="181"/>
      <c r="I73" s="181"/>
      <c r="J73" s="181"/>
      <c r="K73" s="181"/>
      <c r="L73" s="181"/>
      <c r="M73" s="181"/>
      <c r="N73" s="181"/>
      <c r="O73" s="181"/>
      <c r="P73" s="181"/>
      <c r="Q73" s="182"/>
      <c r="S73" s="183" t="s">
        <v>407</v>
      </c>
      <c r="T73" s="184"/>
      <c r="U73" s="184"/>
      <c r="V73" s="184"/>
      <c r="W73" s="174"/>
      <c r="X73" s="175"/>
      <c r="Y73" s="175"/>
      <c r="Z73" s="175"/>
      <c r="AA73" s="175"/>
      <c r="AB73" s="175"/>
      <c r="AC73" s="175"/>
      <c r="AD73" s="175"/>
      <c r="AE73" s="175"/>
      <c r="AF73" s="175"/>
      <c r="AG73" s="175"/>
      <c r="AH73" s="175"/>
      <c r="AI73" s="175"/>
      <c r="AJ73" s="175"/>
      <c r="AK73" s="175"/>
      <c r="AL73" s="175"/>
      <c r="AM73" s="175"/>
      <c r="AN73" s="175"/>
      <c r="AO73" s="176"/>
    </row>
    <row r="74" spans="2:41" x14ac:dyDescent="0.25">
      <c r="B74" s="155" t="s">
        <v>970</v>
      </c>
      <c r="C74" s="156"/>
      <c r="D74" s="156"/>
      <c r="E74" s="156"/>
      <c r="F74" s="156"/>
      <c r="G74" s="156"/>
      <c r="H74" s="156"/>
      <c r="I74" s="156"/>
      <c r="J74" s="156"/>
      <c r="K74" s="156"/>
      <c r="L74" s="156"/>
      <c r="M74" s="156"/>
      <c r="N74" s="156"/>
      <c r="O74" s="156"/>
      <c r="P74" s="156"/>
      <c r="Q74" s="157"/>
      <c r="S74" s="183"/>
      <c r="T74" s="184"/>
      <c r="U74" s="184"/>
      <c r="V74" s="184"/>
      <c r="W74" s="177"/>
      <c r="X74" s="178"/>
      <c r="Y74" s="178"/>
      <c r="Z74" s="178"/>
      <c r="AA74" s="178"/>
      <c r="AB74" s="178"/>
      <c r="AC74" s="178"/>
      <c r="AD74" s="178"/>
      <c r="AE74" s="178"/>
      <c r="AF74" s="178"/>
      <c r="AG74" s="178"/>
      <c r="AH74" s="178"/>
      <c r="AI74" s="178"/>
      <c r="AJ74" s="178"/>
      <c r="AK74" s="178"/>
      <c r="AL74" s="178"/>
      <c r="AM74" s="178"/>
      <c r="AN74" s="178"/>
      <c r="AO74" s="179"/>
    </row>
    <row r="75" spans="2:41" ht="15.6" thickBot="1" x14ac:dyDescent="0.3">
      <c r="B75" s="380"/>
      <c r="C75" s="381"/>
      <c r="D75" s="381"/>
      <c r="E75" s="381"/>
      <c r="F75" s="381"/>
      <c r="G75" s="381"/>
      <c r="H75" s="381"/>
      <c r="I75" s="381"/>
      <c r="J75" s="381"/>
      <c r="K75" s="381"/>
      <c r="L75" s="381"/>
      <c r="M75" s="381"/>
      <c r="N75" s="381"/>
      <c r="O75" s="381"/>
      <c r="P75" s="381"/>
      <c r="Q75" s="382"/>
      <c r="S75" s="158" t="s">
        <v>969</v>
      </c>
      <c r="T75" s="159"/>
      <c r="U75" s="159"/>
      <c r="V75" s="159"/>
      <c r="W75" s="159"/>
      <c r="X75" s="159"/>
      <c r="Y75" s="159"/>
      <c r="Z75" s="159"/>
      <c r="AA75" s="159"/>
      <c r="AB75" s="159"/>
      <c r="AC75" s="159"/>
      <c r="AD75" s="159"/>
      <c r="AE75" s="159"/>
      <c r="AF75" s="159"/>
      <c r="AG75" s="159"/>
      <c r="AH75" s="159"/>
      <c r="AI75" s="159"/>
      <c r="AJ75" s="159"/>
      <c r="AK75" s="159"/>
      <c r="AL75" s="159"/>
      <c r="AM75" s="159"/>
      <c r="AN75" s="159"/>
      <c r="AO75" s="160"/>
    </row>
    <row r="76" spans="2:41" ht="15.6" thickBot="1" x14ac:dyDescent="0.3">
      <c r="B76" s="18"/>
      <c r="C76" s="18"/>
      <c r="D76" s="18"/>
      <c r="E76" s="18"/>
      <c r="F76" s="18"/>
      <c r="G76" s="18"/>
      <c r="H76" s="18"/>
      <c r="I76" s="18"/>
      <c r="J76" s="18"/>
      <c r="K76" s="18"/>
      <c r="L76" s="18"/>
      <c r="M76" s="18"/>
      <c r="N76" s="18"/>
      <c r="O76" s="18"/>
      <c r="P76" s="18"/>
      <c r="Q76" s="18"/>
      <c r="S76" s="158"/>
      <c r="T76" s="159"/>
      <c r="U76" s="159"/>
      <c r="V76" s="159"/>
      <c r="W76" s="159"/>
      <c r="X76" s="159"/>
      <c r="Y76" s="159"/>
      <c r="Z76" s="159"/>
      <c r="AA76" s="159"/>
      <c r="AB76" s="159"/>
      <c r="AC76" s="159"/>
      <c r="AD76" s="159"/>
      <c r="AE76" s="159"/>
      <c r="AF76" s="159"/>
      <c r="AG76" s="159"/>
      <c r="AH76" s="159"/>
      <c r="AI76" s="159"/>
      <c r="AJ76" s="159"/>
      <c r="AK76" s="159"/>
      <c r="AL76" s="159"/>
      <c r="AM76" s="159"/>
      <c r="AN76" s="159"/>
      <c r="AO76" s="160"/>
    </row>
    <row r="77" spans="2:41" x14ac:dyDescent="0.25">
      <c r="B77" s="206" t="s">
        <v>516</v>
      </c>
      <c r="C77" s="207"/>
      <c r="D77" s="207"/>
      <c r="E77" s="207"/>
      <c r="F77" s="207"/>
      <c r="G77" s="207"/>
      <c r="H77" s="207"/>
      <c r="I77" s="207"/>
      <c r="J77" s="207"/>
      <c r="K77" s="207"/>
      <c r="L77" s="207"/>
      <c r="M77" s="207"/>
      <c r="N77" s="207"/>
      <c r="O77" s="207"/>
      <c r="P77" s="207"/>
      <c r="Q77" s="208"/>
      <c r="S77" s="158"/>
      <c r="T77" s="159"/>
      <c r="U77" s="159"/>
      <c r="V77" s="159"/>
      <c r="W77" s="159"/>
      <c r="X77" s="159"/>
      <c r="Y77" s="159"/>
      <c r="Z77" s="159"/>
      <c r="AA77" s="159"/>
      <c r="AB77" s="159"/>
      <c r="AC77" s="159"/>
      <c r="AD77" s="159"/>
      <c r="AE77" s="159"/>
      <c r="AF77" s="159"/>
      <c r="AG77" s="159"/>
      <c r="AH77" s="159"/>
      <c r="AI77" s="159"/>
      <c r="AJ77" s="159"/>
      <c r="AK77" s="159"/>
      <c r="AL77" s="159"/>
      <c r="AM77" s="159"/>
      <c r="AN77" s="159"/>
      <c r="AO77" s="160"/>
    </row>
    <row r="78" spans="2:41" x14ac:dyDescent="0.25">
      <c r="B78" s="383"/>
      <c r="C78" s="384"/>
      <c r="D78" s="384"/>
      <c r="E78" s="384"/>
      <c r="F78" s="384"/>
      <c r="G78" s="384"/>
      <c r="H78" s="384"/>
      <c r="I78" s="384"/>
      <c r="J78" s="384"/>
      <c r="K78" s="384"/>
      <c r="L78" s="384"/>
      <c r="M78" s="384"/>
      <c r="N78" s="384"/>
      <c r="O78" s="384"/>
      <c r="P78" s="384"/>
      <c r="Q78" s="385"/>
      <c r="S78" s="158"/>
      <c r="T78" s="159"/>
      <c r="U78" s="159"/>
      <c r="V78" s="159"/>
      <c r="W78" s="159"/>
      <c r="X78" s="159"/>
      <c r="Y78" s="159"/>
      <c r="Z78" s="159"/>
      <c r="AA78" s="159"/>
      <c r="AB78" s="159"/>
      <c r="AC78" s="159"/>
      <c r="AD78" s="159"/>
      <c r="AE78" s="159"/>
      <c r="AF78" s="159"/>
      <c r="AG78" s="159"/>
      <c r="AH78" s="159"/>
      <c r="AI78" s="159"/>
      <c r="AJ78" s="159"/>
      <c r="AK78" s="159"/>
      <c r="AL78" s="159"/>
      <c r="AM78" s="159"/>
      <c r="AN78" s="159"/>
      <c r="AO78" s="160"/>
    </row>
    <row r="79" spans="2:41" x14ac:dyDescent="0.25">
      <c r="B79" s="383"/>
      <c r="C79" s="384"/>
      <c r="D79" s="384"/>
      <c r="E79" s="384"/>
      <c r="F79" s="384"/>
      <c r="G79" s="384"/>
      <c r="H79" s="384"/>
      <c r="I79" s="384"/>
      <c r="J79" s="384"/>
      <c r="K79" s="384"/>
      <c r="L79" s="384"/>
      <c r="M79" s="384"/>
      <c r="N79" s="384"/>
      <c r="O79" s="384"/>
      <c r="P79" s="384"/>
      <c r="Q79" s="385"/>
      <c r="S79" s="158"/>
      <c r="T79" s="159"/>
      <c r="U79" s="159"/>
      <c r="V79" s="159"/>
      <c r="W79" s="159"/>
      <c r="X79" s="159"/>
      <c r="Y79" s="159"/>
      <c r="Z79" s="159"/>
      <c r="AA79" s="159"/>
      <c r="AB79" s="159"/>
      <c r="AC79" s="159"/>
      <c r="AD79" s="159"/>
      <c r="AE79" s="159"/>
      <c r="AF79" s="159"/>
      <c r="AG79" s="159"/>
      <c r="AH79" s="159"/>
      <c r="AI79" s="159"/>
      <c r="AJ79" s="159"/>
      <c r="AK79" s="159"/>
      <c r="AL79" s="159"/>
      <c r="AM79" s="159"/>
      <c r="AN79" s="159"/>
      <c r="AO79" s="160"/>
    </row>
    <row r="80" spans="2:41" x14ac:dyDescent="0.25">
      <c r="B80" s="383"/>
      <c r="C80" s="384"/>
      <c r="D80" s="384"/>
      <c r="E80" s="384"/>
      <c r="F80" s="384"/>
      <c r="G80" s="384"/>
      <c r="H80" s="384"/>
      <c r="I80" s="384"/>
      <c r="J80" s="384"/>
      <c r="K80" s="384"/>
      <c r="L80" s="384"/>
      <c r="M80" s="384"/>
      <c r="N80" s="384"/>
      <c r="O80" s="384"/>
      <c r="P80" s="384"/>
      <c r="Q80" s="385"/>
      <c r="S80" s="158"/>
      <c r="T80" s="159"/>
      <c r="U80" s="159"/>
      <c r="V80" s="159"/>
      <c r="W80" s="159"/>
      <c r="X80" s="159"/>
      <c r="Y80" s="159"/>
      <c r="Z80" s="159"/>
      <c r="AA80" s="159"/>
      <c r="AB80" s="159"/>
      <c r="AC80" s="159"/>
      <c r="AD80" s="159"/>
      <c r="AE80" s="159"/>
      <c r="AF80" s="159"/>
      <c r="AG80" s="159"/>
      <c r="AH80" s="159"/>
      <c r="AI80" s="159"/>
      <c r="AJ80" s="159"/>
      <c r="AK80" s="159"/>
      <c r="AL80" s="159"/>
      <c r="AM80" s="159"/>
      <c r="AN80" s="159"/>
      <c r="AO80" s="160"/>
    </row>
    <row r="81" spans="2:41" x14ac:dyDescent="0.25">
      <c r="B81" s="383"/>
      <c r="C81" s="384"/>
      <c r="D81" s="384"/>
      <c r="E81" s="384"/>
      <c r="F81" s="384"/>
      <c r="G81" s="384"/>
      <c r="H81" s="384"/>
      <c r="I81" s="384"/>
      <c r="J81" s="384"/>
      <c r="K81" s="384"/>
      <c r="L81" s="384"/>
      <c r="M81" s="384"/>
      <c r="N81" s="384"/>
      <c r="O81" s="384"/>
      <c r="P81" s="384"/>
      <c r="Q81" s="385"/>
      <c r="S81" s="158"/>
      <c r="T81" s="159"/>
      <c r="U81" s="159"/>
      <c r="V81" s="159"/>
      <c r="W81" s="159"/>
      <c r="X81" s="159"/>
      <c r="Y81" s="159"/>
      <c r="Z81" s="159"/>
      <c r="AA81" s="159"/>
      <c r="AB81" s="159"/>
      <c r="AC81" s="159"/>
      <c r="AD81" s="159"/>
      <c r="AE81" s="159"/>
      <c r="AF81" s="159"/>
      <c r="AG81" s="159"/>
      <c r="AH81" s="159"/>
      <c r="AI81" s="159"/>
      <c r="AJ81" s="159"/>
      <c r="AK81" s="159"/>
      <c r="AL81" s="159"/>
      <c r="AM81" s="159"/>
      <c r="AN81" s="159"/>
      <c r="AO81" s="160"/>
    </row>
    <row r="82" spans="2:41" x14ac:dyDescent="0.25">
      <c r="B82" s="383"/>
      <c r="C82" s="384"/>
      <c r="D82" s="384"/>
      <c r="E82" s="384"/>
      <c r="F82" s="384"/>
      <c r="G82" s="384"/>
      <c r="H82" s="384"/>
      <c r="I82" s="384"/>
      <c r="J82" s="384"/>
      <c r="K82" s="384"/>
      <c r="L82" s="384"/>
      <c r="M82" s="384"/>
      <c r="N82" s="384"/>
      <c r="O82" s="384"/>
      <c r="P82" s="384"/>
      <c r="Q82" s="385"/>
      <c r="S82" s="158"/>
      <c r="T82" s="159"/>
      <c r="U82" s="159"/>
      <c r="V82" s="159"/>
      <c r="W82" s="159"/>
      <c r="X82" s="159"/>
      <c r="Y82" s="159"/>
      <c r="Z82" s="159"/>
      <c r="AA82" s="159"/>
      <c r="AB82" s="159"/>
      <c r="AC82" s="159"/>
      <c r="AD82" s="159"/>
      <c r="AE82" s="159"/>
      <c r="AF82" s="159"/>
      <c r="AG82" s="159"/>
      <c r="AH82" s="159"/>
      <c r="AI82" s="159"/>
      <c r="AJ82" s="159"/>
      <c r="AK82" s="159"/>
      <c r="AL82" s="159"/>
      <c r="AM82" s="159"/>
      <c r="AN82" s="159"/>
      <c r="AO82" s="160"/>
    </row>
    <row r="83" spans="2:41" x14ac:dyDescent="0.25">
      <c r="B83" s="383"/>
      <c r="C83" s="384"/>
      <c r="D83" s="384"/>
      <c r="E83" s="384"/>
      <c r="F83" s="384"/>
      <c r="G83" s="384"/>
      <c r="H83" s="384"/>
      <c r="I83" s="384"/>
      <c r="J83" s="384"/>
      <c r="K83" s="384"/>
      <c r="L83" s="384"/>
      <c r="M83" s="384"/>
      <c r="N83" s="384"/>
      <c r="O83" s="384"/>
      <c r="P83" s="384"/>
      <c r="Q83" s="385"/>
      <c r="S83" s="158"/>
      <c r="T83" s="159"/>
      <c r="U83" s="159"/>
      <c r="V83" s="159"/>
      <c r="W83" s="159"/>
      <c r="X83" s="159"/>
      <c r="Y83" s="159"/>
      <c r="Z83" s="159"/>
      <c r="AA83" s="159"/>
      <c r="AB83" s="159"/>
      <c r="AC83" s="159"/>
      <c r="AD83" s="159"/>
      <c r="AE83" s="159"/>
      <c r="AF83" s="159"/>
      <c r="AG83" s="159"/>
      <c r="AH83" s="159"/>
      <c r="AI83" s="159"/>
      <c r="AJ83" s="159"/>
      <c r="AK83" s="159"/>
      <c r="AL83" s="159"/>
      <c r="AM83" s="159"/>
      <c r="AN83" s="159"/>
      <c r="AO83" s="160"/>
    </row>
    <row r="84" spans="2:41" ht="15.6" thickBot="1" x14ac:dyDescent="0.3">
      <c r="B84" s="383"/>
      <c r="C84" s="384"/>
      <c r="D84" s="384"/>
      <c r="E84" s="384"/>
      <c r="F84" s="384"/>
      <c r="G84" s="384"/>
      <c r="H84" s="384"/>
      <c r="I84" s="384"/>
      <c r="J84" s="384"/>
      <c r="K84" s="384"/>
      <c r="L84" s="384"/>
      <c r="M84" s="384"/>
      <c r="N84" s="384"/>
      <c r="O84" s="384"/>
      <c r="P84" s="384"/>
      <c r="Q84" s="385"/>
      <c r="S84" s="161"/>
      <c r="T84" s="162"/>
      <c r="U84" s="162"/>
      <c r="V84" s="162"/>
      <c r="W84" s="162"/>
      <c r="X84" s="162"/>
      <c r="Y84" s="162"/>
      <c r="Z84" s="162"/>
      <c r="AA84" s="162"/>
      <c r="AB84" s="162"/>
      <c r="AC84" s="162"/>
      <c r="AD84" s="162"/>
      <c r="AE84" s="162"/>
      <c r="AF84" s="162"/>
      <c r="AG84" s="162"/>
      <c r="AH84" s="162"/>
      <c r="AI84" s="162"/>
      <c r="AJ84" s="162"/>
      <c r="AK84" s="162"/>
      <c r="AL84" s="162"/>
      <c r="AM84" s="162"/>
      <c r="AN84" s="162"/>
      <c r="AO84" s="163"/>
    </row>
    <row r="85" spans="2:41" ht="16.5" customHeight="1" thickBot="1" x14ac:dyDescent="0.3">
      <c r="B85" s="383"/>
      <c r="C85" s="384"/>
      <c r="D85" s="384"/>
      <c r="E85" s="384"/>
      <c r="F85" s="384"/>
      <c r="G85" s="384"/>
      <c r="H85" s="384"/>
      <c r="I85" s="384"/>
      <c r="J85" s="384"/>
      <c r="K85" s="384"/>
      <c r="L85" s="384"/>
      <c r="M85" s="384"/>
      <c r="N85" s="384"/>
      <c r="O85" s="384"/>
      <c r="P85" s="384"/>
      <c r="Q85" s="385"/>
    </row>
    <row r="86" spans="2:41" x14ac:dyDescent="0.25">
      <c r="B86" s="383"/>
      <c r="C86" s="384"/>
      <c r="D86" s="384"/>
      <c r="E86" s="384"/>
      <c r="F86" s="384"/>
      <c r="G86" s="384"/>
      <c r="H86" s="384"/>
      <c r="I86" s="384"/>
      <c r="J86" s="384"/>
      <c r="K86" s="384"/>
      <c r="L86" s="384"/>
      <c r="M86" s="384"/>
      <c r="N86" s="384"/>
      <c r="O86" s="384"/>
      <c r="P86" s="384"/>
      <c r="Q86" s="385"/>
      <c r="S86" s="164" t="s">
        <v>412</v>
      </c>
      <c r="T86" s="165"/>
      <c r="U86" s="165"/>
      <c r="V86" s="165"/>
      <c r="W86" s="165"/>
      <c r="X86" s="165"/>
      <c r="Y86" s="165"/>
      <c r="Z86" s="165"/>
      <c r="AA86" s="165"/>
      <c r="AB86" s="166"/>
      <c r="AD86" s="164" t="s">
        <v>13</v>
      </c>
      <c r="AE86" s="165"/>
      <c r="AF86" s="165"/>
      <c r="AG86" s="165"/>
      <c r="AH86" s="165"/>
      <c r="AI86" s="165"/>
      <c r="AJ86" s="165"/>
      <c r="AK86" s="165"/>
      <c r="AL86" s="165"/>
      <c r="AM86" s="165"/>
      <c r="AN86" s="165"/>
      <c r="AO86" s="166"/>
    </row>
    <row r="87" spans="2:41" ht="17.25" customHeight="1" x14ac:dyDescent="0.25">
      <c r="B87" s="383"/>
      <c r="C87" s="384"/>
      <c r="D87" s="384"/>
      <c r="E87" s="384"/>
      <c r="F87" s="384"/>
      <c r="G87" s="384"/>
      <c r="H87" s="384"/>
      <c r="I87" s="384"/>
      <c r="J87" s="384"/>
      <c r="K87" s="384"/>
      <c r="L87" s="384"/>
      <c r="M87" s="384"/>
      <c r="N87" s="384"/>
      <c r="O87" s="384"/>
      <c r="P87" s="384"/>
      <c r="Q87" s="385"/>
      <c r="S87" s="118" t="s">
        <v>515</v>
      </c>
      <c r="T87" s="119"/>
      <c r="U87" s="119"/>
      <c r="V87" s="119"/>
      <c r="W87" s="119"/>
      <c r="X87" s="119"/>
      <c r="Y87" s="119"/>
      <c r="Z87" s="119"/>
      <c r="AA87" s="119"/>
      <c r="AB87" s="120"/>
      <c r="AD87" s="379" t="s">
        <v>411</v>
      </c>
      <c r="AE87" s="377"/>
      <c r="AF87" s="377"/>
      <c r="AG87" s="377"/>
      <c r="AH87" s="377"/>
      <c r="AI87" s="377"/>
      <c r="AJ87" s="377"/>
      <c r="AK87" s="377" t="s">
        <v>410</v>
      </c>
      <c r="AL87" s="377"/>
      <c r="AM87" s="377"/>
      <c r="AN87" s="377"/>
      <c r="AO87" s="378"/>
    </row>
    <row r="88" spans="2:41" ht="15.6" thickBot="1" x14ac:dyDescent="0.3">
      <c r="B88" s="368"/>
      <c r="C88" s="369"/>
      <c r="D88" s="369"/>
      <c r="E88" s="369"/>
      <c r="F88" s="369"/>
      <c r="G88" s="369"/>
      <c r="H88" s="369"/>
      <c r="I88" s="369"/>
      <c r="J88" s="369"/>
      <c r="K88" s="369"/>
      <c r="L88" s="369"/>
      <c r="M88" s="369"/>
      <c r="N88" s="369"/>
      <c r="O88" s="369"/>
      <c r="P88" s="369"/>
      <c r="Q88" s="370"/>
      <c r="S88" s="121"/>
      <c r="T88" s="122"/>
      <c r="U88" s="122"/>
      <c r="V88" s="122"/>
      <c r="W88" s="122"/>
      <c r="X88" s="122"/>
      <c r="Y88" s="122"/>
      <c r="Z88" s="122"/>
      <c r="AA88" s="122"/>
      <c r="AB88" s="123"/>
      <c r="AD88" s="114"/>
      <c r="AE88" s="112"/>
      <c r="AF88" s="112"/>
      <c r="AG88" s="112"/>
      <c r="AH88" s="112"/>
      <c r="AI88" s="112"/>
      <c r="AJ88" s="115"/>
      <c r="AK88" s="111"/>
      <c r="AL88" s="112"/>
      <c r="AM88" s="112"/>
      <c r="AN88" s="112"/>
      <c r="AO88" s="113"/>
    </row>
    <row r="89" spans="2:41" ht="16.5" customHeight="1" thickBot="1" x14ac:dyDescent="0.3">
      <c r="S89" s="125" t="s">
        <v>501</v>
      </c>
      <c r="T89" s="126"/>
      <c r="U89" s="126"/>
      <c r="V89" s="126"/>
      <c r="W89" s="126"/>
      <c r="X89" s="126"/>
      <c r="Y89" s="126"/>
      <c r="Z89" s="126"/>
      <c r="AA89" s="126"/>
      <c r="AB89" s="127"/>
      <c r="AD89" s="108"/>
      <c r="AE89" s="109"/>
      <c r="AF89" s="109"/>
      <c r="AG89" s="109"/>
      <c r="AH89" s="109"/>
      <c r="AI89" s="109"/>
      <c r="AJ89" s="110"/>
      <c r="AK89" s="116"/>
      <c r="AL89" s="109"/>
      <c r="AM89" s="109"/>
      <c r="AN89" s="109"/>
      <c r="AO89" s="117"/>
    </row>
    <row r="90" spans="2:41" x14ac:dyDescent="0.25">
      <c r="B90" s="164" t="s">
        <v>361</v>
      </c>
      <c r="C90" s="165"/>
      <c r="D90" s="165"/>
      <c r="E90" s="165"/>
      <c r="F90" s="165"/>
      <c r="G90" s="165"/>
      <c r="H90" s="165"/>
      <c r="I90" s="165"/>
      <c r="J90" s="165"/>
      <c r="K90" s="165"/>
      <c r="L90" s="165"/>
      <c r="M90" s="165"/>
      <c r="N90" s="165"/>
      <c r="O90" s="165"/>
      <c r="P90" s="165"/>
      <c r="Q90" s="166"/>
      <c r="S90" s="128"/>
      <c r="T90" s="129"/>
      <c r="U90" s="129"/>
      <c r="V90" s="129"/>
      <c r="W90" s="129"/>
      <c r="X90" s="129"/>
      <c r="Y90" s="129"/>
      <c r="Z90" s="129"/>
      <c r="AA90" s="129"/>
      <c r="AB90" s="130"/>
      <c r="AD90" s="114"/>
      <c r="AE90" s="112"/>
      <c r="AF90" s="112"/>
      <c r="AG90" s="112"/>
      <c r="AH90" s="112"/>
      <c r="AI90" s="112"/>
      <c r="AJ90" s="115"/>
      <c r="AK90" s="111"/>
      <c r="AL90" s="112"/>
      <c r="AM90" s="112"/>
      <c r="AN90" s="112"/>
      <c r="AO90" s="113"/>
    </row>
    <row r="91" spans="2:41" x14ac:dyDescent="0.25">
      <c r="B91" s="153" t="s">
        <v>363</v>
      </c>
      <c r="C91" s="154"/>
      <c r="D91" s="154"/>
      <c r="E91" s="154"/>
      <c r="F91" s="150" t="s">
        <v>39</v>
      </c>
      <c r="G91" s="150"/>
      <c r="H91" s="150" t="s">
        <v>40</v>
      </c>
      <c r="I91" s="150"/>
      <c r="J91" s="150" t="s">
        <v>41</v>
      </c>
      <c r="K91" s="150"/>
      <c r="L91" s="150" t="s">
        <v>42</v>
      </c>
      <c r="M91" s="150"/>
      <c r="N91" s="150" t="s">
        <v>43</v>
      </c>
      <c r="O91" s="150"/>
      <c r="P91" s="150" t="s">
        <v>44</v>
      </c>
      <c r="Q91" s="151"/>
      <c r="S91" s="118"/>
      <c r="T91" s="119"/>
      <c r="U91" s="119"/>
      <c r="V91" s="119"/>
      <c r="W91" s="119"/>
      <c r="X91" s="119"/>
      <c r="Y91" s="119"/>
      <c r="Z91" s="119"/>
      <c r="AA91" s="119"/>
      <c r="AB91" s="120"/>
      <c r="AD91" s="108"/>
      <c r="AE91" s="109"/>
      <c r="AF91" s="109"/>
      <c r="AG91" s="109"/>
      <c r="AH91" s="109"/>
      <c r="AI91" s="109"/>
      <c r="AJ91" s="110"/>
      <c r="AK91" s="116"/>
      <c r="AL91" s="109"/>
      <c r="AM91" s="109"/>
      <c r="AN91" s="109"/>
      <c r="AO91" s="117"/>
    </row>
    <row r="92" spans="2:41" x14ac:dyDescent="0.25">
      <c r="B92" s="153"/>
      <c r="C92" s="154"/>
      <c r="D92" s="154"/>
      <c r="E92" s="154"/>
      <c r="F92" s="150" t="s">
        <v>366</v>
      </c>
      <c r="G92" s="150"/>
      <c r="H92" s="150" t="s">
        <v>46</v>
      </c>
      <c r="I92" s="150"/>
      <c r="J92" s="150" t="s">
        <v>45</v>
      </c>
      <c r="K92" s="150"/>
      <c r="L92" s="150" t="s">
        <v>47</v>
      </c>
      <c r="M92" s="150"/>
      <c r="N92" s="150" t="s">
        <v>48</v>
      </c>
      <c r="O92" s="150"/>
      <c r="P92" s="150">
        <v>1</v>
      </c>
      <c r="Q92" s="151"/>
      <c r="S92" s="121"/>
      <c r="T92" s="122"/>
      <c r="U92" s="122"/>
      <c r="V92" s="122"/>
      <c r="W92" s="122"/>
      <c r="X92" s="122"/>
      <c r="Y92" s="122"/>
      <c r="Z92" s="122"/>
      <c r="AA92" s="122"/>
      <c r="AB92" s="123"/>
      <c r="AD92" s="114"/>
      <c r="AE92" s="112"/>
      <c r="AF92" s="112"/>
      <c r="AG92" s="112"/>
      <c r="AH92" s="112"/>
      <c r="AI92" s="112"/>
      <c r="AJ92" s="115"/>
      <c r="AK92" s="111"/>
      <c r="AL92" s="112"/>
      <c r="AM92" s="112"/>
      <c r="AN92" s="112"/>
      <c r="AO92" s="113"/>
    </row>
    <row r="93" spans="2:41" x14ac:dyDescent="0.25">
      <c r="B93" s="153" t="s">
        <v>453</v>
      </c>
      <c r="C93" s="154"/>
      <c r="D93" s="154"/>
      <c r="E93" s="154"/>
      <c r="F93" s="154"/>
      <c r="G93" s="154"/>
      <c r="H93" s="154"/>
      <c r="I93" s="154"/>
      <c r="J93" s="154"/>
      <c r="K93" s="154"/>
      <c r="L93" s="154"/>
      <c r="M93" s="154"/>
      <c r="N93" s="154"/>
      <c r="O93" s="154"/>
      <c r="P93" s="154"/>
      <c r="Q93" s="167"/>
      <c r="S93" s="125"/>
      <c r="T93" s="126"/>
      <c r="U93" s="126"/>
      <c r="V93" s="126"/>
      <c r="W93" s="126"/>
      <c r="X93" s="126"/>
      <c r="Y93" s="126"/>
      <c r="Z93" s="126"/>
      <c r="AA93" s="126"/>
      <c r="AB93" s="127"/>
      <c r="AD93" s="108"/>
      <c r="AE93" s="109"/>
      <c r="AF93" s="109"/>
      <c r="AG93" s="109"/>
      <c r="AH93" s="109"/>
      <c r="AI93" s="109"/>
      <c r="AJ93" s="110"/>
      <c r="AK93" s="116"/>
      <c r="AL93" s="109"/>
      <c r="AM93" s="109"/>
      <c r="AN93" s="109"/>
      <c r="AO93" s="117"/>
    </row>
    <row r="94" spans="2:41" x14ac:dyDescent="0.25">
      <c r="B94" s="153"/>
      <c r="C94" s="154"/>
      <c r="D94" s="154"/>
      <c r="E94" s="154"/>
      <c r="F94" s="154"/>
      <c r="G94" s="154"/>
      <c r="H94" s="154"/>
      <c r="I94" s="154"/>
      <c r="J94" s="154"/>
      <c r="K94" s="154"/>
      <c r="L94" s="154"/>
      <c r="M94" s="154"/>
      <c r="N94" s="154"/>
      <c r="O94" s="154"/>
      <c r="P94" s="154"/>
      <c r="Q94" s="167"/>
      <c r="S94" s="128"/>
      <c r="T94" s="129"/>
      <c r="U94" s="129"/>
      <c r="V94" s="129"/>
      <c r="W94" s="129"/>
      <c r="X94" s="129"/>
      <c r="Y94" s="129"/>
      <c r="Z94" s="129"/>
      <c r="AA94" s="129"/>
      <c r="AB94" s="130"/>
      <c r="AD94" s="114"/>
      <c r="AE94" s="112"/>
      <c r="AF94" s="112"/>
      <c r="AG94" s="112"/>
      <c r="AH94" s="112"/>
      <c r="AI94" s="112"/>
      <c r="AJ94" s="115"/>
      <c r="AK94" s="111"/>
      <c r="AL94" s="112"/>
      <c r="AM94" s="112"/>
      <c r="AN94" s="112"/>
      <c r="AO94" s="113"/>
    </row>
    <row r="95" spans="2:41" x14ac:dyDescent="0.25">
      <c r="B95" s="152" t="s">
        <v>49</v>
      </c>
      <c r="C95" s="150"/>
      <c r="D95" s="150"/>
      <c r="E95" s="150"/>
      <c r="F95" s="150"/>
      <c r="G95" s="150"/>
      <c r="H95" s="150"/>
      <c r="I95" s="150"/>
      <c r="J95" s="150" t="s">
        <v>365</v>
      </c>
      <c r="K95" s="150"/>
      <c r="L95" s="150"/>
      <c r="M95" s="150"/>
      <c r="N95" s="150"/>
      <c r="O95" s="150"/>
      <c r="P95" s="150"/>
      <c r="Q95" s="151"/>
      <c r="S95" s="118"/>
      <c r="T95" s="119"/>
      <c r="U95" s="119"/>
      <c r="V95" s="119"/>
      <c r="W95" s="119"/>
      <c r="X95" s="119"/>
      <c r="Y95" s="119"/>
      <c r="Z95" s="119"/>
      <c r="AA95" s="119"/>
      <c r="AB95" s="120"/>
      <c r="AD95" s="108"/>
      <c r="AE95" s="109"/>
      <c r="AF95" s="109"/>
      <c r="AG95" s="109"/>
      <c r="AH95" s="109"/>
      <c r="AI95" s="109"/>
      <c r="AJ95" s="110"/>
      <c r="AK95" s="116"/>
      <c r="AL95" s="109"/>
      <c r="AM95" s="109"/>
      <c r="AN95" s="109"/>
      <c r="AO95" s="117"/>
    </row>
    <row r="96" spans="2:41" x14ac:dyDescent="0.25">
      <c r="B96" s="152" t="s">
        <v>50</v>
      </c>
      <c r="C96" s="150"/>
      <c r="D96" s="150"/>
      <c r="E96" s="150" t="s">
        <v>53</v>
      </c>
      <c r="F96" s="150"/>
      <c r="G96" s="150"/>
      <c r="H96" s="150"/>
      <c r="I96" s="150"/>
      <c r="J96" s="150"/>
      <c r="K96" s="150"/>
      <c r="L96" s="150"/>
      <c r="M96" s="150"/>
      <c r="N96" s="150"/>
      <c r="O96" s="150"/>
      <c r="P96" s="150"/>
      <c r="Q96" s="151"/>
      <c r="S96" s="121"/>
      <c r="T96" s="122"/>
      <c r="U96" s="122"/>
      <c r="V96" s="122"/>
      <c r="W96" s="122"/>
      <c r="X96" s="122"/>
      <c r="Y96" s="122"/>
      <c r="Z96" s="122"/>
      <c r="AA96" s="122"/>
      <c r="AB96" s="123"/>
      <c r="AD96" s="114"/>
      <c r="AE96" s="112"/>
      <c r="AF96" s="112"/>
      <c r="AG96" s="112"/>
      <c r="AH96" s="112"/>
      <c r="AI96" s="112"/>
      <c r="AJ96" s="115"/>
      <c r="AK96" s="111"/>
      <c r="AL96" s="112"/>
      <c r="AM96" s="112"/>
      <c r="AN96" s="112"/>
      <c r="AO96" s="113"/>
    </row>
    <row r="97" spans="2:41" x14ac:dyDescent="0.25">
      <c r="B97" s="152" t="s">
        <v>51</v>
      </c>
      <c r="C97" s="150"/>
      <c r="D97" s="150"/>
      <c r="E97" s="150" t="s">
        <v>54</v>
      </c>
      <c r="F97" s="150"/>
      <c r="G97" s="150"/>
      <c r="H97" s="150"/>
      <c r="I97" s="150"/>
      <c r="J97" s="150"/>
      <c r="K97" s="150"/>
      <c r="L97" s="150"/>
      <c r="M97" s="150"/>
      <c r="N97" s="150"/>
      <c r="O97" s="150"/>
      <c r="P97" s="150"/>
      <c r="Q97" s="151"/>
      <c r="S97" s="125"/>
      <c r="T97" s="126"/>
      <c r="U97" s="126"/>
      <c r="V97" s="126"/>
      <c r="W97" s="126"/>
      <c r="X97" s="126"/>
      <c r="Y97" s="126"/>
      <c r="Z97" s="126"/>
      <c r="AA97" s="126"/>
      <c r="AB97" s="127"/>
      <c r="AD97" s="108"/>
      <c r="AE97" s="109"/>
      <c r="AF97" s="109"/>
      <c r="AG97" s="109"/>
      <c r="AH97" s="109"/>
      <c r="AI97" s="109"/>
      <c r="AJ97" s="110"/>
      <c r="AK97" s="116"/>
      <c r="AL97" s="109"/>
      <c r="AM97" s="109"/>
      <c r="AN97" s="109"/>
      <c r="AO97" s="117"/>
    </row>
    <row r="98" spans="2:41" x14ac:dyDescent="0.25">
      <c r="B98" s="152" t="s">
        <v>52</v>
      </c>
      <c r="C98" s="150"/>
      <c r="D98" s="150"/>
      <c r="E98" s="154" t="s">
        <v>55</v>
      </c>
      <c r="F98" s="154"/>
      <c r="G98" s="154"/>
      <c r="H98" s="154"/>
      <c r="I98" s="154"/>
      <c r="J98" s="154"/>
      <c r="K98" s="154"/>
      <c r="L98" s="154"/>
      <c r="M98" s="154"/>
      <c r="N98" s="154"/>
      <c r="O98" s="154"/>
      <c r="P98" s="154"/>
      <c r="Q98" s="167"/>
      <c r="S98" s="128"/>
      <c r="T98" s="129"/>
      <c r="U98" s="129"/>
      <c r="V98" s="129"/>
      <c r="W98" s="129"/>
      <c r="X98" s="129"/>
      <c r="Y98" s="129"/>
      <c r="Z98" s="129"/>
      <c r="AA98" s="129"/>
      <c r="AB98" s="130"/>
      <c r="AD98" s="114"/>
      <c r="AE98" s="112"/>
      <c r="AF98" s="112"/>
      <c r="AG98" s="112"/>
      <c r="AH98" s="112"/>
      <c r="AI98" s="112"/>
      <c r="AJ98" s="115"/>
      <c r="AK98" s="111"/>
      <c r="AL98" s="112"/>
      <c r="AM98" s="112"/>
      <c r="AN98" s="112"/>
      <c r="AO98" s="113"/>
    </row>
    <row r="99" spans="2:41" x14ac:dyDescent="0.25">
      <c r="B99" s="152"/>
      <c r="C99" s="150"/>
      <c r="D99" s="150"/>
      <c r="E99" s="154"/>
      <c r="F99" s="154"/>
      <c r="G99" s="154"/>
      <c r="H99" s="154"/>
      <c r="I99" s="154"/>
      <c r="J99" s="154"/>
      <c r="K99" s="154"/>
      <c r="L99" s="154"/>
      <c r="M99" s="154"/>
      <c r="N99" s="154"/>
      <c r="O99" s="154"/>
      <c r="P99" s="154"/>
      <c r="Q99" s="167"/>
      <c r="S99" s="118"/>
      <c r="T99" s="119"/>
      <c r="U99" s="119"/>
      <c r="V99" s="119"/>
      <c r="W99" s="119"/>
      <c r="X99" s="119"/>
      <c r="Y99" s="119"/>
      <c r="Z99" s="119"/>
      <c r="AA99" s="119"/>
      <c r="AB99" s="120"/>
      <c r="AD99" s="376"/>
      <c r="AE99" s="374"/>
      <c r="AF99" s="374"/>
      <c r="AG99" s="374"/>
      <c r="AH99" s="374"/>
      <c r="AI99" s="374"/>
      <c r="AJ99" s="374"/>
      <c r="AK99" s="374"/>
      <c r="AL99" s="374"/>
      <c r="AM99" s="374"/>
      <c r="AN99" s="374"/>
      <c r="AO99" s="375"/>
    </row>
    <row r="100" spans="2:41" ht="15.6" thickBot="1" x14ac:dyDescent="0.3">
      <c r="B100" s="348" t="s">
        <v>56</v>
      </c>
      <c r="C100" s="346"/>
      <c r="D100" s="346"/>
      <c r="E100" s="346"/>
      <c r="F100" s="346"/>
      <c r="G100" s="346"/>
      <c r="H100" s="346"/>
      <c r="I100" s="346"/>
      <c r="J100" s="346" t="s">
        <v>57</v>
      </c>
      <c r="K100" s="346"/>
      <c r="L100" s="346"/>
      <c r="M100" s="346"/>
      <c r="N100" s="346"/>
      <c r="O100" s="346"/>
      <c r="P100" s="346"/>
      <c r="Q100" s="347"/>
      <c r="S100" s="368"/>
      <c r="T100" s="369"/>
      <c r="U100" s="369"/>
      <c r="V100" s="369"/>
      <c r="W100" s="369"/>
      <c r="X100" s="369"/>
      <c r="Y100" s="369"/>
      <c r="Z100" s="369"/>
      <c r="AA100" s="369"/>
      <c r="AB100" s="370"/>
      <c r="AD100" s="373"/>
      <c r="AE100" s="371"/>
      <c r="AF100" s="371"/>
      <c r="AG100" s="371"/>
      <c r="AH100" s="371"/>
      <c r="AI100" s="371"/>
      <c r="AJ100" s="371"/>
      <c r="AK100" s="371"/>
      <c r="AL100" s="371"/>
      <c r="AM100" s="371"/>
      <c r="AN100" s="371"/>
      <c r="AO100" s="372"/>
    </row>
    <row r="101" spans="2:41" x14ac:dyDescent="0.25">
      <c r="B101" s="148" t="s">
        <v>935</v>
      </c>
      <c r="C101" s="148"/>
      <c r="D101" s="148"/>
      <c r="E101" s="148"/>
      <c r="F101" s="148"/>
    </row>
  </sheetData>
  <sheetProtection sheet="1" objects="1" scenarios="1"/>
  <protectedRanges>
    <protectedRange sqref="D3 D4 D5 D6 D7 D8 M4 M6 S3:T8 Y3:Z8 AE3:AF6 AJ2 F10 N10 V10 AD10 J15:O46 AD15:AI46 W41:AC46 E33:G38 E43:G46 E19:G21 Y30:AA32 Y36 Y40 Y26 B51:F55 G55:J55 M55:AF55 D60 N60 B61 B67:Q75 W59:AO74 S75 B78 S89:AB100 AD88:AJ100 AK88:AO100" name="区域1"/>
  </protectedRanges>
  <mergeCells count="791">
    <mergeCell ref="AD55:AF55"/>
    <mergeCell ref="B55:F55"/>
    <mergeCell ref="G55:I55"/>
    <mergeCell ref="M55:Q55"/>
    <mergeCell ref="R55:T55"/>
    <mergeCell ref="U55:W55"/>
    <mergeCell ref="X55:Z55"/>
    <mergeCell ref="AA55:AC55"/>
    <mergeCell ref="B54:F54"/>
    <mergeCell ref="G54:I54"/>
    <mergeCell ref="M54:Q54"/>
    <mergeCell ref="R54:T54"/>
    <mergeCell ref="U54:W54"/>
    <mergeCell ref="X54:Z54"/>
    <mergeCell ref="AA54:AC54"/>
    <mergeCell ref="AD54:AF54"/>
    <mergeCell ref="R50:T50"/>
    <mergeCell ref="U50:W50"/>
    <mergeCell ref="X50:Z50"/>
    <mergeCell ref="AA50:AC50"/>
    <mergeCell ref="AD50:AF50"/>
    <mergeCell ref="AD52:AF52"/>
    <mergeCell ref="B52:F52"/>
    <mergeCell ref="G52:I52"/>
    <mergeCell ref="M52:Q52"/>
    <mergeCell ref="AD86:AO86"/>
    <mergeCell ref="B77:Q77"/>
    <mergeCell ref="B75:Q75"/>
    <mergeCell ref="B78:Q88"/>
    <mergeCell ref="W36:X36"/>
    <mergeCell ref="Y36:AA36"/>
    <mergeCell ref="AH48:AO48"/>
    <mergeCell ref="AL49:AO50"/>
    <mergeCell ref="AH49:AK50"/>
    <mergeCell ref="AH51:AK52"/>
    <mergeCell ref="AH53:AK54"/>
    <mergeCell ref="AL51:AO52"/>
    <mergeCell ref="AL53:AM54"/>
    <mergeCell ref="AN53:AO53"/>
    <mergeCell ref="AN54:AO54"/>
    <mergeCell ref="AD47:AL47"/>
    <mergeCell ref="B53:F53"/>
    <mergeCell ref="G53:I53"/>
    <mergeCell ref="M53:Q53"/>
    <mergeCell ref="R53:T53"/>
    <mergeCell ref="U53:W53"/>
    <mergeCell ref="X53:Z53"/>
    <mergeCell ref="AA53:AC53"/>
    <mergeCell ref="AD53:AF53"/>
    <mergeCell ref="Z10:AC11"/>
    <mergeCell ref="AD10:AE11"/>
    <mergeCell ref="AF10:AG11"/>
    <mergeCell ref="X10:Y11"/>
    <mergeCell ref="AB20:AC20"/>
    <mergeCell ref="AD21:AE21"/>
    <mergeCell ref="AF21:AG21"/>
    <mergeCell ref="S99:AB100"/>
    <mergeCell ref="AK100:AO100"/>
    <mergeCell ref="AD100:AJ100"/>
    <mergeCell ref="AK99:AO99"/>
    <mergeCell ref="AD99:AJ99"/>
    <mergeCell ref="AK97:AO97"/>
    <mergeCell ref="AD97:AJ97"/>
    <mergeCell ref="AK96:AO96"/>
    <mergeCell ref="AD96:AJ96"/>
    <mergeCell ref="S95:AB96"/>
    <mergeCell ref="S97:AB98"/>
    <mergeCell ref="AK98:AO98"/>
    <mergeCell ref="AD98:AJ98"/>
    <mergeCell ref="AK95:AO95"/>
    <mergeCell ref="AD95:AJ95"/>
    <mergeCell ref="AK87:AO87"/>
    <mergeCell ref="AD87:AJ87"/>
    <mergeCell ref="W3:X4"/>
    <mergeCell ref="W5:X6"/>
    <mergeCell ref="W7:X8"/>
    <mergeCell ref="Y5:Z6"/>
    <mergeCell ref="Y7:Z8"/>
    <mergeCell ref="AA3:AB3"/>
    <mergeCell ref="AA4:AB4"/>
    <mergeCell ref="AA5:AB5"/>
    <mergeCell ref="AA6:AB6"/>
    <mergeCell ref="AA7:AB7"/>
    <mergeCell ref="AA8:AB8"/>
    <mergeCell ref="Y3:Z4"/>
    <mergeCell ref="B3:C3"/>
    <mergeCell ref="B4:C4"/>
    <mergeCell ref="B5:C5"/>
    <mergeCell ref="B6:C6"/>
    <mergeCell ref="B7:C7"/>
    <mergeCell ref="B8:C8"/>
    <mergeCell ref="Q3:R4"/>
    <mergeCell ref="Q5:R6"/>
    <mergeCell ref="Q7:R8"/>
    <mergeCell ref="J5:L5"/>
    <mergeCell ref="D5:I5"/>
    <mergeCell ref="M5:O5"/>
    <mergeCell ref="J4:L4"/>
    <mergeCell ref="J6:L6"/>
    <mergeCell ref="M4:O4"/>
    <mergeCell ref="M6:O6"/>
    <mergeCell ref="B96:D96"/>
    <mergeCell ref="B97:D97"/>
    <mergeCell ref="B98:D99"/>
    <mergeCell ref="E98:Q99"/>
    <mergeCell ref="J100:Q100"/>
    <mergeCell ref="B100:I100"/>
    <mergeCell ref="J47:R47"/>
    <mergeCell ref="L20:M20"/>
    <mergeCell ref="N20:O20"/>
    <mergeCell ref="J24:K24"/>
    <mergeCell ref="L24:M24"/>
    <mergeCell ref="N24:O24"/>
    <mergeCell ref="P24:Q24"/>
    <mergeCell ref="R24:S24"/>
    <mergeCell ref="G49:I49"/>
    <mergeCell ref="S86:AB86"/>
    <mergeCell ref="R52:T52"/>
    <mergeCell ref="U52:W52"/>
    <mergeCell ref="X52:Z52"/>
    <mergeCell ref="AA52:AC52"/>
    <mergeCell ref="AA49:AC49"/>
    <mergeCell ref="X49:Z49"/>
    <mergeCell ref="U49:W49"/>
    <mergeCell ref="R49:T49"/>
    <mergeCell ref="S3:T4"/>
    <mergeCell ref="N30:O30"/>
    <mergeCell ref="P30:Q30"/>
    <mergeCell ref="R30:S30"/>
    <mergeCell ref="T30:U30"/>
    <mergeCell ref="J16:K16"/>
    <mergeCell ref="L16:M16"/>
    <mergeCell ref="N16:O16"/>
    <mergeCell ref="P16:Q16"/>
    <mergeCell ref="R16:S16"/>
    <mergeCell ref="T16:U16"/>
    <mergeCell ref="J17:K17"/>
    <mergeCell ref="L17:M17"/>
    <mergeCell ref="N17:O17"/>
    <mergeCell ref="P17:Q17"/>
    <mergeCell ref="R18:S18"/>
    <mergeCell ref="T18:U18"/>
    <mergeCell ref="J19:K19"/>
    <mergeCell ref="L19:M19"/>
    <mergeCell ref="N19:O19"/>
    <mergeCell ref="P19:Q19"/>
    <mergeCell ref="R19:S19"/>
    <mergeCell ref="T19:U19"/>
    <mergeCell ref="J20:K20"/>
    <mergeCell ref="H15:I15"/>
    <mergeCell ref="H16:I16"/>
    <mergeCell ref="R17:S17"/>
    <mergeCell ref="T17:U17"/>
    <mergeCell ref="J18:K18"/>
    <mergeCell ref="L18:M18"/>
    <mergeCell ref="N18:O18"/>
    <mergeCell ref="P18:Q18"/>
    <mergeCell ref="J23:K23"/>
    <mergeCell ref="L23:M23"/>
    <mergeCell ref="N23:O23"/>
    <mergeCell ref="H22:I22"/>
    <mergeCell ref="U6:V6"/>
    <mergeCell ref="U7:V7"/>
    <mergeCell ref="U8:V8"/>
    <mergeCell ref="J30:K30"/>
    <mergeCell ref="L30:M30"/>
    <mergeCell ref="J10:M11"/>
    <mergeCell ref="N10:O11"/>
    <mergeCell ref="P10:Q11"/>
    <mergeCell ref="R10:U11"/>
    <mergeCell ref="V10:W11"/>
    <mergeCell ref="J22:K22"/>
    <mergeCell ref="L22:M22"/>
    <mergeCell ref="L15:M15"/>
    <mergeCell ref="J25:K25"/>
    <mergeCell ref="L25:M25"/>
    <mergeCell ref="N25:O25"/>
    <mergeCell ref="P25:Q25"/>
    <mergeCell ref="R25:S25"/>
    <mergeCell ref="T25:U25"/>
    <mergeCell ref="J14:K14"/>
    <mergeCell ref="J15:K15"/>
    <mergeCell ref="J29:K29"/>
    <mergeCell ref="L29:M29"/>
    <mergeCell ref="N29:O29"/>
    <mergeCell ref="Q2:AH2"/>
    <mergeCell ref="AJ2:AO8"/>
    <mergeCell ref="B2:O2"/>
    <mergeCell ref="D3:O3"/>
    <mergeCell ref="D4:I4"/>
    <mergeCell ref="D6:I6"/>
    <mergeCell ref="D7:O7"/>
    <mergeCell ref="D8:O8"/>
    <mergeCell ref="AC3:AD4"/>
    <mergeCell ref="AC5:AD6"/>
    <mergeCell ref="AC7:AD8"/>
    <mergeCell ref="AE3:AF4"/>
    <mergeCell ref="AE5:AF6"/>
    <mergeCell ref="AE7:AF8"/>
    <mergeCell ref="AG3:AH3"/>
    <mergeCell ref="AG4:AH4"/>
    <mergeCell ref="AG5:AH5"/>
    <mergeCell ref="AG6:AH6"/>
    <mergeCell ref="AG7:AH7"/>
    <mergeCell ref="S5:T6"/>
    <mergeCell ref="S7:T8"/>
    <mergeCell ref="U3:V3"/>
    <mergeCell ref="U4:V4"/>
    <mergeCell ref="U5:V5"/>
    <mergeCell ref="AL10:AO10"/>
    <mergeCell ref="AL11:AO11"/>
    <mergeCell ref="T15:U15"/>
    <mergeCell ref="R15:S15"/>
    <mergeCell ref="P15:Q15"/>
    <mergeCell ref="P14:U14"/>
    <mergeCell ref="N14:O14"/>
    <mergeCell ref="L14:M14"/>
    <mergeCell ref="AB14:AC14"/>
    <mergeCell ref="AD14:AE14"/>
    <mergeCell ref="AF14:AG14"/>
    <mergeCell ref="AH14:AI14"/>
    <mergeCell ref="AJ14:AO14"/>
    <mergeCell ref="AN15:AO15"/>
    <mergeCell ref="AL15:AM15"/>
    <mergeCell ref="AJ15:AK15"/>
    <mergeCell ref="W15:AA15"/>
    <mergeCell ref="N15:O15"/>
    <mergeCell ref="B13:AO13"/>
    <mergeCell ref="C15:G15"/>
    <mergeCell ref="H10:I11"/>
    <mergeCell ref="F10:G11"/>
    <mergeCell ref="B10:E11"/>
    <mergeCell ref="H14:I14"/>
    <mergeCell ref="J28:K28"/>
    <mergeCell ref="L28:M28"/>
    <mergeCell ref="N28:O28"/>
    <mergeCell ref="P28:Q28"/>
    <mergeCell ref="R28:S28"/>
    <mergeCell ref="T28:U28"/>
    <mergeCell ref="P29:Q29"/>
    <mergeCell ref="R29:S29"/>
    <mergeCell ref="T29:U29"/>
    <mergeCell ref="J26:K26"/>
    <mergeCell ref="L26:M26"/>
    <mergeCell ref="N26:O26"/>
    <mergeCell ref="P26:Q26"/>
    <mergeCell ref="R26:S26"/>
    <mergeCell ref="T26:U26"/>
    <mergeCell ref="J27:K27"/>
    <mergeCell ref="L27:M27"/>
    <mergeCell ref="N27:O27"/>
    <mergeCell ref="P27:Q27"/>
    <mergeCell ref="R27:S27"/>
    <mergeCell ref="T27:U27"/>
    <mergeCell ref="J33:K33"/>
    <mergeCell ref="L33:M33"/>
    <mergeCell ref="N33:O33"/>
    <mergeCell ref="P33:Q33"/>
    <mergeCell ref="R33:S33"/>
    <mergeCell ref="T33:U33"/>
    <mergeCell ref="J32:K32"/>
    <mergeCell ref="P31:Q31"/>
    <mergeCell ref="R31:S31"/>
    <mergeCell ref="T31:U31"/>
    <mergeCell ref="J31:K31"/>
    <mergeCell ref="L31:M31"/>
    <mergeCell ref="N31:O31"/>
    <mergeCell ref="L37:M37"/>
    <mergeCell ref="N37:O37"/>
    <mergeCell ref="P37:Q37"/>
    <mergeCell ref="R37:S37"/>
    <mergeCell ref="T37:U37"/>
    <mergeCell ref="L32:M32"/>
    <mergeCell ref="N32:O32"/>
    <mergeCell ref="P32:Q32"/>
    <mergeCell ref="R32:S32"/>
    <mergeCell ref="T32:U32"/>
    <mergeCell ref="AB29:AC29"/>
    <mergeCell ref="AD29:AE29"/>
    <mergeCell ref="AF29:AG29"/>
    <mergeCell ref="AH29:AI29"/>
    <mergeCell ref="AJ29:AK29"/>
    <mergeCell ref="AL29:AM29"/>
    <mergeCell ref="AB21:AC21"/>
    <mergeCell ref="AD20:AE20"/>
    <mergeCell ref="AF20:AG20"/>
    <mergeCell ref="AH20:AI20"/>
    <mergeCell ref="AJ20:AK20"/>
    <mergeCell ref="AL20:AM20"/>
    <mergeCell ref="AD24:AE24"/>
    <mergeCell ref="AF24:AG24"/>
    <mergeCell ref="AH24:AI24"/>
    <mergeCell ref="AJ24:AK24"/>
    <mergeCell ref="AL24:AM24"/>
    <mergeCell ref="AH17:AI17"/>
    <mergeCell ref="AJ17:AK17"/>
    <mergeCell ref="AL17:AM17"/>
    <mergeCell ref="AN17:AO17"/>
    <mergeCell ref="AD18:AE18"/>
    <mergeCell ref="AF18:AG18"/>
    <mergeCell ref="AH18:AI18"/>
    <mergeCell ref="AJ18:AK18"/>
    <mergeCell ref="AL18:AM18"/>
    <mergeCell ref="AN18:AO18"/>
    <mergeCell ref="AB17:AC17"/>
    <mergeCell ref="AB18:AC18"/>
    <mergeCell ref="AB19:AC19"/>
    <mergeCell ref="AN19:AO19"/>
    <mergeCell ref="AD19:AE19"/>
    <mergeCell ref="AD23:AE23"/>
    <mergeCell ref="AF23:AG23"/>
    <mergeCell ref="AH23:AI23"/>
    <mergeCell ref="AJ23:AK23"/>
    <mergeCell ref="AL23:AM23"/>
    <mergeCell ref="AN23:AO23"/>
    <mergeCell ref="AN21:AO21"/>
    <mergeCell ref="AD22:AE22"/>
    <mergeCell ref="AF22:AG22"/>
    <mergeCell ref="AH22:AI22"/>
    <mergeCell ref="AJ22:AK22"/>
    <mergeCell ref="AL22:AM22"/>
    <mergeCell ref="AN22:AO22"/>
    <mergeCell ref="AH21:AI21"/>
    <mergeCell ref="AJ21:AK21"/>
    <mergeCell ref="AL21:AM21"/>
    <mergeCell ref="AN20:AO20"/>
    <mergeCell ref="AD17:AE17"/>
    <mergeCell ref="AF17:AG17"/>
    <mergeCell ref="AN24:AO24"/>
    <mergeCell ref="AB25:AC25"/>
    <mergeCell ref="AD25:AE25"/>
    <mergeCell ref="AF25:AG25"/>
    <mergeCell ref="AH25:AI25"/>
    <mergeCell ref="AJ25:AK25"/>
    <mergeCell ref="AL25:AM25"/>
    <mergeCell ref="AN25:AO25"/>
    <mergeCell ref="AB24:AC24"/>
    <mergeCell ref="AN26:AO26"/>
    <mergeCell ref="AB27:AC27"/>
    <mergeCell ref="AD27:AE27"/>
    <mergeCell ref="AF27:AG27"/>
    <mergeCell ref="AH27:AI27"/>
    <mergeCell ref="AJ27:AK27"/>
    <mergeCell ref="AL27:AM27"/>
    <mergeCell ref="AN27:AO27"/>
    <mergeCell ref="AH28:AI28"/>
    <mergeCell ref="AJ28:AK28"/>
    <mergeCell ref="AL28:AM28"/>
    <mergeCell ref="AN28:AO28"/>
    <mergeCell ref="AD26:AE26"/>
    <mergeCell ref="AF26:AG26"/>
    <mergeCell ref="AH26:AI26"/>
    <mergeCell ref="AJ26:AK26"/>
    <mergeCell ref="AL26:AM26"/>
    <mergeCell ref="AN29:AO29"/>
    <mergeCell ref="AD33:AE33"/>
    <mergeCell ref="AF33:AG33"/>
    <mergeCell ref="AH33:AI33"/>
    <mergeCell ref="AJ33:AK33"/>
    <mergeCell ref="AL33:AM33"/>
    <mergeCell ref="AN33:AO33"/>
    <mergeCell ref="AD30:AE30"/>
    <mergeCell ref="AF30:AG30"/>
    <mergeCell ref="AH30:AI30"/>
    <mergeCell ref="AJ30:AK30"/>
    <mergeCell ref="AL30:AM30"/>
    <mergeCell ref="AN30:AO30"/>
    <mergeCell ref="AD31:AE31"/>
    <mergeCell ref="AF31:AG31"/>
    <mergeCell ref="AH31:AI31"/>
    <mergeCell ref="AJ31:AK31"/>
    <mergeCell ref="AL31:AM31"/>
    <mergeCell ref="AN31:AO31"/>
    <mergeCell ref="AF32:AG32"/>
    <mergeCell ref="AH32:AI32"/>
    <mergeCell ref="AJ32:AK32"/>
    <mergeCell ref="AL32:AM32"/>
    <mergeCell ref="AF37:AG37"/>
    <mergeCell ref="AH37:AI37"/>
    <mergeCell ref="AJ37:AK37"/>
    <mergeCell ref="AL37:AM37"/>
    <mergeCell ref="AN37:AO37"/>
    <mergeCell ref="AD34:AE34"/>
    <mergeCell ref="AF34:AG34"/>
    <mergeCell ref="AH34:AI34"/>
    <mergeCell ref="AJ34:AK34"/>
    <mergeCell ref="AL34:AM34"/>
    <mergeCell ref="AN34:AO34"/>
    <mergeCell ref="AD35:AE35"/>
    <mergeCell ref="AF35:AG35"/>
    <mergeCell ref="AH35:AI35"/>
    <mergeCell ref="AJ35:AK35"/>
    <mergeCell ref="AL35:AM35"/>
    <mergeCell ref="AN35:AO35"/>
    <mergeCell ref="AD36:AE36"/>
    <mergeCell ref="AF36:AG36"/>
    <mergeCell ref="AH36:AI36"/>
    <mergeCell ref="AN41:AO41"/>
    <mergeCell ref="AD38:AE38"/>
    <mergeCell ref="AF38:AG38"/>
    <mergeCell ref="AH38:AI38"/>
    <mergeCell ref="AJ38:AK38"/>
    <mergeCell ref="AL38:AM38"/>
    <mergeCell ref="AN38:AO38"/>
    <mergeCell ref="AB39:AC39"/>
    <mergeCell ref="AD39:AE39"/>
    <mergeCell ref="AF39:AG39"/>
    <mergeCell ref="AH39:AI39"/>
    <mergeCell ref="AJ39:AK39"/>
    <mergeCell ref="AL39:AM39"/>
    <mergeCell ref="AN39:AO39"/>
    <mergeCell ref="AD40:AE40"/>
    <mergeCell ref="AF40:AG40"/>
    <mergeCell ref="AH40:AI40"/>
    <mergeCell ref="AJ40:AK40"/>
    <mergeCell ref="AN45:AO45"/>
    <mergeCell ref="AD42:AE42"/>
    <mergeCell ref="AF42:AG42"/>
    <mergeCell ref="AH42:AI42"/>
    <mergeCell ref="AJ42:AK42"/>
    <mergeCell ref="AL42:AM42"/>
    <mergeCell ref="AN42:AO42"/>
    <mergeCell ref="AB43:AC43"/>
    <mergeCell ref="AD43:AE43"/>
    <mergeCell ref="AF43:AG43"/>
    <mergeCell ref="AH43:AI43"/>
    <mergeCell ref="AJ43:AK43"/>
    <mergeCell ref="AL43:AM43"/>
    <mergeCell ref="AN43:AO43"/>
    <mergeCell ref="AN44:AO44"/>
    <mergeCell ref="H35:I35"/>
    <mergeCell ref="H36:I36"/>
    <mergeCell ref="R40:S40"/>
    <mergeCell ref="T40:U40"/>
    <mergeCell ref="J41:K41"/>
    <mergeCell ref="L41:M41"/>
    <mergeCell ref="AB45:AC45"/>
    <mergeCell ref="AB41:AC41"/>
    <mergeCell ref="AB37:AC37"/>
    <mergeCell ref="AB35:AC35"/>
    <mergeCell ref="AB36:AC36"/>
    <mergeCell ref="J39:K39"/>
    <mergeCell ref="J36:K36"/>
    <mergeCell ref="J45:K45"/>
    <mergeCell ref="J44:K44"/>
    <mergeCell ref="J42:K42"/>
    <mergeCell ref="N38:O38"/>
    <mergeCell ref="R41:S41"/>
    <mergeCell ref="T41:U41"/>
    <mergeCell ref="L39:M39"/>
    <mergeCell ref="N39:O39"/>
    <mergeCell ref="R36:S36"/>
    <mergeCell ref="T36:U36"/>
    <mergeCell ref="J37:K37"/>
    <mergeCell ref="AB33:AC33"/>
    <mergeCell ref="AB31:AC31"/>
    <mergeCell ref="L44:M44"/>
    <mergeCell ref="N44:O44"/>
    <mergeCell ref="P44:Q44"/>
    <mergeCell ref="R44:S44"/>
    <mergeCell ref="T44:U44"/>
    <mergeCell ref="P38:Q38"/>
    <mergeCell ref="R38:S38"/>
    <mergeCell ref="T38:U38"/>
    <mergeCell ref="AB44:AC44"/>
    <mergeCell ref="AB42:AC42"/>
    <mergeCell ref="AB40:AC40"/>
    <mergeCell ref="AB38:AC38"/>
    <mergeCell ref="AB34:AC34"/>
    <mergeCell ref="AB32:AC32"/>
    <mergeCell ref="W34:AA34"/>
    <mergeCell ref="T43:U43"/>
    <mergeCell ref="N41:O41"/>
    <mergeCell ref="P41:Q41"/>
    <mergeCell ref="P39:Q39"/>
    <mergeCell ref="R39:S39"/>
    <mergeCell ref="T39:U39"/>
    <mergeCell ref="L38:M38"/>
    <mergeCell ref="AB30:AC30"/>
    <mergeCell ref="AB28:AC28"/>
    <mergeCell ref="AB26:AC26"/>
    <mergeCell ref="AB22:AC22"/>
    <mergeCell ref="AB23:AC23"/>
    <mergeCell ref="J40:K40"/>
    <mergeCell ref="L40:M40"/>
    <mergeCell ref="N40:O40"/>
    <mergeCell ref="P40:Q40"/>
    <mergeCell ref="L36:M36"/>
    <mergeCell ref="N36:O36"/>
    <mergeCell ref="W33:AA33"/>
    <mergeCell ref="W27:AA27"/>
    <mergeCell ref="W35:AA35"/>
    <mergeCell ref="W40:X40"/>
    <mergeCell ref="W37:AA37"/>
    <mergeCell ref="W38:AA38"/>
    <mergeCell ref="W39:AA39"/>
    <mergeCell ref="Y26:AA26"/>
    <mergeCell ref="Y30:AA30"/>
    <mergeCell ref="Y31:AA31"/>
    <mergeCell ref="Y32:AA32"/>
    <mergeCell ref="W28:AA28"/>
    <mergeCell ref="W29:AA29"/>
    <mergeCell ref="H26:I26"/>
    <mergeCell ref="H27:I27"/>
    <mergeCell ref="H28:I28"/>
    <mergeCell ref="H29:I29"/>
    <mergeCell ref="H30:I30"/>
    <mergeCell ref="H31:I31"/>
    <mergeCell ref="H32:I32"/>
    <mergeCell ref="H33:I33"/>
    <mergeCell ref="H34:I34"/>
    <mergeCell ref="W25:AA25"/>
    <mergeCell ref="P23:Q23"/>
    <mergeCell ref="R23:S23"/>
    <mergeCell ref="T23:U23"/>
    <mergeCell ref="N22:O22"/>
    <mergeCell ref="T24:U24"/>
    <mergeCell ref="P22:Q22"/>
    <mergeCell ref="R22:S22"/>
    <mergeCell ref="T22:U22"/>
    <mergeCell ref="C28:G28"/>
    <mergeCell ref="C29:G29"/>
    <mergeCell ref="C30:G30"/>
    <mergeCell ref="C31:G31"/>
    <mergeCell ref="C32:G32"/>
    <mergeCell ref="AN16:AO16"/>
    <mergeCell ref="AL16:AM16"/>
    <mergeCell ref="AJ16:AK16"/>
    <mergeCell ref="AB15:AC15"/>
    <mergeCell ref="AD15:AE15"/>
    <mergeCell ref="AF15:AG15"/>
    <mergeCell ref="AH15:AI15"/>
    <mergeCell ref="AB16:AC16"/>
    <mergeCell ref="AD16:AE16"/>
    <mergeCell ref="AF16:AG16"/>
    <mergeCell ref="AH16:AI16"/>
    <mergeCell ref="L21:M21"/>
    <mergeCell ref="N21:O21"/>
    <mergeCell ref="P21:Q21"/>
    <mergeCell ref="R21:S21"/>
    <mergeCell ref="T21:U21"/>
    <mergeCell ref="W22:AA22"/>
    <mergeCell ref="W23:AA23"/>
    <mergeCell ref="W24:AA24"/>
    <mergeCell ref="H24:I24"/>
    <mergeCell ref="H25:I25"/>
    <mergeCell ref="J34:K34"/>
    <mergeCell ref="C16:G16"/>
    <mergeCell ref="C17:G17"/>
    <mergeCell ref="C18:G18"/>
    <mergeCell ref="C39:G39"/>
    <mergeCell ref="C40:G40"/>
    <mergeCell ref="E37:G37"/>
    <mergeCell ref="E38:G38"/>
    <mergeCell ref="J38:K38"/>
    <mergeCell ref="C33:D33"/>
    <mergeCell ref="C34:D34"/>
    <mergeCell ref="C37:D37"/>
    <mergeCell ref="C35:D35"/>
    <mergeCell ref="C36:D36"/>
    <mergeCell ref="C38:D38"/>
    <mergeCell ref="E36:G36"/>
    <mergeCell ref="C22:G22"/>
    <mergeCell ref="C23:G23"/>
    <mergeCell ref="C24:G24"/>
    <mergeCell ref="C25:G25"/>
    <mergeCell ref="C26:G26"/>
    <mergeCell ref="C27:G27"/>
    <mergeCell ref="C42:G42"/>
    <mergeCell ref="C14:G14"/>
    <mergeCell ref="W26:X26"/>
    <mergeCell ref="W16:AA16"/>
    <mergeCell ref="W17:AA17"/>
    <mergeCell ref="W18:AA18"/>
    <mergeCell ref="W19:AA19"/>
    <mergeCell ref="H17:I17"/>
    <mergeCell ref="H18:I18"/>
    <mergeCell ref="H19:I19"/>
    <mergeCell ref="W20:AA20"/>
    <mergeCell ref="W21:AA21"/>
    <mergeCell ref="H20:I20"/>
    <mergeCell ref="H21:I21"/>
    <mergeCell ref="P20:Q20"/>
    <mergeCell ref="R20:S20"/>
    <mergeCell ref="T20:U20"/>
    <mergeCell ref="J21:K21"/>
    <mergeCell ref="E20:G20"/>
    <mergeCell ref="E21:G21"/>
    <mergeCell ref="E33:G33"/>
    <mergeCell ref="E34:G34"/>
    <mergeCell ref="E35:G35"/>
    <mergeCell ref="H23:I23"/>
    <mergeCell ref="E19:G19"/>
    <mergeCell ref="E43:G43"/>
    <mergeCell ref="W44:AA44"/>
    <mergeCell ref="W45:AA45"/>
    <mergeCell ref="E45:G45"/>
    <mergeCell ref="H45:I45"/>
    <mergeCell ref="W41:AA41"/>
    <mergeCell ref="W42:AA42"/>
    <mergeCell ref="L45:M45"/>
    <mergeCell ref="N45:O45"/>
    <mergeCell ref="P45:Q45"/>
    <mergeCell ref="R45:S45"/>
    <mergeCell ref="T45:U45"/>
    <mergeCell ref="L42:M42"/>
    <mergeCell ref="N42:O42"/>
    <mergeCell ref="P42:Q42"/>
    <mergeCell ref="R42:S42"/>
    <mergeCell ref="T42:U42"/>
    <mergeCell ref="J43:K43"/>
    <mergeCell ref="L43:M43"/>
    <mergeCell ref="N43:O43"/>
    <mergeCell ref="P43:Q43"/>
    <mergeCell ref="R43:S43"/>
    <mergeCell ref="C41:G41"/>
    <mergeCell ref="W30:X30"/>
    <mergeCell ref="W31:X31"/>
    <mergeCell ref="W32:X32"/>
    <mergeCell ref="Y40:AA40"/>
    <mergeCell ref="W43:AA43"/>
    <mergeCell ref="H37:I37"/>
    <mergeCell ref="H38:I38"/>
    <mergeCell ref="H39:I39"/>
    <mergeCell ref="H40:I40"/>
    <mergeCell ref="H41:I41"/>
    <mergeCell ref="H42:I42"/>
    <mergeCell ref="H43:I43"/>
    <mergeCell ref="L34:M34"/>
    <mergeCell ref="N34:O34"/>
    <mergeCell ref="P34:Q34"/>
    <mergeCell ref="R34:S34"/>
    <mergeCell ref="T34:U34"/>
    <mergeCell ref="J35:K35"/>
    <mergeCell ref="L35:M35"/>
    <mergeCell ref="N35:O35"/>
    <mergeCell ref="P35:Q35"/>
    <mergeCell ref="R35:S35"/>
    <mergeCell ref="T35:U35"/>
    <mergeCell ref="P36:Q36"/>
    <mergeCell ref="C43:D43"/>
    <mergeCell ref="C44:D44"/>
    <mergeCell ref="C45:D45"/>
    <mergeCell ref="H46:I46"/>
    <mergeCell ref="J46:K46"/>
    <mergeCell ref="L46:M46"/>
    <mergeCell ref="N46:O46"/>
    <mergeCell ref="P46:Q46"/>
    <mergeCell ref="R46:S46"/>
    <mergeCell ref="E44:G44"/>
    <mergeCell ref="H44:I44"/>
    <mergeCell ref="T46:U46"/>
    <mergeCell ref="AH46:AI46"/>
    <mergeCell ref="AJ46:AK46"/>
    <mergeCell ref="AD46:AE46"/>
    <mergeCell ref="AF46:AG46"/>
    <mergeCell ref="AB46:AC46"/>
    <mergeCell ref="B68:Q68"/>
    <mergeCell ref="S58:AO58"/>
    <mergeCell ref="S67:V68"/>
    <mergeCell ref="AD49:AF49"/>
    <mergeCell ref="M49:Q49"/>
    <mergeCell ref="J49:L49"/>
    <mergeCell ref="B49:F49"/>
    <mergeCell ref="G51:I51"/>
    <mergeCell ref="B51:F51"/>
    <mergeCell ref="M51:Q51"/>
    <mergeCell ref="AA51:AC51"/>
    <mergeCell ref="X51:Z51"/>
    <mergeCell ref="U51:W51"/>
    <mergeCell ref="R51:T51"/>
    <mergeCell ref="AD51:AF51"/>
    <mergeCell ref="B50:F50"/>
    <mergeCell ref="G50:I50"/>
    <mergeCell ref="M50:Q50"/>
    <mergeCell ref="S69:V70"/>
    <mergeCell ref="S59:V60"/>
    <mergeCell ref="W59:AO60"/>
    <mergeCell ref="B61:Q64"/>
    <mergeCell ref="B58:Q58"/>
    <mergeCell ref="B60:C60"/>
    <mergeCell ref="K60:M60"/>
    <mergeCell ref="N60:Q60"/>
    <mergeCell ref="D60:J60"/>
    <mergeCell ref="B59:I59"/>
    <mergeCell ref="J59:Q59"/>
    <mergeCell ref="W61:AO62"/>
    <mergeCell ref="W63:AO64"/>
    <mergeCell ref="W65:AO66"/>
    <mergeCell ref="W67:AO68"/>
    <mergeCell ref="S61:V62"/>
    <mergeCell ref="S63:V64"/>
    <mergeCell ref="S65:V66"/>
    <mergeCell ref="B66:Q66"/>
    <mergeCell ref="B67:Q67"/>
    <mergeCell ref="H91:I91"/>
    <mergeCell ref="H92:I92"/>
    <mergeCell ref="B93:Q94"/>
    <mergeCell ref="AD90:AJ90"/>
    <mergeCell ref="AK90:AO90"/>
    <mergeCell ref="AK93:AO93"/>
    <mergeCell ref="W71:AO72"/>
    <mergeCell ref="W73:AO74"/>
    <mergeCell ref="B69:Q69"/>
    <mergeCell ref="B70:Q70"/>
    <mergeCell ref="B71:Q71"/>
    <mergeCell ref="B72:Q72"/>
    <mergeCell ref="B73:Q73"/>
    <mergeCell ref="S71:V72"/>
    <mergeCell ref="S73:V74"/>
    <mergeCell ref="W69:AO70"/>
    <mergeCell ref="J91:K91"/>
    <mergeCell ref="J92:K92"/>
    <mergeCell ref="L91:M91"/>
    <mergeCell ref="L92:M92"/>
    <mergeCell ref="AD88:AJ88"/>
    <mergeCell ref="AD89:AJ89"/>
    <mergeCell ref="AK88:AO88"/>
    <mergeCell ref="AK89:AO89"/>
    <mergeCell ref="B101:F101"/>
    <mergeCell ref="AN32:AO32"/>
    <mergeCell ref="AD28:AE28"/>
    <mergeCell ref="AF28:AG28"/>
    <mergeCell ref="B56:AO56"/>
    <mergeCell ref="P92:Q92"/>
    <mergeCell ref="AD32:AE32"/>
    <mergeCell ref="B95:I95"/>
    <mergeCell ref="J95:Q95"/>
    <mergeCell ref="E96:Q96"/>
    <mergeCell ref="E97:Q97"/>
    <mergeCell ref="B91:E92"/>
    <mergeCell ref="F91:G91"/>
    <mergeCell ref="F92:G92"/>
    <mergeCell ref="B74:Q74"/>
    <mergeCell ref="S89:AB90"/>
    <mergeCell ref="S87:AB88"/>
    <mergeCell ref="S75:AO84"/>
    <mergeCell ref="B90:Q90"/>
    <mergeCell ref="N91:O91"/>
    <mergeCell ref="N92:O92"/>
    <mergeCell ref="P91:Q91"/>
    <mergeCell ref="AK94:AO94"/>
    <mergeCell ref="AD94:AJ94"/>
    <mergeCell ref="W14:AA14"/>
    <mergeCell ref="AL55:AO55"/>
    <mergeCell ref="AD93:AJ93"/>
    <mergeCell ref="AK92:AO92"/>
    <mergeCell ref="AD92:AJ92"/>
    <mergeCell ref="AK91:AO91"/>
    <mergeCell ref="AD91:AJ91"/>
    <mergeCell ref="S91:AB92"/>
    <mergeCell ref="AL40:AM40"/>
    <mergeCell ref="AN40:AO40"/>
    <mergeCell ref="AJ36:AK36"/>
    <mergeCell ref="AL36:AM36"/>
    <mergeCell ref="AN36:AO36"/>
    <mergeCell ref="S93:AB94"/>
    <mergeCell ref="AL46:AM46"/>
    <mergeCell ref="AN46:AO46"/>
    <mergeCell ref="W46:AA46"/>
    <mergeCell ref="B48:AF48"/>
    <mergeCell ref="C46:D46"/>
    <mergeCell ref="B47:I47"/>
    <mergeCell ref="E46:G46"/>
    <mergeCell ref="C19:D19"/>
    <mergeCell ref="C20:D20"/>
    <mergeCell ref="C21:D21"/>
    <mergeCell ref="AG8:AH8"/>
    <mergeCell ref="AD44:AE44"/>
    <mergeCell ref="AF44:AG44"/>
    <mergeCell ref="AH44:AI44"/>
    <mergeCell ref="AJ44:AK44"/>
    <mergeCell ref="AL44:AM44"/>
    <mergeCell ref="AH10:AK10"/>
    <mergeCell ref="AH11:AK11"/>
    <mergeCell ref="AH55:AK55"/>
    <mergeCell ref="AF19:AG19"/>
    <mergeCell ref="AH19:AI19"/>
    <mergeCell ref="AJ19:AK19"/>
    <mergeCell ref="AL19:AM19"/>
    <mergeCell ref="AD45:AE45"/>
    <mergeCell ref="AF45:AG45"/>
    <mergeCell ref="AH45:AI45"/>
    <mergeCell ref="AJ45:AK45"/>
    <mergeCell ref="AL45:AM45"/>
    <mergeCell ref="AD41:AE41"/>
    <mergeCell ref="AF41:AG41"/>
    <mergeCell ref="AH41:AI41"/>
    <mergeCell ref="AJ41:AK41"/>
    <mergeCell ref="AL41:AM41"/>
    <mergeCell ref="AD37:AE37"/>
  </mergeCells>
  <phoneticPr fontId="2" type="noConversion"/>
  <conditionalFormatting sqref="AD47:AM47 J47:K47">
    <cfRule type="cellIs" dxfId="0" priority="3" operator="equal">
      <formula>"剩余职业点=0   剩余兴趣点=0"</formula>
    </cfRule>
  </conditionalFormatting>
  <dataValidations xWindow="517" yWindow="581" count="61">
    <dataValidation errorStyle="information" operator="greaterTha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000-000000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000-000001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02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03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04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05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0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0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08000000}"/>
    <dataValidation allowBlank="1" showErrorMessage="1" promptTitle="Tips" prompt="一般MOV不需要手动修改。" sqref="AE7 AG7" xr:uid="{00000000-0002-0000-0000-000009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W40" xr:uid="{00000000-0002-0000-0000-00000A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000-00000B000000}"/>
    <dataValidation allowBlank="1" showInputMessage="1" showErrorMessage="1" prompt="这是你立即可以取用、支配的现金。_x000a_包括带在身上的和存在银行的。" sqref="B60" xr:uid="{00000000-0002-0000-0000-00000C000000}"/>
    <dataValidation allowBlank="1" showErrorMessage="1" sqref="E46" xr:uid="{00000000-0002-0000-0000-00000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0E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0F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0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1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12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13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4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15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16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8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19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1A000000}"/>
    <dataValidation type="list" allowBlank="1" showInputMessage="1" showErrorMessage="1" sqref="V15:V46 B15:B24 B27:B46" xr:uid="{00000000-0002-0000-0000-00001B000000}">
      <formula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xr:uid="{00000000-0002-0000-0000-00001C00000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000-00001D000000}">
      <formula1>"神志清醒,临时疯狂,不定式疯狂"</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S3:T8 Y3:Z8 AE5:AF6" xr:uid="{00000000-0002-0000-0000-00001E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AE3:AF4" xr:uid="{00000000-0002-0000-0000-00001F000000}">
      <formula1>150</formula1>
    </dataValidation>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20000000}"/>
    <dataValidation allowBlank="1" showInputMessage="1" showErrorMessage="1" promptTitle="Firearms (不定) [无法孤注一骰]" prompt="包括了各种形式的火器，也包括了弓箭和弩。" sqref="C36:D38" xr:uid="{00000000-0002-0000-0000-000021000000}"/>
    <dataValidation allowBlank="1" showInputMessage="1" showErrorMessage="1" promptTitle="Tips" prompt="掷3D6 × 5_x000a_如果调查员年龄在15-19之间，掷两次，取较大值。_x000a_幸运点数的上限为99。" sqref="X10:Y11" xr:uid="{00000000-0002-0000-0000-000022000000}"/>
    <dataValidation type="textLength" operator="equal" allowBlank="1" showInputMessage="1" showErrorMessage="1" sqref="B25:B26" xr:uid="{00000000-0002-0000-0000-000023000000}">
      <formula1>0</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24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25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6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27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28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29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A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2B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C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D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2E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F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31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32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33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34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35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36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37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38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39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3A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3B000000}"/>
    <dataValidation type="list" allowBlank="1" showInputMessage="1" showErrorMessage="1" sqref="M4:O4" xr:uid="{00000000-0002-0000-0000-00003C000000}">
      <formula1>"1920s,1980s,现代,其他"</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517" yWindow="581" count="8">
        <x14:dataValidation type="list" allowBlank="1" showInputMessage="1" showErrorMessage="1" xr:uid="{00000000-0002-0000-0000-00003D000000}">
          <x14:formula1>
            <xm:f>分支技能!$K$4:$K$10</xm:f>
          </x14:formula1>
          <xm:sqref>E36:E38 F37:G37</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Y40</xm:sqref>
        </x14:dataValidation>
        <x14:dataValidation type="list" allowBlank="1" showInputMessage="1" showErrorMessage="1" xr:uid="{00000000-0002-0000-0000-00003F000000}">
          <x14:formula1>
            <xm:f>分支技能!$E$4:$E$16</xm:f>
          </x14:formula1>
          <xm:sqref>Y30:Y32</xm:sqref>
        </x14:dataValidation>
        <x14:dataValidation type="list" allowBlank="1" showInputMessage="1" showErrorMessage="1" xr:uid="{00000000-0002-0000-0000-000040000000}">
          <x14:formula1>
            <xm:f>分支技能!$H$4:$H$11</xm:f>
          </x14:formula1>
          <xm:sqref>E34:E35</xm:sqref>
        </x14:dataValidation>
        <x14:dataValidation type="list" allowBlank="1" showInputMessage="1" showErrorMessage="1" promptTitle="tips" prompt="记得手动填写【战斗】中【空手战斗】的成功率，它等于【斗殴】的成功率，基础值为25。" xr:uid="{00000000-0002-0000-0000-000041000000}">
          <x14:formula1>
            <xm:f>分支技能!$H$4:$H$11</xm:f>
          </x14:formula1>
          <xm:sqref>E33</xm:sqref>
        </x14:dataValidation>
        <x14:dataValidation type="list" allowBlank="1" showInputMessage="1" showErrorMessage="1" promptTitle="请查阅[职业列表]表格" prompt="选择0会清除职业提示与下面的技能点数计算器。_x000a_同时，技能点数计算器会在分配掉所有技能点后自动隐藏。" xr:uid="{00000000-0002-0000-0000-000042000000}">
          <x14:formula1>
            <xm:f>职业列表!$A$2:$A$116</xm:f>
          </x14:formula1>
          <xm:sqref>M5</xm:sqref>
        </x14:dataValidation>
        <x14:dataValidation type="list" allowBlank="1" showInputMessage="1" showErrorMessage="1" xr:uid="{00000000-0002-0000-0000-000043000000}">
          <x14:formula1>
            <xm:f>分支技能!$B$4:$B$11</xm:f>
          </x14:formula1>
          <xm:sqref>E19:E21 F19:G19 F21:G21</xm:sqref>
        </x14:dataValidation>
        <x14:dataValidation type="list" allowBlank="1" showInputMessage="1" showErrorMessage="1" xr:uid="{00000000-0002-0000-0000-000044000000}">
          <x14:formula1>
            <xm:f>武器列表!$A$2:$A$105</xm:f>
          </x14:formula1>
          <xm:sqref>B51:B54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
  <sheetViews>
    <sheetView showGridLines="0" workbookViewId="0">
      <selection activeCell="B36" sqref="B36"/>
    </sheetView>
  </sheetViews>
  <sheetFormatPr defaultColWidth="8.21875" defaultRowHeight="15.6" x14ac:dyDescent="0.25"/>
  <cols>
    <col min="1" max="1" width="8.21875" style="1"/>
    <col min="2" max="2" width="13" style="1" customWidth="1"/>
    <col min="3" max="10" width="8.21875" style="1"/>
    <col min="11" max="11" width="11.21875" style="1" bestFit="1" customWidth="1"/>
    <col min="12" max="16384" width="8.21875" style="1"/>
  </cols>
  <sheetData>
    <row r="1" spans="1:16" ht="16.2" thickBot="1" x14ac:dyDescent="0.3">
      <c r="A1" s="399"/>
      <c r="B1" s="399"/>
      <c r="C1" s="399"/>
      <c r="D1" s="399"/>
      <c r="E1" s="399"/>
      <c r="F1" s="399"/>
      <c r="G1" s="399"/>
      <c r="H1" s="399"/>
      <c r="I1" s="399"/>
      <c r="J1" s="399"/>
      <c r="K1" s="399"/>
      <c r="L1" s="399"/>
      <c r="M1" s="399"/>
      <c r="N1" s="399"/>
      <c r="O1" s="399"/>
      <c r="P1" s="399"/>
    </row>
    <row r="2" spans="1:16" s="2" customFormat="1" x14ac:dyDescent="0.25">
      <c r="B2" s="400" t="s">
        <v>570</v>
      </c>
      <c r="C2" s="401"/>
      <c r="E2" s="400" t="s">
        <v>11</v>
      </c>
      <c r="F2" s="401"/>
      <c r="H2" s="400" t="s">
        <v>16</v>
      </c>
      <c r="I2" s="401"/>
      <c r="K2" s="400" t="s">
        <v>76</v>
      </c>
      <c r="L2" s="401"/>
      <c r="N2" s="400" t="s">
        <v>74</v>
      </c>
      <c r="O2" s="401"/>
    </row>
    <row r="3" spans="1:16" x14ac:dyDescent="0.25">
      <c r="B3" s="73" t="s">
        <v>29</v>
      </c>
      <c r="C3" s="74" t="s">
        <v>30</v>
      </c>
      <c r="E3" s="73" t="s">
        <v>571</v>
      </c>
      <c r="F3" s="74" t="s">
        <v>572</v>
      </c>
      <c r="H3" s="73" t="s">
        <v>573</v>
      </c>
      <c r="I3" s="74" t="s">
        <v>574</v>
      </c>
      <c r="K3" s="73" t="s">
        <v>571</v>
      </c>
      <c r="L3" s="74" t="s">
        <v>572</v>
      </c>
      <c r="N3" s="3" t="s">
        <v>29</v>
      </c>
      <c r="O3" s="4" t="s">
        <v>30</v>
      </c>
    </row>
    <row r="4" spans="1:16" x14ac:dyDescent="0.25">
      <c r="B4" s="5" t="s">
        <v>17</v>
      </c>
      <c r="C4" s="6">
        <v>5</v>
      </c>
      <c r="E4" s="5" t="s">
        <v>19</v>
      </c>
      <c r="F4" s="6">
        <v>1</v>
      </c>
      <c r="H4" s="5" t="s">
        <v>354</v>
      </c>
      <c r="I4" s="6">
        <v>5</v>
      </c>
      <c r="K4" s="5" t="s">
        <v>414</v>
      </c>
      <c r="L4" s="6">
        <v>25</v>
      </c>
      <c r="N4" s="5" t="s">
        <v>577</v>
      </c>
      <c r="O4" s="6">
        <v>1</v>
      </c>
    </row>
    <row r="5" spans="1:16" x14ac:dyDescent="0.25">
      <c r="B5" s="3" t="s">
        <v>63</v>
      </c>
      <c r="C5" s="4">
        <v>5</v>
      </c>
      <c r="E5" s="3" t="s">
        <v>70</v>
      </c>
      <c r="F5" s="4">
        <v>1</v>
      </c>
      <c r="H5" s="3" t="s">
        <v>355</v>
      </c>
      <c r="I5" s="4">
        <v>10</v>
      </c>
      <c r="K5" s="3" t="s">
        <v>66</v>
      </c>
      <c r="L5" s="4">
        <v>15</v>
      </c>
      <c r="N5" s="3" t="s">
        <v>578</v>
      </c>
      <c r="O5" s="4">
        <v>1</v>
      </c>
    </row>
    <row r="6" spans="1:16" x14ac:dyDescent="0.25">
      <c r="B6" s="5" t="s">
        <v>18</v>
      </c>
      <c r="C6" s="6">
        <v>5</v>
      </c>
      <c r="E6" s="5" t="s">
        <v>64</v>
      </c>
      <c r="F6" s="6">
        <v>1</v>
      </c>
      <c r="H6" s="5" t="s">
        <v>78</v>
      </c>
      <c r="I6" s="6">
        <v>25</v>
      </c>
      <c r="K6" s="5" t="s">
        <v>929</v>
      </c>
      <c r="L6" s="6">
        <v>15</v>
      </c>
      <c r="N6" s="5" t="s">
        <v>579</v>
      </c>
      <c r="O6" s="6">
        <v>5</v>
      </c>
    </row>
    <row r="7" spans="1:16" x14ac:dyDescent="0.25">
      <c r="B7" s="3" t="s">
        <v>576</v>
      </c>
      <c r="C7" s="4">
        <v>5</v>
      </c>
      <c r="E7" s="3" t="s">
        <v>71</v>
      </c>
      <c r="F7" s="4">
        <v>1</v>
      </c>
      <c r="H7" s="3" t="s">
        <v>357</v>
      </c>
      <c r="I7" s="4">
        <v>15</v>
      </c>
      <c r="K7" s="3" t="s">
        <v>67</v>
      </c>
      <c r="L7" s="4">
        <v>10</v>
      </c>
      <c r="N7" s="3" t="s">
        <v>528</v>
      </c>
      <c r="O7" s="4">
        <v>1</v>
      </c>
    </row>
    <row r="8" spans="1:16" x14ac:dyDescent="0.25">
      <c r="B8" s="5" t="s">
        <v>559</v>
      </c>
      <c r="C8" s="6">
        <v>5</v>
      </c>
      <c r="E8" s="5" t="s">
        <v>65</v>
      </c>
      <c r="F8" s="6">
        <v>1</v>
      </c>
      <c r="H8" s="5" t="s">
        <v>32</v>
      </c>
      <c r="I8" s="6">
        <v>20</v>
      </c>
      <c r="K8" s="5" t="s">
        <v>356</v>
      </c>
      <c r="L8" s="6">
        <v>10</v>
      </c>
      <c r="N8" s="5" t="s">
        <v>580</v>
      </c>
      <c r="O8" s="6">
        <v>1</v>
      </c>
    </row>
    <row r="9" spans="1:16" ht="16.2" thickBot="1" x14ac:dyDescent="0.3">
      <c r="B9" s="3" t="s">
        <v>565</v>
      </c>
      <c r="C9" s="4">
        <v>5</v>
      </c>
      <c r="E9" s="3" t="s">
        <v>72</v>
      </c>
      <c r="F9" s="4">
        <v>1</v>
      </c>
      <c r="H9" s="3" t="s">
        <v>529</v>
      </c>
      <c r="I9" s="4">
        <v>15</v>
      </c>
      <c r="K9" s="3" t="s">
        <v>68</v>
      </c>
      <c r="L9" s="4">
        <v>20</v>
      </c>
      <c r="N9" s="7" t="s">
        <v>581</v>
      </c>
      <c r="O9" s="8">
        <v>1</v>
      </c>
    </row>
    <row r="10" spans="1:16" ht="16.2" thickBot="1" x14ac:dyDescent="0.3">
      <c r="B10" s="5" t="s">
        <v>526</v>
      </c>
      <c r="C10" s="6">
        <v>5</v>
      </c>
      <c r="E10" s="5" t="s">
        <v>550</v>
      </c>
      <c r="F10" s="6">
        <v>1</v>
      </c>
      <c r="H10" s="5" t="s">
        <v>79</v>
      </c>
      <c r="I10" s="6">
        <v>10</v>
      </c>
      <c r="K10" s="9" t="s">
        <v>69</v>
      </c>
      <c r="L10" s="10">
        <v>10</v>
      </c>
    </row>
    <row r="11" spans="1:16" ht="16.2" thickBot="1" x14ac:dyDescent="0.3">
      <c r="B11" s="3" t="s">
        <v>527</v>
      </c>
      <c r="C11" s="4">
        <v>5</v>
      </c>
      <c r="E11" s="3" t="s">
        <v>73</v>
      </c>
      <c r="F11" s="4">
        <v>1</v>
      </c>
      <c r="H11" s="7" t="s">
        <v>31</v>
      </c>
      <c r="I11" s="8">
        <v>20</v>
      </c>
    </row>
    <row r="12" spans="1:16" x14ac:dyDescent="0.25">
      <c r="B12" s="5" t="s">
        <v>560</v>
      </c>
      <c r="C12" s="6">
        <v>5</v>
      </c>
      <c r="E12" s="5" t="s">
        <v>20</v>
      </c>
      <c r="F12" s="6">
        <v>1</v>
      </c>
    </row>
    <row r="13" spans="1:16" x14ac:dyDescent="0.25">
      <c r="B13" s="3" t="s">
        <v>566</v>
      </c>
      <c r="C13" s="4">
        <v>5</v>
      </c>
      <c r="E13" s="3" t="s">
        <v>21</v>
      </c>
      <c r="F13" s="4">
        <v>1</v>
      </c>
    </row>
    <row r="14" spans="1:16" x14ac:dyDescent="0.25">
      <c r="B14" s="5" t="s">
        <v>561</v>
      </c>
      <c r="C14" s="6">
        <v>5</v>
      </c>
      <c r="E14" s="5" t="s">
        <v>22</v>
      </c>
      <c r="F14" s="6">
        <v>1</v>
      </c>
    </row>
    <row r="15" spans="1:16" x14ac:dyDescent="0.25">
      <c r="B15" s="3" t="s">
        <v>567</v>
      </c>
      <c r="C15" s="4">
        <v>5</v>
      </c>
      <c r="E15" s="3" t="s">
        <v>75</v>
      </c>
      <c r="F15" s="4">
        <v>1</v>
      </c>
    </row>
    <row r="16" spans="1:16" ht="16.2" thickBot="1" x14ac:dyDescent="0.3">
      <c r="B16" s="5" t="s">
        <v>562</v>
      </c>
      <c r="C16" s="6">
        <v>5</v>
      </c>
      <c r="E16" s="9" t="s">
        <v>575</v>
      </c>
      <c r="F16" s="10">
        <v>1</v>
      </c>
    </row>
    <row r="17" spans="2:3" x14ac:dyDescent="0.25">
      <c r="B17" s="3" t="s">
        <v>568</v>
      </c>
      <c r="C17" s="4">
        <v>5</v>
      </c>
    </row>
    <row r="18" spans="2:3" x14ac:dyDescent="0.25">
      <c r="B18" s="5" t="s">
        <v>563</v>
      </c>
      <c r="C18" s="6">
        <v>5</v>
      </c>
    </row>
    <row r="19" spans="2:3" x14ac:dyDescent="0.25">
      <c r="B19" s="3" t="s">
        <v>569</v>
      </c>
      <c r="C19" s="4">
        <v>5</v>
      </c>
    </row>
    <row r="20" spans="2:3" ht="16.2" thickBot="1" x14ac:dyDescent="0.3">
      <c r="B20" s="9" t="s">
        <v>564</v>
      </c>
      <c r="C20" s="10">
        <v>5</v>
      </c>
    </row>
  </sheetData>
  <sheetProtection sheet="1" objects="1" scenarios="1" formatCells="0" formatColumns="0" formatRows="0" insertColumns="0" insertRows="0" insertHyperlinks="0" deleteColumns="0" deleteRows="0" sort="0"/>
  <sortState ref="K5:L10">
    <sortCondition ref="K4"/>
  </sortState>
  <mergeCells count="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6" xr:uid="{00000000-0002-0000-0100-000007000000}"/>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6"/>
  <sheetViews>
    <sheetView showGridLines="0" zoomScaleNormal="100" workbookViewId="0">
      <pane ySplit="1" topLeftCell="A98" activePane="bottomLeft" state="frozen"/>
      <selection pane="bottomLeft" activeCell="B130" sqref="B130:B134"/>
    </sheetView>
  </sheetViews>
  <sheetFormatPr defaultColWidth="9" defaultRowHeight="15.6" x14ac:dyDescent="0.25"/>
  <cols>
    <col min="1" max="1" width="9" style="30"/>
    <col min="2" max="2" width="22.44140625" style="41" customWidth="1"/>
    <col min="3" max="3" width="9" style="42"/>
    <col min="4" max="4" width="21.21875" style="43" customWidth="1"/>
    <col min="5" max="5" width="8.109375" style="30" customWidth="1"/>
    <col min="6" max="6" width="140" style="44" customWidth="1"/>
    <col min="7" max="16384" width="9" style="30"/>
  </cols>
  <sheetData>
    <row r="1" spans="1:6" x14ac:dyDescent="0.25">
      <c r="A1" s="25" t="s">
        <v>27</v>
      </c>
      <c r="B1" s="26" t="s">
        <v>2</v>
      </c>
      <c r="C1" s="27" t="s">
        <v>58</v>
      </c>
      <c r="D1" s="28" t="s">
        <v>114</v>
      </c>
      <c r="E1" s="26" t="s">
        <v>33</v>
      </c>
      <c r="F1" s="29" t="s">
        <v>26</v>
      </c>
    </row>
    <row r="2" spans="1:6" x14ac:dyDescent="0.25">
      <c r="A2" s="31">
        <v>0</v>
      </c>
      <c r="B2" s="402" t="s">
        <v>438</v>
      </c>
      <c r="C2" s="402"/>
      <c r="D2" s="402"/>
      <c r="E2" s="402"/>
      <c r="F2" s="403"/>
    </row>
    <row r="3" spans="1:6" x14ac:dyDescent="0.25">
      <c r="A3" s="32">
        <v>1</v>
      </c>
      <c r="B3" s="13" t="s">
        <v>34</v>
      </c>
      <c r="C3" s="11" t="s">
        <v>83</v>
      </c>
      <c r="D3" s="12"/>
      <c r="E3" s="45">
        <f>IF(D3=0,人物卡!AE5*4,人物卡!AE5*2+职业列表!D3*2)</f>
        <v>288</v>
      </c>
      <c r="F3" s="33" t="s">
        <v>520</v>
      </c>
    </row>
    <row r="4" spans="1:6" x14ac:dyDescent="0.25">
      <c r="A4" s="31">
        <v>2</v>
      </c>
      <c r="B4" s="14" t="s">
        <v>82</v>
      </c>
      <c r="C4" s="34" t="s">
        <v>84</v>
      </c>
      <c r="D4" s="35" t="s">
        <v>320</v>
      </c>
      <c r="E4" s="46">
        <f>人物卡!AE5*4</f>
        <v>288</v>
      </c>
      <c r="F4" s="36" t="s">
        <v>364</v>
      </c>
    </row>
    <row r="5" spans="1:6" x14ac:dyDescent="0.25">
      <c r="A5" s="32">
        <v>3</v>
      </c>
      <c r="B5" s="13" t="s">
        <v>157</v>
      </c>
      <c r="C5" s="11" t="s">
        <v>86</v>
      </c>
      <c r="D5" s="12" t="s">
        <v>313</v>
      </c>
      <c r="E5" s="45">
        <f>人物卡!AE5*2+人物卡!Y3*2</f>
        <v>324</v>
      </c>
      <c r="F5" s="33" t="s">
        <v>942</v>
      </c>
    </row>
    <row r="6" spans="1:6" x14ac:dyDescent="0.25">
      <c r="A6" s="31">
        <v>4</v>
      </c>
      <c r="B6" s="14" t="s">
        <v>89</v>
      </c>
      <c r="C6" s="34" t="s">
        <v>109</v>
      </c>
      <c r="D6" s="35" t="s">
        <v>88</v>
      </c>
      <c r="E6" s="46">
        <f>人物卡!AE5*2+人物卡!Y5*2</f>
        <v>304</v>
      </c>
      <c r="F6" s="36" t="s">
        <v>338</v>
      </c>
    </row>
    <row r="7" spans="1:6" x14ac:dyDescent="0.25">
      <c r="A7" s="32">
        <v>5</v>
      </c>
      <c r="B7" s="13" t="s">
        <v>101</v>
      </c>
      <c r="C7" s="11" t="s">
        <v>158</v>
      </c>
      <c r="D7" s="12" t="s">
        <v>87</v>
      </c>
      <c r="E7" s="45">
        <f>人物卡!AE5*2+人物卡!Y5*2</f>
        <v>304</v>
      </c>
      <c r="F7" s="33" t="s">
        <v>941</v>
      </c>
    </row>
    <row r="8" spans="1:6" ht="31.2" x14ac:dyDescent="0.25">
      <c r="A8" s="31">
        <v>6</v>
      </c>
      <c r="B8" s="14" t="s">
        <v>159</v>
      </c>
      <c r="C8" s="34" t="s">
        <v>160</v>
      </c>
      <c r="D8" s="35" t="s">
        <v>161</v>
      </c>
      <c r="E8" s="46">
        <f>人物卡!AE5*2+MAX(人物卡!Y3,人物卡!S3)*2</f>
        <v>324</v>
      </c>
      <c r="F8" s="36" t="s">
        <v>90</v>
      </c>
    </row>
    <row r="9" spans="1:6" x14ac:dyDescent="0.25">
      <c r="A9" s="32">
        <v>7</v>
      </c>
      <c r="B9" s="13" t="s">
        <v>162</v>
      </c>
      <c r="C9" s="11" t="s">
        <v>163</v>
      </c>
      <c r="D9" s="12" t="s">
        <v>91</v>
      </c>
      <c r="E9" s="45">
        <f>人物卡!AE5*4</f>
        <v>288</v>
      </c>
      <c r="F9" s="33" t="s">
        <v>102</v>
      </c>
    </row>
    <row r="10" spans="1:6" ht="31.2" x14ac:dyDescent="0.25">
      <c r="A10" s="31">
        <v>8</v>
      </c>
      <c r="B10" s="14" t="s">
        <v>164</v>
      </c>
      <c r="C10" s="34" t="s">
        <v>92</v>
      </c>
      <c r="D10" s="35" t="s">
        <v>103</v>
      </c>
      <c r="E10" s="46">
        <f>人物卡!AE5*2+MAX(人物卡!Y5,人物卡!AE3)*2</f>
        <v>304</v>
      </c>
      <c r="F10" s="36" t="s">
        <v>93</v>
      </c>
    </row>
    <row r="11" spans="1:6" x14ac:dyDescent="0.25">
      <c r="A11" s="32">
        <v>9</v>
      </c>
      <c r="B11" s="13" t="s">
        <v>165</v>
      </c>
      <c r="C11" s="11" t="s">
        <v>84</v>
      </c>
      <c r="D11" s="12" t="s">
        <v>91</v>
      </c>
      <c r="E11" s="45">
        <f>人物卡!AE5*4</f>
        <v>288</v>
      </c>
      <c r="F11" s="33" t="s">
        <v>323</v>
      </c>
    </row>
    <row r="12" spans="1:6" x14ac:dyDescent="0.25">
      <c r="A12" s="31">
        <v>10</v>
      </c>
      <c r="B12" s="14" t="s">
        <v>947</v>
      </c>
      <c r="C12" s="34" t="s">
        <v>123</v>
      </c>
      <c r="D12" s="35" t="s">
        <v>91</v>
      </c>
      <c r="E12" s="46">
        <f>人物卡!AE5*4</f>
        <v>288</v>
      </c>
      <c r="F12" s="36" t="s">
        <v>94</v>
      </c>
    </row>
    <row r="13" spans="1:6" x14ac:dyDescent="0.25">
      <c r="A13" s="32">
        <v>11</v>
      </c>
      <c r="B13" s="13" t="s">
        <v>166</v>
      </c>
      <c r="C13" s="11" t="s">
        <v>92</v>
      </c>
      <c r="D13" s="12" t="s">
        <v>91</v>
      </c>
      <c r="E13" s="45">
        <f>人物卡!AE5*4</f>
        <v>288</v>
      </c>
      <c r="F13" s="33" t="s">
        <v>104</v>
      </c>
    </row>
    <row r="14" spans="1:6" x14ac:dyDescent="0.25">
      <c r="A14" s="31">
        <v>12</v>
      </c>
      <c r="B14" s="14" t="s">
        <v>167</v>
      </c>
      <c r="C14" s="34" t="s">
        <v>84</v>
      </c>
      <c r="D14" s="35" t="s">
        <v>91</v>
      </c>
      <c r="E14" s="46">
        <f>人物卡!AE5*4</f>
        <v>288</v>
      </c>
      <c r="F14" s="36" t="s">
        <v>333</v>
      </c>
    </row>
    <row r="15" spans="1:6" ht="17.25" customHeight="1" x14ac:dyDescent="0.25">
      <c r="A15" s="32">
        <v>13</v>
      </c>
      <c r="B15" s="13" t="s">
        <v>362</v>
      </c>
      <c r="C15" s="11" t="s">
        <v>96</v>
      </c>
      <c r="D15" s="12" t="s">
        <v>95</v>
      </c>
      <c r="E15" s="45">
        <f>人物卡!AE5*2+MAX(人物卡!Y3,人物卡!AE3)*2</f>
        <v>324</v>
      </c>
      <c r="F15" s="33" t="s">
        <v>324</v>
      </c>
    </row>
    <row r="16" spans="1:6" ht="17.25" customHeight="1" x14ac:dyDescent="0.25">
      <c r="A16" s="31">
        <v>14</v>
      </c>
      <c r="B16" s="14" t="s">
        <v>97</v>
      </c>
      <c r="C16" s="34" t="s">
        <v>168</v>
      </c>
      <c r="D16" s="35" t="s">
        <v>317</v>
      </c>
      <c r="E16" s="46">
        <f>人物卡!AE5*2+MAX(人物卡!Y3,人物卡!S3)*2</f>
        <v>324</v>
      </c>
      <c r="F16" s="36" t="s">
        <v>98</v>
      </c>
    </row>
    <row r="17" spans="1:6" ht="16.5" customHeight="1" x14ac:dyDescent="0.25">
      <c r="A17" s="32">
        <v>15</v>
      </c>
      <c r="B17" s="13" t="s">
        <v>23</v>
      </c>
      <c r="C17" s="11" t="s">
        <v>99</v>
      </c>
      <c r="D17" s="12" t="s">
        <v>100</v>
      </c>
      <c r="E17" s="45">
        <f>人物卡!AE5*2+MAX(人物卡!Y3,人物卡!S3)*2</f>
        <v>324</v>
      </c>
      <c r="F17" s="33" t="s">
        <v>169</v>
      </c>
    </row>
    <row r="18" spans="1:6" x14ac:dyDescent="0.25">
      <c r="A18" s="31">
        <v>16</v>
      </c>
      <c r="B18" s="14" t="s">
        <v>170</v>
      </c>
      <c r="C18" s="34" t="s">
        <v>107</v>
      </c>
      <c r="D18" s="35" t="s">
        <v>91</v>
      </c>
      <c r="E18" s="46">
        <f>人物卡!AE5*4</f>
        <v>288</v>
      </c>
      <c r="F18" s="36" t="s">
        <v>339</v>
      </c>
    </row>
    <row r="19" spans="1:6" ht="16.5" customHeight="1" x14ac:dyDescent="0.25">
      <c r="A19" s="32">
        <v>17</v>
      </c>
      <c r="B19" s="13" t="s">
        <v>105</v>
      </c>
      <c r="C19" s="11" t="s">
        <v>171</v>
      </c>
      <c r="D19" s="12" t="s">
        <v>88</v>
      </c>
      <c r="E19" s="45">
        <f>人物卡!AE5*2+人物卡!Y5*2</f>
        <v>304</v>
      </c>
      <c r="F19" s="33" t="s">
        <v>172</v>
      </c>
    </row>
    <row r="20" spans="1:6" ht="16.5" customHeight="1" x14ac:dyDescent="0.25">
      <c r="A20" s="31">
        <v>18</v>
      </c>
      <c r="B20" s="14" t="s">
        <v>173</v>
      </c>
      <c r="C20" s="34" t="s">
        <v>174</v>
      </c>
      <c r="D20" s="35" t="s">
        <v>100</v>
      </c>
      <c r="E20" s="46">
        <f>人物卡!AE5*2+MAX(人物卡!Y3,人物卡!S3)*2</f>
        <v>324</v>
      </c>
      <c r="F20" s="36" t="s">
        <v>531</v>
      </c>
    </row>
    <row r="21" spans="1:6" x14ac:dyDescent="0.25">
      <c r="A21" s="32">
        <v>19</v>
      </c>
      <c r="B21" s="13" t="s">
        <v>24</v>
      </c>
      <c r="C21" s="11" t="s">
        <v>175</v>
      </c>
      <c r="D21" s="12" t="s">
        <v>85</v>
      </c>
      <c r="E21" s="45">
        <f>人物卡!AE5*4</f>
        <v>288</v>
      </c>
      <c r="F21" s="33" t="s">
        <v>106</v>
      </c>
    </row>
    <row r="22" spans="1:6" ht="16.5" customHeight="1" x14ac:dyDescent="0.25">
      <c r="A22" s="31">
        <v>20</v>
      </c>
      <c r="B22" s="14" t="s">
        <v>25</v>
      </c>
      <c r="C22" s="34" t="s">
        <v>107</v>
      </c>
      <c r="D22" s="35" t="s">
        <v>100</v>
      </c>
      <c r="E22" s="46">
        <f>人物卡!AE5*2+MAX(人物卡!Y3,人物卡!S3)*2</f>
        <v>324</v>
      </c>
      <c r="F22" s="36" t="s">
        <v>546</v>
      </c>
    </row>
    <row r="23" spans="1:6" ht="16.5" customHeight="1" x14ac:dyDescent="0.25">
      <c r="A23" s="32">
        <v>21</v>
      </c>
      <c r="B23" s="13" t="s">
        <v>176</v>
      </c>
      <c r="C23" s="11" t="s">
        <v>110</v>
      </c>
      <c r="D23" s="12" t="s">
        <v>108</v>
      </c>
      <c r="E23" s="45">
        <f>人物卡!AE5*2+人物卡!S3*2</f>
        <v>304</v>
      </c>
      <c r="F23" s="33" t="s">
        <v>177</v>
      </c>
    </row>
    <row r="24" spans="1:6" x14ac:dyDescent="0.25">
      <c r="A24" s="31">
        <v>22</v>
      </c>
      <c r="B24" s="14" t="s">
        <v>178</v>
      </c>
      <c r="C24" s="34" t="s">
        <v>109</v>
      </c>
      <c r="D24" s="35" t="s">
        <v>91</v>
      </c>
      <c r="E24" s="46">
        <f>人物卡!AE5*4</f>
        <v>288</v>
      </c>
      <c r="F24" s="36" t="s">
        <v>325</v>
      </c>
    </row>
    <row r="25" spans="1:6" x14ac:dyDescent="0.25">
      <c r="A25" s="32">
        <v>23</v>
      </c>
      <c r="B25" s="13" t="s">
        <v>179</v>
      </c>
      <c r="C25" s="11" t="s">
        <v>110</v>
      </c>
      <c r="D25" s="12" t="s">
        <v>91</v>
      </c>
      <c r="E25" s="45">
        <f>人物卡!AE5*4</f>
        <v>288</v>
      </c>
      <c r="F25" s="33" t="s">
        <v>124</v>
      </c>
    </row>
    <row r="26" spans="1:6" x14ac:dyDescent="0.25">
      <c r="A26" s="31">
        <v>24</v>
      </c>
      <c r="B26" s="14" t="s">
        <v>111</v>
      </c>
      <c r="C26" s="34" t="s">
        <v>125</v>
      </c>
      <c r="D26" s="35" t="s">
        <v>91</v>
      </c>
      <c r="E26" s="46">
        <f>人物卡!AE5*4</f>
        <v>288</v>
      </c>
      <c r="F26" s="36" t="s">
        <v>532</v>
      </c>
    </row>
    <row r="27" spans="1:6" x14ac:dyDescent="0.25">
      <c r="A27" s="32">
        <v>25</v>
      </c>
      <c r="B27" s="13" t="s">
        <v>180</v>
      </c>
      <c r="C27" s="11" t="s">
        <v>125</v>
      </c>
      <c r="D27" s="12" t="s">
        <v>91</v>
      </c>
      <c r="E27" s="45">
        <f>人物卡!AE5*4</f>
        <v>288</v>
      </c>
      <c r="F27" s="33" t="s">
        <v>533</v>
      </c>
    </row>
    <row r="28" spans="1:6" ht="17.25" customHeight="1" x14ac:dyDescent="0.25">
      <c r="A28" s="31">
        <v>26</v>
      </c>
      <c r="B28" s="14" t="s">
        <v>59</v>
      </c>
      <c r="C28" s="34" t="s">
        <v>86</v>
      </c>
      <c r="D28" s="35" t="s">
        <v>318</v>
      </c>
      <c r="E28" s="46">
        <f>人物卡!AE5*2+MAX(人物卡!Y3,人物卡!S3)*2</f>
        <v>324</v>
      </c>
      <c r="F28" s="36" t="s">
        <v>112</v>
      </c>
    </row>
    <row r="29" spans="1:6" ht="16.5" customHeight="1" x14ac:dyDescent="0.25">
      <c r="A29" s="32">
        <v>27</v>
      </c>
      <c r="B29" s="13" t="s">
        <v>181</v>
      </c>
      <c r="C29" s="11" t="s">
        <v>92</v>
      </c>
      <c r="D29" s="12" t="s">
        <v>113</v>
      </c>
      <c r="E29" s="45">
        <f>人物卡!AE5*2+人物卡!Y3*2</f>
        <v>324</v>
      </c>
      <c r="F29" s="33" t="s">
        <v>326</v>
      </c>
    </row>
    <row r="30" spans="1:6" ht="17.25" customHeight="1" x14ac:dyDescent="0.25">
      <c r="A30" s="31">
        <v>28</v>
      </c>
      <c r="B30" s="14" t="s">
        <v>948</v>
      </c>
      <c r="C30" s="34" t="s">
        <v>120</v>
      </c>
      <c r="D30" s="35" t="s">
        <v>319</v>
      </c>
      <c r="E30" s="46">
        <f>人物卡!AE5*2+MAX(人物卡!Y3,人物卡!S3)*2</f>
        <v>324</v>
      </c>
      <c r="F30" s="36" t="s">
        <v>534</v>
      </c>
    </row>
    <row r="31" spans="1:6" ht="17.25" customHeight="1" x14ac:dyDescent="0.25">
      <c r="A31" s="32">
        <v>29</v>
      </c>
      <c r="B31" s="13" t="s">
        <v>115</v>
      </c>
      <c r="C31" s="11" t="s">
        <v>182</v>
      </c>
      <c r="D31" s="12" t="s">
        <v>307</v>
      </c>
      <c r="E31" s="45">
        <f>人物卡!AE5*2+MAX(人物卡!Y3,人物卡!S3)*2</f>
        <v>324</v>
      </c>
      <c r="F31" s="33" t="s">
        <v>535</v>
      </c>
    </row>
    <row r="32" spans="1:6" ht="17.25" customHeight="1" x14ac:dyDescent="0.25">
      <c r="A32" s="31">
        <v>30</v>
      </c>
      <c r="B32" s="14" t="s">
        <v>183</v>
      </c>
      <c r="C32" s="34" t="s">
        <v>126</v>
      </c>
      <c r="D32" s="35" t="s">
        <v>315</v>
      </c>
      <c r="E32" s="46">
        <f>人物卡!AE5*2+人物卡!S3*2</f>
        <v>304</v>
      </c>
      <c r="F32" s="36" t="s">
        <v>121</v>
      </c>
    </row>
    <row r="33" spans="1:6" ht="17.25" customHeight="1" x14ac:dyDescent="0.25">
      <c r="A33" s="32">
        <v>31</v>
      </c>
      <c r="B33" s="13" t="s">
        <v>184</v>
      </c>
      <c r="C33" s="11" t="s">
        <v>185</v>
      </c>
      <c r="D33" s="12" t="s">
        <v>308</v>
      </c>
      <c r="E33" s="45">
        <f>人物卡!AE5*2+人物卡!Y3*2</f>
        <v>324</v>
      </c>
      <c r="F33" s="33" t="s">
        <v>536</v>
      </c>
    </row>
    <row r="34" spans="1:6" ht="17.25" customHeight="1" x14ac:dyDescent="0.25">
      <c r="A34" s="31">
        <v>32</v>
      </c>
      <c r="B34" s="14" t="s">
        <v>116</v>
      </c>
      <c r="C34" s="34" t="s">
        <v>186</v>
      </c>
      <c r="D34" s="35" t="s">
        <v>309</v>
      </c>
      <c r="E34" s="46">
        <f>人物卡!AE5*2+人物卡!Y5*2</f>
        <v>304</v>
      </c>
      <c r="F34" s="36" t="s">
        <v>340</v>
      </c>
    </row>
    <row r="35" spans="1:6" ht="17.25" customHeight="1" x14ac:dyDescent="0.25">
      <c r="A35" s="32">
        <v>33</v>
      </c>
      <c r="B35" s="13" t="s">
        <v>187</v>
      </c>
      <c r="C35" s="11" t="s">
        <v>188</v>
      </c>
      <c r="D35" s="12" t="s">
        <v>310</v>
      </c>
      <c r="E35" s="45">
        <f>人物卡!AE5*2+MAX(人物卡!Y5,人物卡!Y3)*2</f>
        <v>324</v>
      </c>
      <c r="F35" s="33" t="s">
        <v>341</v>
      </c>
    </row>
    <row r="36" spans="1:6" ht="17.25" customHeight="1" x14ac:dyDescent="0.25">
      <c r="A36" s="31">
        <v>34</v>
      </c>
      <c r="B36" s="14" t="s">
        <v>189</v>
      </c>
      <c r="C36" s="34" t="s">
        <v>190</v>
      </c>
      <c r="D36" s="35" t="s">
        <v>309</v>
      </c>
      <c r="E36" s="46">
        <f>人物卡!AE5*2+人物卡!Y5*2</f>
        <v>304</v>
      </c>
      <c r="F36" s="36" t="s">
        <v>327</v>
      </c>
    </row>
    <row r="37" spans="1:6" ht="17.25" customHeight="1" x14ac:dyDescent="0.25">
      <c r="A37" s="32">
        <v>35</v>
      </c>
      <c r="B37" s="13" t="s">
        <v>191</v>
      </c>
      <c r="C37" s="11" t="s">
        <v>175</v>
      </c>
      <c r="D37" s="12" t="s">
        <v>311</v>
      </c>
      <c r="E37" s="45">
        <f>人物卡!AE5*2+人物卡!Y5*2</f>
        <v>304</v>
      </c>
      <c r="F37" s="33" t="s">
        <v>334</v>
      </c>
    </row>
    <row r="38" spans="1:6" x14ac:dyDescent="0.25">
      <c r="A38" s="31">
        <v>36</v>
      </c>
      <c r="B38" s="14" t="s">
        <v>353</v>
      </c>
      <c r="C38" s="34" t="s">
        <v>119</v>
      </c>
      <c r="D38" s="35" t="s">
        <v>91</v>
      </c>
      <c r="E38" s="46">
        <f>人物卡!AE5*4</f>
        <v>288</v>
      </c>
      <c r="F38" s="36" t="s">
        <v>335</v>
      </c>
    </row>
    <row r="39" spans="1:6" ht="17.25" customHeight="1" x14ac:dyDescent="0.25">
      <c r="A39" s="32">
        <v>37</v>
      </c>
      <c r="B39" s="13" t="s">
        <v>192</v>
      </c>
      <c r="C39" s="11" t="s">
        <v>119</v>
      </c>
      <c r="D39" s="12" t="s">
        <v>312</v>
      </c>
      <c r="E39" s="45">
        <f>人物卡!AE5*2+MAX(人物卡!Y5,人物卡!Y3)*2</f>
        <v>324</v>
      </c>
      <c r="F39" s="33" t="s">
        <v>193</v>
      </c>
    </row>
    <row r="40" spans="1:6" ht="17.25" customHeight="1" x14ac:dyDescent="0.25">
      <c r="A40" s="31">
        <v>38</v>
      </c>
      <c r="B40" s="14" t="s">
        <v>117</v>
      </c>
      <c r="C40" s="34" t="s">
        <v>118</v>
      </c>
      <c r="D40" s="35" t="s">
        <v>319</v>
      </c>
      <c r="E40" s="46">
        <f>人物卡!AE5*2+MAX(人物卡!Y3,人物卡!S3)*2</f>
        <v>324</v>
      </c>
      <c r="F40" s="36" t="s">
        <v>122</v>
      </c>
    </row>
    <row r="41" spans="1:6" x14ac:dyDescent="0.25">
      <c r="A41" s="32">
        <v>39</v>
      </c>
      <c r="B41" s="13" t="s">
        <v>194</v>
      </c>
      <c r="C41" s="11" t="s">
        <v>120</v>
      </c>
      <c r="D41" s="12" t="s">
        <v>85</v>
      </c>
      <c r="E41" s="45">
        <f>人物卡!AE5*4</f>
        <v>288</v>
      </c>
      <c r="F41" s="33" t="s">
        <v>195</v>
      </c>
    </row>
    <row r="42" spans="1:6" x14ac:dyDescent="0.25">
      <c r="A42" s="31">
        <v>40</v>
      </c>
      <c r="B42" s="14" t="s">
        <v>196</v>
      </c>
      <c r="C42" s="34" t="s">
        <v>174</v>
      </c>
      <c r="D42" s="35" t="s">
        <v>85</v>
      </c>
      <c r="E42" s="46">
        <f>人物卡!AE5*4</f>
        <v>288</v>
      </c>
      <c r="F42" s="36" t="s">
        <v>127</v>
      </c>
    </row>
    <row r="43" spans="1:6" x14ac:dyDescent="0.25">
      <c r="A43" s="32">
        <v>41</v>
      </c>
      <c r="B43" s="13" t="s">
        <v>197</v>
      </c>
      <c r="C43" s="11" t="s">
        <v>119</v>
      </c>
      <c r="D43" s="12" t="s">
        <v>85</v>
      </c>
      <c r="E43" s="45">
        <f>人物卡!AE5*4</f>
        <v>288</v>
      </c>
      <c r="F43" s="33" t="s">
        <v>342</v>
      </c>
    </row>
    <row r="44" spans="1:6" ht="17.25" customHeight="1" x14ac:dyDescent="0.25">
      <c r="A44" s="31">
        <v>42</v>
      </c>
      <c r="B44" s="14" t="s">
        <v>404</v>
      </c>
      <c r="C44" s="34" t="s">
        <v>198</v>
      </c>
      <c r="D44" s="35" t="s">
        <v>88</v>
      </c>
      <c r="E44" s="46">
        <f>人物卡!AE5*2+人物卡!Y5*2</f>
        <v>304</v>
      </c>
      <c r="F44" s="36" t="s">
        <v>328</v>
      </c>
    </row>
    <row r="45" spans="1:6" ht="17.25" customHeight="1" x14ac:dyDescent="0.25">
      <c r="A45" s="32">
        <v>43</v>
      </c>
      <c r="B45" s="13" t="s">
        <v>199</v>
      </c>
      <c r="C45" s="11" t="s">
        <v>107</v>
      </c>
      <c r="D45" s="12" t="s">
        <v>308</v>
      </c>
      <c r="E45" s="45">
        <f>人物卡!AE5*2+人物卡!Y3*2</f>
        <v>324</v>
      </c>
      <c r="F45" s="33" t="s">
        <v>200</v>
      </c>
    </row>
    <row r="46" spans="1:6" x14ac:dyDescent="0.25">
      <c r="A46" s="31">
        <v>44</v>
      </c>
      <c r="B46" s="14" t="s">
        <v>201</v>
      </c>
      <c r="C46" s="34" t="s">
        <v>128</v>
      </c>
      <c r="D46" s="35" t="s">
        <v>85</v>
      </c>
      <c r="E46" s="46">
        <f>人物卡!AE5*4</f>
        <v>288</v>
      </c>
      <c r="F46" s="36" t="s">
        <v>129</v>
      </c>
    </row>
    <row r="47" spans="1:6" ht="33" customHeight="1" x14ac:dyDescent="0.25">
      <c r="A47" s="32">
        <v>45</v>
      </c>
      <c r="B47" s="13" t="s">
        <v>202</v>
      </c>
      <c r="C47" s="11" t="s">
        <v>143</v>
      </c>
      <c r="D47" s="12" t="s">
        <v>130</v>
      </c>
      <c r="E47" s="45">
        <f>(MAX(人物卡!Y5,人物卡!Y3,人物卡!S3))*2+人物卡!AE5*2</f>
        <v>324</v>
      </c>
      <c r="F47" s="33" t="s">
        <v>203</v>
      </c>
    </row>
    <row r="48" spans="1:6" ht="17.25" customHeight="1" x14ac:dyDescent="0.25">
      <c r="A48" s="31">
        <v>46</v>
      </c>
      <c r="B48" s="14" t="s">
        <v>131</v>
      </c>
      <c r="C48" s="34" t="s">
        <v>92</v>
      </c>
      <c r="D48" s="35" t="s">
        <v>313</v>
      </c>
      <c r="E48" s="46">
        <f>人物卡!AE5*2+人物卡!Y3*2</f>
        <v>324</v>
      </c>
      <c r="F48" s="36" t="s">
        <v>133</v>
      </c>
    </row>
    <row r="49" spans="1:6" ht="17.25" customHeight="1" x14ac:dyDescent="0.25">
      <c r="A49" s="32">
        <v>47</v>
      </c>
      <c r="B49" s="13" t="s">
        <v>132</v>
      </c>
      <c r="C49" s="11" t="s">
        <v>86</v>
      </c>
      <c r="D49" s="12" t="s">
        <v>314</v>
      </c>
      <c r="E49" s="45">
        <f>人物卡!AE5*2+MAX(人物卡!Y3,人物卡!S3)*2</f>
        <v>324</v>
      </c>
      <c r="F49" s="33" t="s">
        <v>204</v>
      </c>
    </row>
    <row r="50" spans="1:6" ht="17.25" customHeight="1" x14ac:dyDescent="0.25">
      <c r="A50" s="31">
        <v>48</v>
      </c>
      <c r="B50" s="14" t="s">
        <v>205</v>
      </c>
      <c r="C50" s="34" t="s">
        <v>107</v>
      </c>
      <c r="D50" s="35" t="s">
        <v>313</v>
      </c>
      <c r="E50" s="46">
        <f>人物卡!AE5*2+人物卡!Y3*2</f>
        <v>324</v>
      </c>
      <c r="F50" s="36" t="s">
        <v>537</v>
      </c>
    </row>
    <row r="51" spans="1:6" x14ac:dyDescent="0.25">
      <c r="A51" s="32">
        <v>49</v>
      </c>
      <c r="B51" s="13" t="s">
        <v>206</v>
      </c>
      <c r="C51" s="11" t="s">
        <v>207</v>
      </c>
      <c r="D51" s="12" t="s">
        <v>85</v>
      </c>
      <c r="E51" s="45">
        <f>人物卡!AE5*4</f>
        <v>288</v>
      </c>
      <c r="F51" s="33" t="s">
        <v>208</v>
      </c>
    </row>
    <row r="52" spans="1:6" ht="17.25" customHeight="1" x14ac:dyDescent="0.25">
      <c r="A52" s="31">
        <v>50</v>
      </c>
      <c r="B52" s="14" t="s">
        <v>209</v>
      </c>
      <c r="C52" s="34" t="s">
        <v>135</v>
      </c>
      <c r="D52" s="35" t="s">
        <v>309</v>
      </c>
      <c r="E52" s="46">
        <f>人物卡!AE5*2+人物卡!Y5*2</f>
        <v>304</v>
      </c>
      <c r="F52" s="36" t="s">
        <v>134</v>
      </c>
    </row>
    <row r="53" spans="1:6" x14ac:dyDescent="0.25">
      <c r="A53" s="32">
        <v>51</v>
      </c>
      <c r="B53" s="13" t="s">
        <v>60</v>
      </c>
      <c r="C53" s="11" t="s">
        <v>120</v>
      </c>
      <c r="D53" s="12" t="s">
        <v>85</v>
      </c>
      <c r="E53" s="45">
        <f>人物卡!AE5*4</f>
        <v>288</v>
      </c>
      <c r="F53" s="33" t="s">
        <v>538</v>
      </c>
    </row>
    <row r="54" spans="1:6" ht="16.5" customHeight="1" x14ac:dyDescent="0.25">
      <c r="A54" s="31">
        <v>52</v>
      </c>
      <c r="B54" s="14" t="s">
        <v>210</v>
      </c>
      <c r="C54" s="34" t="s">
        <v>99</v>
      </c>
      <c r="D54" s="35" t="s">
        <v>88</v>
      </c>
      <c r="E54" s="46">
        <f>人物卡!AE5*2+人物卡!Y5*2</f>
        <v>304</v>
      </c>
      <c r="F54" s="36" t="s">
        <v>343</v>
      </c>
    </row>
    <row r="55" spans="1:6" ht="33" customHeight="1" x14ac:dyDescent="0.25">
      <c r="A55" s="32">
        <v>53</v>
      </c>
      <c r="B55" s="13" t="s">
        <v>211</v>
      </c>
      <c r="C55" s="11" t="s">
        <v>212</v>
      </c>
      <c r="D55" s="12" t="s">
        <v>130</v>
      </c>
      <c r="E55" s="45">
        <f>(MAX(人物卡!Y5,人物卡!Y3,人物卡!S3))*2+人物卡!AE5*2</f>
        <v>324</v>
      </c>
      <c r="F55" s="33" t="s">
        <v>213</v>
      </c>
    </row>
    <row r="56" spans="1:6" ht="16.5" customHeight="1" x14ac:dyDescent="0.25">
      <c r="A56" s="31">
        <v>54</v>
      </c>
      <c r="B56" s="14" t="s">
        <v>214</v>
      </c>
      <c r="C56" s="34" t="s">
        <v>107</v>
      </c>
      <c r="D56" s="35" t="s">
        <v>100</v>
      </c>
      <c r="E56" s="46">
        <f>人物卡!AE5*2+MAX(人物卡!Y3,人物卡!S3)*2</f>
        <v>324</v>
      </c>
      <c r="F56" s="36" t="s">
        <v>336</v>
      </c>
    </row>
    <row r="57" spans="1:6" x14ac:dyDescent="0.25">
      <c r="A57" s="32">
        <v>55</v>
      </c>
      <c r="B57" s="13" t="s">
        <v>215</v>
      </c>
      <c r="C57" s="11" t="s">
        <v>175</v>
      </c>
      <c r="D57" s="12" t="s">
        <v>85</v>
      </c>
      <c r="E57" s="45">
        <f>人物卡!AE5*4</f>
        <v>288</v>
      </c>
      <c r="F57" s="33" t="s">
        <v>216</v>
      </c>
    </row>
    <row r="58" spans="1:6" ht="16.5" customHeight="1" x14ac:dyDescent="0.25">
      <c r="A58" s="31">
        <v>56</v>
      </c>
      <c r="B58" s="14" t="s">
        <v>136</v>
      </c>
      <c r="C58" s="34" t="s">
        <v>107</v>
      </c>
      <c r="D58" s="35" t="s">
        <v>100</v>
      </c>
      <c r="E58" s="46">
        <f>人物卡!AE5*2+MAX(人物卡!Y3,人物卡!S3)*2</f>
        <v>324</v>
      </c>
      <c r="F58" s="36" t="s">
        <v>137</v>
      </c>
    </row>
    <row r="59" spans="1:6" x14ac:dyDescent="0.25">
      <c r="A59" s="32">
        <v>57</v>
      </c>
      <c r="B59" s="13" t="s">
        <v>217</v>
      </c>
      <c r="C59" s="11" t="s">
        <v>92</v>
      </c>
      <c r="D59" s="12" t="s">
        <v>85</v>
      </c>
      <c r="E59" s="45">
        <f>人物卡!AE5*4</f>
        <v>288</v>
      </c>
      <c r="F59" s="33" t="s">
        <v>218</v>
      </c>
    </row>
    <row r="60" spans="1:6" x14ac:dyDescent="0.25">
      <c r="A60" s="31">
        <v>58</v>
      </c>
      <c r="B60" s="14" t="s">
        <v>61</v>
      </c>
      <c r="C60" s="34" t="s">
        <v>219</v>
      </c>
      <c r="D60" s="35" t="s">
        <v>85</v>
      </c>
      <c r="E60" s="46">
        <f>人物卡!AE5*4</f>
        <v>288</v>
      </c>
      <c r="F60" s="36" t="s">
        <v>138</v>
      </c>
    </row>
    <row r="61" spans="1:6" ht="31.2" x14ac:dyDescent="0.25">
      <c r="A61" s="32">
        <v>59</v>
      </c>
      <c r="B61" s="13" t="s">
        <v>62</v>
      </c>
      <c r="C61" s="11" t="s">
        <v>220</v>
      </c>
      <c r="D61" s="12" t="s">
        <v>312</v>
      </c>
      <c r="E61" s="45">
        <f>人物卡!AE5*2+MAX(人物卡!Y5,人物卡!Y3)*2</f>
        <v>324</v>
      </c>
      <c r="F61" s="33" t="s">
        <v>344</v>
      </c>
    </row>
    <row r="62" spans="1:6" x14ac:dyDescent="0.25">
      <c r="A62" s="31">
        <v>60</v>
      </c>
      <c r="B62" s="14" t="s">
        <v>139</v>
      </c>
      <c r="C62" s="34" t="s">
        <v>221</v>
      </c>
      <c r="D62" s="35" t="s">
        <v>88</v>
      </c>
      <c r="E62" s="46">
        <f>人物卡!AE5*2+人物卡!Y5*2</f>
        <v>304</v>
      </c>
      <c r="F62" s="36" t="s">
        <v>141</v>
      </c>
    </row>
    <row r="63" spans="1:6" ht="31.2" x14ac:dyDescent="0.25">
      <c r="A63" s="32">
        <v>61</v>
      </c>
      <c r="B63" s="13" t="s">
        <v>140</v>
      </c>
      <c r="C63" s="11" t="s">
        <v>86</v>
      </c>
      <c r="D63" s="12" t="s">
        <v>100</v>
      </c>
      <c r="E63" s="45">
        <f>人物卡!AE5*2+MAX(人物卡!Y3,人物卡!S3)*2</f>
        <v>324</v>
      </c>
      <c r="F63" s="33" t="s">
        <v>222</v>
      </c>
    </row>
    <row r="64" spans="1:6" x14ac:dyDescent="0.25">
      <c r="A64" s="31">
        <v>62</v>
      </c>
      <c r="B64" s="14" t="s">
        <v>223</v>
      </c>
      <c r="C64" s="34" t="s">
        <v>224</v>
      </c>
      <c r="D64" s="35" t="s">
        <v>309</v>
      </c>
      <c r="E64" s="46">
        <f>人物卡!AE5*2+人物卡!Y5*2</f>
        <v>304</v>
      </c>
      <c r="F64" s="36" t="s">
        <v>329</v>
      </c>
    </row>
    <row r="65" spans="1:6" ht="31.2" x14ac:dyDescent="0.25">
      <c r="A65" s="32">
        <v>63</v>
      </c>
      <c r="B65" s="13" t="s">
        <v>144</v>
      </c>
      <c r="C65" s="11" t="s">
        <v>143</v>
      </c>
      <c r="D65" s="12" t="s">
        <v>142</v>
      </c>
      <c r="E65" s="45">
        <f>人物卡!AE5*2+MAX(人物卡!Y5,人物卡!Y3)*2</f>
        <v>324</v>
      </c>
      <c r="F65" s="33" t="s">
        <v>330</v>
      </c>
    </row>
    <row r="66" spans="1:6" x14ac:dyDescent="0.25">
      <c r="A66" s="31">
        <v>64</v>
      </c>
      <c r="B66" s="14" t="s">
        <v>225</v>
      </c>
      <c r="C66" s="34" t="s">
        <v>226</v>
      </c>
      <c r="D66" s="35" t="s">
        <v>315</v>
      </c>
      <c r="E66" s="46">
        <f>人物卡!AE5*2+人物卡!S3*2</f>
        <v>304</v>
      </c>
      <c r="F66" s="36" t="s">
        <v>539</v>
      </c>
    </row>
    <row r="67" spans="1:6" x14ac:dyDescent="0.25">
      <c r="A67" s="32">
        <v>65</v>
      </c>
      <c r="B67" s="13" t="s">
        <v>145</v>
      </c>
      <c r="C67" s="11" t="s">
        <v>107</v>
      </c>
      <c r="D67" s="12" t="s">
        <v>85</v>
      </c>
      <c r="E67" s="45">
        <f>人物卡!AE5*4</f>
        <v>288</v>
      </c>
      <c r="F67" s="33" t="s">
        <v>444</v>
      </c>
    </row>
    <row r="68" spans="1:6" x14ac:dyDescent="0.25">
      <c r="A68" s="31">
        <v>66</v>
      </c>
      <c r="B68" s="14" t="s">
        <v>227</v>
      </c>
      <c r="C68" s="34" t="s">
        <v>107</v>
      </c>
      <c r="D68" s="35" t="s">
        <v>85</v>
      </c>
      <c r="E68" s="46">
        <f>人物卡!AE5*4</f>
        <v>288</v>
      </c>
      <c r="F68" s="36" t="s">
        <v>345</v>
      </c>
    </row>
    <row r="69" spans="1:6" x14ac:dyDescent="0.25">
      <c r="A69" s="32">
        <v>67</v>
      </c>
      <c r="B69" s="13" t="s">
        <v>228</v>
      </c>
      <c r="C69" s="11" t="s">
        <v>229</v>
      </c>
      <c r="D69" s="12" t="s">
        <v>85</v>
      </c>
      <c r="E69" s="45">
        <f>人物卡!AE5*4</f>
        <v>288</v>
      </c>
      <c r="F69" s="33" t="s">
        <v>230</v>
      </c>
    </row>
    <row r="70" spans="1:6" x14ac:dyDescent="0.25">
      <c r="A70" s="31">
        <v>68</v>
      </c>
      <c r="B70" s="14" t="s">
        <v>231</v>
      </c>
      <c r="C70" s="34" t="s">
        <v>207</v>
      </c>
      <c r="D70" s="35" t="s">
        <v>85</v>
      </c>
      <c r="E70" s="46">
        <f>人物卡!AE5*4</f>
        <v>288</v>
      </c>
      <c r="F70" s="36" t="s">
        <v>540</v>
      </c>
    </row>
    <row r="71" spans="1:6" ht="16.5" customHeight="1" x14ac:dyDescent="0.25">
      <c r="A71" s="32">
        <v>69</v>
      </c>
      <c r="B71" s="13" t="s">
        <v>232</v>
      </c>
      <c r="C71" s="11" t="s">
        <v>107</v>
      </c>
      <c r="D71" s="12" t="s">
        <v>100</v>
      </c>
      <c r="E71" s="45">
        <f>人物卡!AE5*2+MAX(人物卡!Y3,人物卡!S3)*2</f>
        <v>324</v>
      </c>
      <c r="F71" s="33" t="s">
        <v>233</v>
      </c>
    </row>
    <row r="72" spans="1:6" ht="16.5" customHeight="1" x14ac:dyDescent="0.25">
      <c r="A72" s="31">
        <v>70</v>
      </c>
      <c r="B72" s="14" t="s">
        <v>234</v>
      </c>
      <c r="C72" s="34" t="s">
        <v>107</v>
      </c>
      <c r="D72" s="35" t="s">
        <v>100</v>
      </c>
      <c r="E72" s="46">
        <f>人物卡!AE5*2+MAX(人物卡!Y3,人物卡!S3)*2</f>
        <v>324</v>
      </c>
      <c r="F72" s="36" t="s">
        <v>146</v>
      </c>
    </row>
    <row r="73" spans="1:6" x14ac:dyDescent="0.25">
      <c r="A73" s="32">
        <v>71</v>
      </c>
      <c r="B73" s="13" t="s">
        <v>235</v>
      </c>
      <c r="C73" s="11" t="s">
        <v>128</v>
      </c>
      <c r="D73" s="12" t="s">
        <v>85</v>
      </c>
      <c r="E73" s="45">
        <f>人物卡!AE5*4</f>
        <v>288</v>
      </c>
      <c r="F73" s="33" t="s">
        <v>236</v>
      </c>
    </row>
    <row r="74" spans="1:6" x14ac:dyDescent="0.25">
      <c r="A74" s="31">
        <v>72</v>
      </c>
      <c r="B74" s="14" t="s">
        <v>237</v>
      </c>
      <c r="C74" s="34" t="s">
        <v>238</v>
      </c>
      <c r="D74" s="35" t="s">
        <v>85</v>
      </c>
      <c r="E74" s="46">
        <f>人物卡!AE5*4</f>
        <v>288</v>
      </c>
      <c r="F74" s="36" t="s">
        <v>147</v>
      </c>
    </row>
    <row r="75" spans="1:6" x14ac:dyDescent="0.25">
      <c r="A75" s="32">
        <v>73</v>
      </c>
      <c r="B75" s="13" t="s">
        <v>239</v>
      </c>
      <c r="C75" s="11" t="s">
        <v>109</v>
      </c>
      <c r="D75" s="12" t="s">
        <v>85</v>
      </c>
      <c r="E75" s="45">
        <f>人物卡!AE5*4</f>
        <v>288</v>
      </c>
      <c r="F75" s="33" t="s">
        <v>541</v>
      </c>
    </row>
    <row r="76" spans="1:6" ht="16.5" customHeight="1" x14ac:dyDescent="0.25">
      <c r="A76" s="31">
        <v>74</v>
      </c>
      <c r="B76" s="14" t="s">
        <v>240</v>
      </c>
      <c r="C76" s="34" t="s">
        <v>241</v>
      </c>
      <c r="D76" s="35" t="s">
        <v>100</v>
      </c>
      <c r="E76" s="46">
        <f>人物卡!AE5*2+MAX(人物卡!Y3,人物卡!S3)*2</f>
        <v>324</v>
      </c>
      <c r="F76" s="36" t="s">
        <v>148</v>
      </c>
    </row>
    <row r="77" spans="1:6" ht="17.25" customHeight="1" x14ac:dyDescent="0.25">
      <c r="A77" s="32">
        <v>75</v>
      </c>
      <c r="B77" s="13" t="s">
        <v>242</v>
      </c>
      <c r="C77" s="11" t="s">
        <v>243</v>
      </c>
      <c r="D77" s="12" t="s">
        <v>88</v>
      </c>
      <c r="E77" s="45">
        <f>人物卡!AE5*2+人物卡!Y5*2</f>
        <v>304</v>
      </c>
      <c r="F77" s="33" t="s">
        <v>331</v>
      </c>
    </row>
    <row r="78" spans="1:6" ht="17.25" customHeight="1" x14ac:dyDescent="0.25">
      <c r="A78" s="31">
        <v>76</v>
      </c>
      <c r="B78" s="14" t="s">
        <v>244</v>
      </c>
      <c r="C78" s="34" t="s">
        <v>120</v>
      </c>
      <c r="D78" s="35" t="s">
        <v>319</v>
      </c>
      <c r="E78" s="46">
        <f>人物卡!AE5*2+MAX(人物卡!Y3,人物卡!S3)*2</f>
        <v>324</v>
      </c>
      <c r="F78" s="36" t="s">
        <v>149</v>
      </c>
    </row>
    <row r="79" spans="1:6" x14ac:dyDescent="0.25">
      <c r="A79" s="32">
        <v>77</v>
      </c>
      <c r="B79" s="13" t="s">
        <v>245</v>
      </c>
      <c r="C79" s="11" t="s">
        <v>207</v>
      </c>
      <c r="D79" s="12" t="s">
        <v>85</v>
      </c>
      <c r="E79" s="45">
        <f>人物卡!AE5*4</f>
        <v>288</v>
      </c>
      <c r="F79" s="33" t="s">
        <v>246</v>
      </c>
    </row>
    <row r="80" spans="1:6" ht="16.5" customHeight="1" x14ac:dyDescent="0.25">
      <c r="A80" s="31">
        <v>78</v>
      </c>
      <c r="B80" s="14" t="s">
        <v>247</v>
      </c>
      <c r="C80" s="34" t="s">
        <v>107</v>
      </c>
      <c r="D80" s="35" t="s">
        <v>248</v>
      </c>
      <c r="E80" s="46">
        <f>人物卡!AE5*2+MAX(人物卡!Y3,人物卡!AE3)*2</f>
        <v>324</v>
      </c>
      <c r="F80" s="36" t="s">
        <v>346</v>
      </c>
    </row>
    <row r="81" spans="1:6" x14ac:dyDescent="0.25">
      <c r="A81" s="32">
        <v>79</v>
      </c>
      <c r="B81" s="13" t="s">
        <v>249</v>
      </c>
      <c r="C81" s="11" t="s">
        <v>107</v>
      </c>
      <c r="D81" s="12" t="s">
        <v>85</v>
      </c>
      <c r="E81" s="45">
        <f>人物卡!AE5*4</f>
        <v>288</v>
      </c>
      <c r="F81" s="33" t="s">
        <v>250</v>
      </c>
    </row>
    <row r="82" spans="1:6" x14ac:dyDescent="0.25">
      <c r="A82" s="31">
        <v>80</v>
      </c>
      <c r="B82" s="14" t="s">
        <v>251</v>
      </c>
      <c r="C82" s="34" t="s">
        <v>252</v>
      </c>
      <c r="D82" s="35" t="s">
        <v>85</v>
      </c>
      <c r="E82" s="46">
        <f>人物卡!AE5*4</f>
        <v>288</v>
      </c>
      <c r="F82" s="36" t="s">
        <v>322</v>
      </c>
    </row>
    <row r="83" spans="1:6" ht="16.5" customHeight="1" x14ac:dyDescent="0.25">
      <c r="A83" s="32">
        <v>81</v>
      </c>
      <c r="B83" s="13" t="s">
        <v>253</v>
      </c>
      <c r="C83" s="11" t="s">
        <v>254</v>
      </c>
      <c r="D83" s="12" t="s">
        <v>100</v>
      </c>
      <c r="E83" s="45">
        <f>人物卡!AE5*2+MAX(人物卡!Y3,人物卡!S3)*2</f>
        <v>324</v>
      </c>
      <c r="F83" s="33" t="s">
        <v>255</v>
      </c>
    </row>
    <row r="84" spans="1:6" x14ac:dyDescent="0.25">
      <c r="A84" s="31">
        <v>82</v>
      </c>
      <c r="B84" s="14" t="s">
        <v>256</v>
      </c>
      <c r="C84" s="34" t="s">
        <v>107</v>
      </c>
      <c r="D84" s="35" t="s">
        <v>85</v>
      </c>
      <c r="E84" s="46">
        <f>人物卡!AE5*4</f>
        <v>288</v>
      </c>
      <c r="F84" s="36" t="s">
        <v>347</v>
      </c>
    </row>
    <row r="85" spans="1:6" x14ac:dyDescent="0.25">
      <c r="A85" s="32">
        <v>83</v>
      </c>
      <c r="B85" s="13" t="s">
        <v>257</v>
      </c>
      <c r="C85" s="11" t="s">
        <v>258</v>
      </c>
      <c r="D85" s="12" t="s">
        <v>85</v>
      </c>
      <c r="E85" s="45">
        <f>人物卡!AE5*4</f>
        <v>288</v>
      </c>
      <c r="F85" s="33" t="s">
        <v>259</v>
      </c>
    </row>
    <row r="86" spans="1:6" x14ac:dyDescent="0.25">
      <c r="A86" s="31">
        <v>84</v>
      </c>
      <c r="B86" s="14" t="s">
        <v>260</v>
      </c>
      <c r="C86" s="34" t="s">
        <v>107</v>
      </c>
      <c r="D86" s="35" t="s">
        <v>85</v>
      </c>
      <c r="E86" s="46">
        <f>人物卡!AE5*4</f>
        <v>288</v>
      </c>
      <c r="F86" s="36" t="s">
        <v>348</v>
      </c>
    </row>
    <row r="87" spans="1:6" x14ac:dyDescent="0.25">
      <c r="A87" s="32">
        <v>85</v>
      </c>
      <c r="B87" s="13" t="s">
        <v>261</v>
      </c>
      <c r="C87" s="11" t="s">
        <v>207</v>
      </c>
      <c r="D87" s="12" t="s">
        <v>85</v>
      </c>
      <c r="E87" s="45">
        <f>人物卡!AE5*4</f>
        <v>288</v>
      </c>
      <c r="F87" s="33" t="s">
        <v>349</v>
      </c>
    </row>
    <row r="88" spans="1:6" ht="16.5" customHeight="1" x14ac:dyDescent="0.25">
      <c r="A88" s="31">
        <v>86</v>
      </c>
      <c r="B88" s="14" t="s">
        <v>262</v>
      </c>
      <c r="C88" s="34" t="s">
        <v>241</v>
      </c>
      <c r="D88" s="35" t="s">
        <v>113</v>
      </c>
      <c r="E88" s="46">
        <f>人物卡!AE5*2+人物卡!Y3*2</f>
        <v>324</v>
      </c>
      <c r="F88" s="36" t="s">
        <v>542</v>
      </c>
    </row>
    <row r="89" spans="1:6" x14ac:dyDescent="0.25">
      <c r="A89" s="32">
        <v>87</v>
      </c>
      <c r="B89" s="13" t="s">
        <v>263</v>
      </c>
      <c r="C89" s="11" t="s">
        <v>120</v>
      </c>
      <c r="D89" s="12" t="s">
        <v>85</v>
      </c>
      <c r="E89" s="45">
        <f>人物卡!AE5*4</f>
        <v>288</v>
      </c>
      <c r="F89" s="33" t="s">
        <v>543</v>
      </c>
    </row>
    <row r="90" spans="1:6" ht="16.5" customHeight="1" x14ac:dyDescent="0.25">
      <c r="A90" s="31">
        <v>88</v>
      </c>
      <c r="B90" s="14" t="s">
        <v>264</v>
      </c>
      <c r="C90" s="34" t="s">
        <v>174</v>
      </c>
      <c r="D90" s="35" t="s">
        <v>100</v>
      </c>
      <c r="E90" s="46">
        <f>人物卡!AE5*2+MAX(人物卡!Y3,人物卡!S3)*2</f>
        <v>324</v>
      </c>
      <c r="F90" s="36" t="s">
        <v>350</v>
      </c>
    </row>
    <row r="91" spans="1:6" ht="16.5" customHeight="1" x14ac:dyDescent="0.25">
      <c r="A91" s="32">
        <v>89</v>
      </c>
      <c r="B91" s="13" t="s">
        <v>265</v>
      </c>
      <c r="C91" s="11" t="s">
        <v>107</v>
      </c>
      <c r="D91" s="12" t="s">
        <v>100</v>
      </c>
      <c r="E91" s="45">
        <f>人物卡!AE5*2+MAX(人物卡!Y3,人物卡!S3)*2</f>
        <v>324</v>
      </c>
      <c r="F91" s="33" t="s">
        <v>266</v>
      </c>
    </row>
    <row r="92" spans="1:6" ht="16.5" customHeight="1" x14ac:dyDescent="0.25">
      <c r="A92" s="31">
        <v>90</v>
      </c>
      <c r="B92" s="14" t="s">
        <v>267</v>
      </c>
      <c r="C92" s="34" t="s">
        <v>107</v>
      </c>
      <c r="D92" s="35" t="s">
        <v>100</v>
      </c>
      <c r="E92" s="46">
        <f>人物卡!AE5*2+MAX(人物卡!Y3,人物卡!S3)*2</f>
        <v>324</v>
      </c>
      <c r="F92" s="36" t="s">
        <v>351</v>
      </c>
    </row>
    <row r="93" spans="1:6" x14ac:dyDescent="0.25">
      <c r="A93" s="32">
        <v>91</v>
      </c>
      <c r="B93" s="13" t="s">
        <v>268</v>
      </c>
      <c r="C93" s="11" t="s">
        <v>241</v>
      </c>
      <c r="D93" s="12" t="s">
        <v>85</v>
      </c>
      <c r="E93" s="45">
        <f>人物卡!AE5*4</f>
        <v>288</v>
      </c>
      <c r="F93" s="33" t="s">
        <v>269</v>
      </c>
    </row>
    <row r="94" spans="1:6" ht="16.5" customHeight="1" x14ac:dyDescent="0.25">
      <c r="A94" s="31">
        <v>92</v>
      </c>
      <c r="B94" s="14" t="s">
        <v>270</v>
      </c>
      <c r="C94" s="34" t="s">
        <v>271</v>
      </c>
      <c r="D94" s="35" t="s">
        <v>100</v>
      </c>
      <c r="E94" s="46">
        <f>人物卡!AE5*2+MAX(人物卡!Y3,人物卡!S3)*2</f>
        <v>324</v>
      </c>
      <c r="F94" s="36" t="s">
        <v>150</v>
      </c>
    </row>
    <row r="95" spans="1:6" ht="17.25" customHeight="1" x14ac:dyDescent="0.25">
      <c r="A95" s="32">
        <v>93</v>
      </c>
      <c r="B95" s="13" t="s">
        <v>272</v>
      </c>
      <c r="C95" s="11" t="s">
        <v>273</v>
      </c>
      <c r="D95" s="12" t="s">
        <v>88</v>
      </c>
      <c r="E95" s="45">
        <f>人物卡!AE5*2+人物卡!Y5*2</f>
        <v>304</v>
      </c>
      <c r="F95" s="33" t="s">
        <v>332</v>
      </c>
    </row>
    <row r="96" spans="1:6" x14ac:dyDescent="0.25">
      <c r="A96" s="31">
        <v>94</v>
      </c>
      <c r="B96" s="14" t="s">
        <v>274</v>
      </c>
      <c r="C96" s="34" t="s">
        <v>128</v>
      </c>
      <c r="D96" s="35" t="s">
        <v>85</v>
      </c>
      <c r="E96" s="46">
        <f>人物卡!AE5*4</f>
        <v>288</v>
      </c>
      <c r="F96" s="36" t="s">
        <v>151</v>
      </c>
    </row>
    <row r="97" spans="1:6" x14ac:dyDescent="0.25">
      <c r="A97" s="32">
        <v>95</v>
      </c>
      <c r="B97" s="13" t="s">
        <v>275</v>
      </c>
      <c r="C97" s="11" t="s">
        <v>92</v>
      </c>
      <c r="D97" s="12" t="s">
        <v>85</v>
      </c>
      <c r="E97" s="45">
        <f>人物卡!AE5*4</f>
        <v>288</v>
      </c>
      <c r="F97" s="33" t="s">
        <v>276</v>
      </c>
    </row>
    <row r="98" spans="1:6" x14ac:dyDescent="0.25">
      <c r="A98" s="31">
        <v>96</v>
      </c>
      <c r="B98" s="14" t="s">
        <v>277</v>
      </c>
      <c r="C98" s="34" t="s">
        <v>107</v>
      </c>
      <c r="D98" s="35" t="s">
        <v>85</v>
      </c>
      <c r="E98" s="46">
        <f>人物卡!AE5*4</f>
        <v>288</v>
      </c>
      <c r="F98" s="36" t="s">
        <v>152</v>
      </c>
    </row>
    <row r="99" spans="1:6" x14ac:dyDescent="0.25">
      <c r="A99" s="32">
        <v>97</v>
      </c>
      <c r="B99" s="13" t="s">
        <v>278</v>
      </c>
      <c r="C99" s="11" t="s">
        <v>107</v>
      </c>
      <c r="D99" s="12" t="s">
        <v>85</v>
      </c>
      <c r="E99" s="45">
        <f>人物卡!AE5*4</f>
        <v>288</v>
      </c>
      <c r="F99" s="33" t="s">
        <v>279</v>
      </c>
    </row>
    <row r="100" spans="1:6" x14ac:dyDescent="0.25">
      <c r="A100" s="31">
        <v>98</v>
      </c>
      <c r="B100" s="14" t="s">
        <v>280</v>
      </c>
      <c r="C100" s="34" t="s">
        <v>175</v>
      </c>
      <c r="D100" s="35" t="s">
        <v>85</v>
      </c>
      <c r="E100" s="46">
        <f>人物卡!AE5*4</f>
        <v>288</v>
      </c>
      <c r="F100" s="36" t="s">
        <v>153</v>
      </c>
    </row>
    <row r="101" spans="1:6" ht="17.25" customHeight="1" x14ac:dyDescent="0.25">
      <c r="A101" s="32">
        <v>99</v>
      </c>
      <c r="B101" s="13" t="s">
        <v>281</v>
      </c>
      <c r="C101" s="11" t="s">
        <v>109</v>
      </c>
      <c r="D101" s="12" t="s">
        <v>311</v>
      </c>
      <c r="E101" s="45">
        <f>人物卡!AE5*2+人物卡!Y5*2</f>
        <v>304</v>
      </c>
      <c r="F101" s="33" t="s">
        <v>282</v>
      </c>
    </row>
    <row r="102" spans="1:6" x14ac:dyDescent="0.25">
      <c r="A102" s="31">
        <v>100</v>
      </c>
      <c r="B102" s="14" t="s">
        <v>283</v>
      </c>
      <c r="C102" s="34" t="s">
        <v>96</v>
      </c>
      <c r="D102" s="35" t="s">
        <v>85</v>
      </c>
      <c r="E102" s="46">
        <f>人物卡!AE5*4</f>
        <v>288</v>
      </c>
      <c r="F102" s="36" t="s">
        <v>154</v>
      </c>
    </row>
    <row r="103" spans="1:6" ht="17.25" customHeight="1" x14ac:dyDescent="0.25">
      <c r="A103" s="32">
        <v>101</v>
      </c>
      <c r="B103" s="13" t="s">
        <v>284</v>
      </c>
      <c r="C103" s="11" t="s">
        <v>107</v>
      </c>
      <c r="D103" s="12" t="s">
        <v>310</v>
      </c>
      <c r="E103" s="45">
        <f>人物卡!AE5*2+MAX(人物卡!Y5,人物卡!Y3)*2</f>
        <v>324</v>
      </c>
      <c r="F103" s="33" t="s">
        <v>337</v>
      </c>
    </row>
    <row r="104" spans="1:6" ht="17.25" customHeight="1" x14ac:dyDescent="0.25">
      <c r="A104" s="31">
        <v>102</v>
      </c>
      <c r="B104" s="14" t="s">
        <v>285</v>
      </c>
      <c r="C104" s="34" t="s">
        <v>175</v>
      </c>
      <c r="D104" s="35" t="s">
        <v>316</v>
      </c>
      <c r="E104" s="46">
        <f>人物卡!AE5*2+MAX(人物卡!Y5,人物卡!Y3)*2</f>
        <v>324</v>
      </c>
      <c r="F104" s="36" t="s">
        <v>544</v>
      </c>
    </row>
    <row r="105" spans="1:6" ht="16.5" customHeight="1" x14ac:dyDescent="0.25">
      <c r="A105" s="32">
        <v>103</v>
      </c>
      <c r="B105" s="13" t="s">
        <v>286</v>
      </c>
      <c r="C105" s="11" t="s">
        <v>107</v>
      </c>
      <c r="D105" s="12" t="s">
        <v>100</v>
      </c>
      <c r="E105" s="45">
        <f>人物卡!AE5*2+MAX(人物卡!Y3,人物卡!S3)*2</f>
        <v>324</v>
      </c>
      <c r="F105" s="33" t="s">
        <v>287</v>
      </c>
    </row>
    <row r="106" spans="1:6" ht="17.25" customHeight="1" x14ac:dyDescent="0.25">
      <c r="A106" s="31">
        <v>104</v>
      </c>
      <c r="B106" s="14" t="s">
        <v>288</v>
      </c>
      <c r="C106" s="34" t="s">
        <v>119</v>
      </c>
      <c r="D106" s="35" t="s">
        <v>316</v>
      </c>
      <c r="E106" s="46">
        <f>人物卡!AE5*2+MAX(人物卡!Y5,人物卡!Y3)*2</f>
        <v>324</v>
      </c>
      <c r="F106" s="36" t="s">
        <v>352</v>
      </c>
    </row>
    <row r="107" spans="1:6" x14ac:dyDescent="0.25">
      <c r="A107" s="32">
        <v>105</v>
      </c>
      <c r="B107" s="13" t="s">
        <v>289</v>
      </c>
      <c r="C107" s="11" t="s">
        <v>290</v>
      </c>
      <c r="D107" s="12" t="s">
        <v>85</v>
      </c>
      <c r="E107" s="45">
        <f>人物卡!AE5*4</f>
        <v>288</v>
      </c>
      <c r="F107" s="33" t="s">
        <v>291</v>
      </c>
    </row>
    <row r="108" spans="1:6" ht="16.5" customHeight="1" x14ac:dyDescent="0.25">
      <c r="A108" s="31">
        <v>106</v>
      </c>
      <c r="B108" s="14" t="s">
        <v>292</v>
      </c>
      <c r="C108" s="34" t="s">
        <v>293</v>
      </c>
      <c r="D108" s="35" t="s">
        <v>100</v>
      </c>
      <c r="E108" s="46">
        <f>人物卡!AE5*2+MAX(人物卡!Y3,人物卡!S3)*2</f>
        <v>324</v>
      </c>
      <c r="F108" s="36" t="s">
        <v>545</v>
      </c>
    </row>
    <row r="109" spans="1:6" ht="16.5" customHeight="1" x14ac:dyDescent="0.25">
      <c r="A109" s="32">
        <v>107</v>
      </c>
      <c r="B109" s="13" t="s">
        <v>294</v>
      </c>
      <c r="C109" s="11" t="s">
        <v>321</v>
      </c>
      <c r="D109" s="12" t="s">
        <v>100</v>
      </c>
      <c r="E109" s="45">
        <f>人物卡!AE5*2+MAX(人物卡!Y3,人物卡!S3)*2</f>
        <v>324</v>
      </c>
      <c r="F109" s="33" t="s">
        <v>295</v>
      </c>
    </row>
    <row r="110" spans="1:6" x14ac:dyDescent="0.25">
      <c r="A110" s="31">
        <v>108</v>
      </c>
      <c r="B110" s="14" t="s">
        <v>296</v>
      </c>
      <c r="C110" s="34" t="s">
        <v>175</v>
      </c>
      <c r="D110" s="35" t="s">
        <v>85</v>
      </c>
      <c r="E110" s="46">
        <f>人物卡!AE5*4</f>
        <v>288</v>
      </c>
      <c r="F110" s="36" t="s">
        <v>156</v>
      </c>
    </row>
    <row r="111" spans="1:6" x14ac:dyDescent="0.25">
      <c r="A111" s="32">
        <v>109</v>
      </c>
      <c r="B111" s="13" t="s">
        <v>297</v>
      </c>
      <c r="C111" s="11" t="s">
        <v>273</v>
      </c>
      <c r="D111" s="12" t="s">
        <v>85</v>
      </c>
      <c r="E111" s="45">
        <f>人物卡!AE5*4</f>
        <v>288</v>
      </c>
      <c r="F111" s="33" t="s">
        <v>298</v>
      </c>
    </row>
    <row r="112" spans="1:6" ht="17.25" customHeight="1" x14ac:dyDescent="0.25">
      <c r="A112" s="31">
        <v>110</v>
      </c>
      <c r="B112" s="14" t="s">
        <v>299</v>
      </c>
      <c r="C112" s="34" t="s">
        <v>86</v>
      </c>
      <c r="D112" s="35" t="s">
        <v>142</v>
      </c>
      <c r="E112" s="46">
        <f>人物卡!AE5*2+MAX(人物卡!Y5,人物卡!Y3)*2</f>
        <v>324</v>
      </c>
      <c r="F112" s="36" t="s">
        <v>949</v>
      </c>
    </row>
    <row r="113" spans="1:6" x14ac:dyDescent="0.25">
      <c r="A113" s="32">
        <v>111</v>
      </c>
      <c r="B113" s="13" t="s">
        <v>300</v>
      </c>
      <c r="C113" s="11" t="s">
        <v>86</v>
      </c>
      <c r="D113" s="12" t="s">
        <v>85</v>
      </c>
      <c r="E113" s="45">
        <f>人物卡!AE5*4</f>
        <v>288</v>
      </c>
      <c r="F113" s="33" t="s">
        <v>301</v>
      </c>
    </row>
    <row r="114" spans="1:6" x14ac:dyDescent="0.25">
      <c r="A114" s="31">
        <v>112</v>
      </c>
      <c r="B114" s="14" t="s">
        <v>302</v>
      </c>
      <c r="C114" s="34" t="s">
        <v>303</v>
      </c>
      <c r="D114" s="35" t="s">
        <v>85</v>
      </c>
      <c r="E114" s="46">
        <f>人物卡!AE5*4</f>
        <v>288</v>
      </c>
      <c r="F114" s="36" t="s">
        <v>155</v>
      </c>
    </row>
    <row r="115" spans="1:6" ht="16.5" customHeight="1" x14ac:dyDescent="0.25">
      <c r="A115" s="32">
        <v>113</v>
      </c>
      <c r="B115" s="13" t="s">
        <v>304</v>
      </c>
      <c r="C115" s="11" t="s">
        <v>243</v>
      </c>
      <c r="D115" s="12" t="s">
        <v>103</v>
      </c>
      <c r="E115" s="45">
        <f>人物卡!AE5*2+MAX(人物卡!Y5,人物卡!AE3)*2</f>
        <v>304</v>
      </c>
      <c r="F115" s="33" t="s">
        <v>305</v>
      </c>
    </row>
    <row r="116" spans="1:6" ht="16.2" thickBot="1" x14ac:dyDescent="0.3">
      <c r="A116" s="37">
        <v>114</v>
      </c>
      <c r="B116" s="15" t="s">
        <v>306</v>
      </c>
      <c r="C116" s="38" t="s">
        <v>109</v>
      </c>
      <c r="D116" s="39" t="s">
        <v>85</v>
      </c>
      <c r="E116" s="47">
        <f>人物卡!AE5*4</f>
        <v>288</v>
      </c>
      <c r="F116" s="40" t="s">
        <v>547</v>
      </c>
    </row>
  </sheetData>
  <sheetProtection sheet="1" objects="1" scenarios="1" selectLockedCells="1"/>
  <mergeCells count="1">
    <mergeCell ref="B2:F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29"/>
  <sheetViews>
    <sheetView showGridLines="0" showRowColHeaders="0" workbookViewId="0">
      <selection activeCell="D36" sqref="D36"/>
    </sheetView>
  </sheetViews>
  <sheetFormatPr defaultColWidth="4" defaultRowHeight="17.399999999999999" x14ac:dyDescent="0.25"/>
  <cols>
    <col min="1" max="1" width="4" style="48"/>
    <col min="2" max="16384" width="4" style="49"/>
  </cols>
  <sheetData>
    <row r="1" spans="1:44" ht="18" thickBot="1" x14ac:dyDescent="0.3"/>
    <row r="2" spans="1:44" x14ac:dyDescent="0.25">
      <c r="A2" s="48">
        <f ca="1">RANDBETWEEN(1,6)</f>
        <v>4</v>
      </c>
      <c r="B2" s="438" t="s">
        <v>358</v>
      </c>
      <c r="C2" s="439"/>
      <c r="D2" s="439"/>
      <c r="E2" s="439"/>
      <c r="F2" s="439"/>
      <c r="G2" s="439"/>
      <c r="H2" s="439"/>
      <c r="I2" s="439"/>
      <c r="J2" s="439"/>
      <c r="K2" s="439"/>
      <c r="L2" s="439"/>
      <c r="M2" s="439"/>
      <c r="N2" s="439"/>
      <c r="O2" s="439"/>
      <c r="P2" s="439"/>
      <c r="Q2" s="439"/>
      <c r="R2" s="439"/>
      <c r="S2" s="440"/>
      <c r="U2" s="408" t="s">
        <v>919</v>
      </c>
      <c r="V2" s="409"/>
      <c r="AA2" s="446" t="s">
        <v>918</v>
      </c>
      <c r="AB2" s="447"/>
      <c r="AC2" s="447"/>
      <c r="AD2" s="447"/>
      <c r="AE2" s="447"/>
      <c r="AF2" s="447"/>
      <c r="AG2" s="447"/>
      <c r="AH2" s="447"/>
      <c r="AI2" s="447"/>
      <c r="AJ2" s="447"/>
      <c r="AK2" s="447"/>
      <c r="AL2" s="447"/>
      <c r="AM2" s="447"/>
      <c r="AN2" s="447"/>
      <c r="AO2" s="447"/>
      <c r="AP2" s="447"/>
      <c r="AQ2" s="447"/>
      <c r="AR2" s="448"/>
    </row>
    <row r="3" spans="1:44" ht="17.25" customHeight="1" x14ac:dyDescent="0.25">
      <c r="A3" s="48">
        <f ca="1">RANDBETWEEN(1,6)</f>
        <v>4</v>
      </c>
      <c r="B3" s="426" t="s">
        <v>446</v>
      </c>
      <c r="C3" s="427"/>
      <c r="D3" s="430">
        <f ca="1">SUM(A2:A4)*5</f>
        <v>65</v>
      </c>
      <c r="E3" s="430"/>
      <c r="F3" s="432">
        <f ca="1">INT(D3/2)</f>
        <v>32</v>
      </c>
      <c r="G3" s="432"/>
      <c r="H3" s="433" t="s">
        <v>447</v>
      </c>
      <c r="I3" s="433"/>
      <c r="J3" s="435">
        <f ca="1">SUM(A8:A10)*5</f>
        <v>25</v>
      </c>
      <c r="K3" s="435"/>
      <c r="L3" s="417">
        <f ca="1">INT(J3/2)</f>
        <v>12</v>
      </c>
      <c r="M3" s="417"/>
      <c r="N3" s="427" t="s">
        <v>445</v>
      </c>
      <c r="O3" s="427"/>
      <c r="P3" s="430">
        <f ca="1">SUM(A14:A16)*5</f>
        <v>50</v>
      </c>
      <c r="Q3" s="430"/>
      <c r="R3" s="432">
        <f ca="1">INT(P3/2)</f>
        <v>25</v>
      </c>
      <c r="S3" s="449"/>
      <c r="U3" s="410">
        <f ca="1">SUM(A24:A26)*5</f>
        <v>55</v>
      </c>
      <c r="V3" s="411"/>
      <c r="AA3" s="452" t="str">
        <f ca="1">IF(D3&lt;=15,"穿衣服都有些吃力",IF(D3&lt;=40,"手无缚鸡之力",IF(D3&lt;=60,"有正常人的力量",IF(D3&lt;=80,"超乎常人的力度",IF(D3&lt;100,"可能是一拳超人")))))</f>
        <v>超乎常人的力度</v>
      </c>
      <c r="AB3" s="453"/>
      <c r="AC3" s="453"/>
      <c r="AD3" s="453"/>
      <c r="AE3" s="453"/>
      <c r="AF3" s="453"/>
      <c r="AG3" s="451" t="str">
        <f ca="1">IF(J3&lt;=20,"安了假腿",IF(J3&lt;=40,"很不灵活",IF(J3&lt;=60,"不上不下真尴尬",IF(J3&lt;=80,"是一位运动健将",IF(J3&lt;100,"跑得比香港记者还快")))))</f>
        <v>很不灵活</v>
      </c>
      <c r="AH3" s="451"/>
      <c r="AI3" s="451"/>
      <c r="AJ3" s="451"/>
      <c r="AK3" s="451"/>
      <c r="AL3" s="451"/>
      <c r="AM3" s="453" t="str">
        <f ca="1">IF(P3&lt;=20,"尔不过玩物",IF(P3&lt;=40,"痴愚盲目",IF(P3&lt;=60,"如常人一般会有一定自制力",IF(P3&lt;=80,"我心如铁，心坚石穿",IF(P3&lt;100,"泰山崩于面而色不变")))))</f>
        <v>如常人一般会有一定自制力</v>
      </c>
      <c r="AN3" s="453"/>
      <c r="AO3" s="453"/>
      <c r="AP3" s="453"/>
      <c r="AQ3" s="453"/>
      <c r="AR3" s="454"/>
    </row>
    <row r="4" spans="1:44" ht="18" thickBot="1" x14ac:dyDescent="0.3">
      <c r="A4" s="48">
        <f t="shared" ref="A4:A22" ca="1" si="0">RANDBETWEEN(1,6)</f>
        <v>5</v>
      </c>
      <c r="B4" s="426"/>
      <c r="C4" s="427"/>
      <c r="D4" s="430"/>
      <c r="E4" s="430"/>
      <c r="F4" s="450">
        <f ca="1">INT(D3/5)</f>
        <v>13</v>
      </c>
      <c r="G4" s="450"/>
      <c r="H4" s="433"/>
      <c r="I4" s="433"/>
      <c r="J4" s="435"/>
      <c r="K4" s="435"/>
      <c r="L4" s="417">
        <f ca="1">INT(J3/5)</f>
        <v>5</v>
      </c>
      <c r="M4" s="417"/>
      <c r="N4" s="427"/>
      <c r="O4" s="427"/>
      <c r="P4" s="430"/>
      <c r="Q4" s="430"/>
      <c r="R4" s="432">
        <f ca="1">INT(P3/5)</f>
        <v>10</v>
      </c>
      <c r="S4" s="449"/>
      <c r="U4" s="412"/>
      <c r="V4" s="413"/>
      <c r="AA4" s="452"/>
      <c r="AB4" s="453"/>
      <c r="AC4" s="453"/>
      <c r="AD4" s="453"/>
      <c r="AE4" s="453"/>
      <c r="AF4" s="453"/>
      <c r="AG4" s="451"/>
      <c r="AH4" s="451"/>
      <c r="AI4" s="451"/>
      <c r="AJ4" s="451"/>
      <c r="AK4" s="451"/>
      <c r="AL4" s="451"/>
      <c r="AM4" s="453"/>
      <c r="AN4" s="453"/>
      <c r="AO4" s="453"/>
      <c r="AP4" s="453"/>
      <c r="AQ4" s="453"/>
      <c r="AR4" s="454"/>
    </row>
    <row r="5" spans="1:44" ht="18" customHeight="1" thickBot="1" x14ac:dyDescent="0.3">
      <c r="A5" s="48">
        <f t="shared" ca="1" si="0"/>
        <v>5</v>
      </c>
      <c r="B5" s="445" t="s">
        <v>448</v>
      </c>
      <c r="C5" s="433"/>
      <c r="D5" s="435">
        <f ca="1">SUM(A5:A7)*5</f>
        <v>70</v>
      </c>
      <c r="E5" s="435"/>
      <c r="F5" s="417">
        <f t="shared" ref="F5" ca="1" si="1">INT(D5/2)</f>
        <v>35</v>
      </c>
      <c r="G5" s="417"/>
      <c r="H5" s="427" t="s">
        <v>548</v>
      </c>
      <c r="I5" s="427"/>
      <c r="J5" s="435">
        <f ca="1">SUM(A11:A13)*5</f>
        <v>70</v>
      </c>
      <c r="K5" s="435"/>
      <c r="L5" s="432">
        <f t="shared" ref="L5" ca="1" si="2">INT(J5/2)</f>
        <v>35</v>
      </c>
      <c r="M5" s="432"/>
      <c r="N5" s="433" t="s">
        <v>449</v>
      </c>
      <c r="O5" s="433"/>
      <c r="P5" s="435">
        <f ca="1">(SUM(A21:A22)+6)*5</f>
        <v>65</v>
      </c>
      <c r="Q5" s="435"/>
      <c r="R5" s="417">
        <f ca="1">INT(P5/2)</f>
        <v>32</v>
      </c>
      <c r="S5" s="443"/>
      <c r="AA5" s="455" t="str">
        <f ca="1">IF(D5&lt;=20,"常年患病在身",IF(D5&lt;=40,"体弱多病",IF(D5&lt;=60,"不会生什么大毛病",IF(D5&lt;=80,"健硕，浑身湿透也不会感冒",IF(D5&lt;100,"病痛是什么？能吃吗")))))</f>
        <v>健硕，浑身湿透也不会感冒</v>
      </c>
      <c r="AB5" s="451"/>
      <c r="AC5" s="451"/>
      <c r="AD5" s="451"/>
      <c r="AE5" s="451"/>
      <c r="AF5" s="451"/>
      <c r="AG5" s="453" t="str">
        <f ca="1">IF(J5&lt;=20,"用脸就能恐惧敌人。。或队友",IF(J5&lt;=40,"和大便比起来，还能看的过去",IF(J5&lt;=60,"人群之中谁也不会看你一眼之后就忘不掉你容颜",IF(J5&lt;=80,"五官端正，仪表堂堂",IF(J5&lt;100,"沉鱼落雁，闭月羞花")))))</f>
        <v>五官端正，仪表堂堂</v>
      </c>
      <c r="AH5" s="453"/>
      <c r="AI5" s="453"/>
      <c r="AJ5" s="453"/>
      <c r="AK5" s="453"/>
      <c r="AL5" s="453"/>
      <c r="AM5" s="451" t="str">
        <f ca="1">IF(P5&lt;=20,"目不识丁",IF(P5&lt;=40,"小学毕业",IF(P5&lt;=60,"高中毕业",IF(P5&lt;=80,"是重点大学的学生，或是普通大学的研究生",IF(P5&lt;100,"饱读诗书，满腹经纶")))))</f>
        <v>是重点大学的学生，或是普通大学的研究生</v>
      </c>
      <c r="AN5" s="451"/>
      <c r="AO5" s="451"/>
      <c r="AP5" s="451"/>
      <c r="AQ5" s="451"/>
      <c r="AR5" s="459"/>
    </row>
    <row r="6" spans="1:44" x14ac:dyDescent="0.25">
      <c r="A6" s="48">
        <f t="shared" ca="1" si="0"/>
        <v>6</v>
      </c>
      <c r="B6" s="445"/>
      <c r="C6" s="433"/>
      <c r="D6" s="435"/>
      <c r="E6" s="435"/>
      <c r="F6" s="444">
        <f t="shared" ref="F6" ca="1" si="3">INT(D5/5)</f>
        <v>14</v>
      </c>
      <c r="G6" s="444"/>
      <c r="H6" s="427"/>
      <c r="I6" s="427"/>
      <c r="J6" s="435"/>
      <c r="K6" s="435"/>
      <c r="L6" s="432">
        <f t="shared" ref="L6" ca="1" si="4">INT(J5/5)</f>
        <v>14</v>
      </c>
      <c r="M6" s="432"/>
      <c r="N6" s="433"/>
      <c r="O6" s="433"/>
      <c r="P6" s="435"/>
      <c r="Q6" s="435"/>
      <c r="R6" s="417">
        <f ca="1">INT(P5/5)</f>
        <v>13</v>
      </c>
      <c r="S6" s="443"/>
      <c r="U6" s="408" t="s">
        <v>920</v>
      </c>
      <c r="V6" s="409"/>
      <c r="AA6" s="455"/>
      <c r="AB6" s="451"/>
      <c r="AC6" s="451"/>
      <c r="AD6" s="451"/>
      <c r="AE6" s="451"/>
      <c r="AF6" s="451"/>
      <c r="AG6" s="453"/>
      <c r="AH6" s="453"/>
      <c r="AI6" s="453"/>
      <c r="AJ6" s="453"/>
      <c r="AK6" s="453"/>
      <c r="AL6" s="453"/>
      <c r="AM6" s="451"/>
      <c r="AN6" s="451"/>
      <c r="AO6" s="451"/>
      <c r="AP6" s="451"/>
      <c r="AQ6" s="451"/>
      <c r="AR6" s="459"/>
    </row>
    <row r="7" spans="1:44" ht="17.25" customHeight="1" x14ac:dyDescent="0.25">
      <c r="A7" s="48">
        <f t="shared" ca="1" si="0"/>
        <v>3</v>
      </c>
      <c r="B7" s="426" t="s">
        <v>450</v>
      </c>
      <c r="C7" s="427"/>
      <c r="D7" s="430">
        <f ca="1">(SUM(A17:A18)+6)*5</f>
        <v>65</v>
      </c>
      <c r="E7" s="430"/>
      <c r="F7" s="432">
        <f t="shared" ref="F7" ca="1" si="5">INT(D7/2)</f>
        <v>32</v>
      </c>
      <c r="G7" s="432"/>
      <c r="H7" s="433" t="s">
        <v>549</v>
      </c>
      <c r="I7" s="433"/>
      <c r="J7" s="435">
        <f ca="1">(SUM(A19:A20)+6)*5</f>
        <v>45</v>
      </c>
      <c r="K7" s="435"/>
      <c r="L7" s="417">
        <f t="shared" ref="L7" ca="1" si="6">INT(J7/2)</f>
        <v>22</v>
      </c>
      <c r="M7" s="417"/>
      <c r="N7" s="420" t="str">
        <f ca="1">"所有属性之和="&amp;SUM(D3:E8,J3:K8,P3:Q6)</f>
        <v>所有属性之和=455</v>
      </c>
      <c r="O7" s="421"/>
      <c r="P7" s="421"/>
      <c r="Q7" s="421"/>
      <c r="R7" s="421"/>
      <c r="S7" s="422"/>
      <c r="U7" s="410">
        <f ca="1">SUM(A27:A29)*5</f>
        <v>55</v>
      </c>
      <c r="V7" s="411"/>
      <c r="AA7" s="452" t="str">
        <f ca="1">IF(D7&lt;=20,"孩童，身短体瘦",IF(D7&lt;=40,"乙女身材",IF(D7&lt;=60,"普遍身高155-175",IF(D7&lt;=80,"不是高就是胖",IF(D7&lt;=100,"怕不是姚胖子")))))</f>
        <v>不是高就是胖</v>
      </c>
      <c r="AB7" s="453"/>
      <c r="AC7" s="453"/>
      <c r="AD7" s="453"/>
      <c r="AE7" s="453"/>
      <c r="AF7" s="453"/>
      <c r="AG7" s="451" t="str">
        <f ca="1">IF(J7&lt;=20,"脑子是个好东西，可惜。。。",IF(J7&lt;=40,"宛如智障",IF(J7&lt;=60,"有着普通人的灵光一现",IF(J7&lt;=80,"可以自主进行发明创造",IF(J7&lt;100,"天才级水准")))))</f>
        <v>有着普通人的灵光一现</v>
      </c>
      <c r="AH7" s="451"/>
      <c r="AI7" s="451"/>
      <c r="AJ7" s="451"/>
      <c r="AK7" s="451"/>
      <c r="AL7" s="451"/>
      <c r="AM7" s="460" t="str">
        <f ca="1">IF(U3&lt;=20,"克夫克妻",IF(U3&lt;=40,"霉运连连",IF(U3&lt;=60,"命格平庸",IF(U3&lt;=80,"在马路边捡到100块",IF(U3&lt;100,"会被彩票店拒之门外")))))</f>
        <v>命格平庸</v>
      </c>
      <c r="AN7" s="460"/>
      <c r="AO7" s="460"/>
      <c r="AP7" s="460"/>
      <c r="AQ7" s="460"/>
      <c r="AR7" s="461"/>
    </row>
    <row r="8" spans="1:44" ht="18" thickBot="1" x14ac:dyDescent="0.3">
      <c r="A8" s="48">
        <f t="shared" ca="1" si="0"/>
        <v>2</v>
      </c>
      <c r="B8" s="428"/>
      <c r="C8" s="429"/>
      <c r="D8" s="431"/>
      <c r="E8" s="431"/>
      <c r="F8" s="418">
        <f t="shared" ref="F8" ca="1" si="7">INT(D7/5)</f>
        <v>13</v>
      </c>
      <c r="G8" s="418"/>
      <c r="H8" s="434"/>
      <c r="I8" s="434"/>
      <c r="J8" s="436"/>
      <c r="K8" s="436"/>
      <c r="L8" s="419">
        <f t="shared" ref="L8" ca="1" si="8">INT(J7/5)</f>
        <v>9</v>
      </c>
      <c r="M8" s="419"/>
      <c r="N8" s="423"/>
      <c r="O8" s="424"/>
      <c r="P8" s="424"/>
      <c r="Q8" s="424"/>
      <c r="R8" s="424"/>
      <c r="S8" s="425"/>
      <c r="U8" s="412"/>
      <c r="V8" s="413"/>
      <c r="AA8" s="456"/>
      <c r="AB8" s="457"/>
      <c r="AC8" s="457"/>
      <c r="AD8" s="457"/>
      <c r="AE8" s="457"/>
      <c r="AF8" s="457"/>
      <c r="AG8" s="458"/>
      <c r="AH8" s="458"/>
      <c r="AI8" s="458"/>
      <c r="AJ8" s="458"/>
      <c r="AK8" s="458"/>
      <c r="AL8" s="458"/>
      <c r="AM8" s="462"/>
      <c r="AN8" s="462"/>
      <c r="AO8" s="462"/>
      <c r="AP8" s="462"/>
      <c r="AQ8" s="462"/>
      <c r="AR8" s="463"/>
    </row>
    <row r="9" spans="1:44" ht="18" thickBot="1" x14ac:dyDescent="0.3">
      <c r="A9" s="48">
        <f t="shared" ca="1" si="0"/>
        <v>2</v>
      </c>
    </row>
    <row r="10" spans="1:44" ht="18" thickBot="1" x14ac:dyDescent="0.3">
      <c r="A10" s="48">
        <f t="shared" ca="1" si="0"/>
        <v>1</v>
      </c>
      <c r="B10" s="414" t="s">
        <v>451</v>
      </c>
      <c r="C10" s="415"/>
      <c r="D10" s="415"/>
      <c r="E10" s="415"/>
      <c r="F10" s="415"/>
      <c r="G10" s="415"/>
      <c r="H10" s="415"/>
      <c r="I10" s="415"/>
      <c r="J10" s="415"/>
      <c r="K10" s="415"/>
      <c r="L10" s="415"/>
      <c r="M10" s="415"/>
      <c r="N10" s="415"/>
      <c r="O10" s="415"/>
      <c r="P10" s="415"/>
      <c r="Q10" s="415"/>
      <c r="R10" s="415"/>
      <c r="S10" s="415"/>
      <c r="T10" s="415"/>
      <c r="U10" s="415"/>
      <c r="V10" s="416"/>
    </row>
    <row r="11" spans="1:44" ht="18" thickBot="1" x14ac:dyDescent="0.3">
      <c r="A11" s="48">
        <f t="shared" ca="1" si="0"/>
        <v>5</v>
      </c>
    </row>
    <row r="12" spans="1:44" x14ac:dyDescent="0.25">
      <c r="A12" s="48">
        <f t="shared" ca="1" si="0"/>
        <v>6</v>
      </c>
      <c r="B12" s="438" t="s">
        <v>459</v>
      </c>
      <c r="C12" s="439"/>
      <c r="D12" s="439"/>
      <c r="E12" s="439"/>
      <c r="F12" s="439"/>
      <c r="G12" s="439"/>
      <c r="H12" s="439"/>
      <c r="I12" s="439"/>
      <c r="J12" s="439"/>
      <c r="K12" s="439"/>
      <c r="L12" s="439"/>
      <c r="M12" s="439"/>
      <c r="N12" s="439"/>
      <c r="O12" s="439"/>
      <c r="P12" s="439"/>
      <c r="Q12" s="439"/>
      <c r="R12" s="439"/>
      <c r="S12" s="439"/>
      <c r="T12" s="439"/>
      <c r="U12" s="439"/>
      <c r="V12" s="440"/>
    </row>
    <row r="13" spans="1:44" x14ac:dyDescent="0.25">
      <c r="A13" s="48">
        <f t="shared" ca="1" si="0"/>
        <v>3</v>
      </c>
      <c r="B13" s="437" t="s">
        <v>460</v>
      </c>
      <c r="C13" s="283"/>
      <c r="D13" s="283"/>
      <c r="E13" s="283" t="s">
        <v>454</v>
      </c>
      <c r="F13" s="283"/>
      <c r="G13" s="283"/>
      <c r="H13" s="283" t="s">
        <v>455</v>
      </c>
      <c r="I13" s="283"/>
      <c r="J13" s="283"/>
      <c r="K13" s="283" t="s">
        <v>461</v>
      </c>
      <c r="L13" s="283"/>
      <c r="M13" s="283"/>
      <c r="N13" s="283" t="s">
        <v>456</v>
      </c>
      <c r="O13" s="283"/>
      <c r="P13" s="283"/>
      <c r="Q13" s="283" t="s">
        <v>458</v>
      </c>
      <c r="R13" s="283"/>
      <c r="S13" s="283"/>
      <c r="T13" s="283" t="s">
        <v>457</v>
      </c>
      <c r="U13" s="283"/>
      <c r="V13" s="285"/>
    </row>
    <row r="14" spans="1:44" x14ac:dyDescent="0.25">
      <c r="A14" s="48">
        <f t="shared" ca="1" si="0"/>
        <v>6</v>
      </c>
      <c r="B14" s="404">
        <f ca="1">RANDBETWEEN(1,2)</f>
        <v>1</v>
      </c>
      <c r="C14" s="405"/>
      <c r="D14" s="405"/>
      <c r="E14" s="405">
        <f ca="1">RANDBETWEEN(1,4)</f>
        <v>4</v>
      </c>
      <c r="F14" s="405"/>
      <c r="G14" s="405"/>
      <c r="H14" s="405">
        <f ca="1">RANDBETWEEN(1,6)</f>
        <v>3</v>
      </c>
      <c r="I14" s="405"/>
      <c r="J14" s="405"/>
      <c r="K14" s="405">
        <f ca="1">RANDBETWEEN(1,8)</f>
        <v>2</v>
      </c>
      <c r="L14" s="405"/>
      <c r="M14" s="405"/>
      <c r="N14" s="405">
        <f ca="1">RANDBETWEEN(1,10)</f>
        <v>1</v>
      </c>
      <c r="O14" s="405"/>
      <c r="P14" s="405"/>
      <c r="Q14" s="405">
        <f ca="1">RANDBETWEEN(1,20)</f>
        <v>8</v>
      </c>
      <c r="R14" s="405"/>
      <c r="S14" s="405"/>
      <c r="T14" s="405">
        <f ca="1">RANDBETWEEN(0,99)</f>
        <v>23</v>
      </c>
      <c r="U14" s="405"/>
      <c r="V14" s="441"/>
    </row>
    <row r="15" spans="1:44" ht="18" thickBot="1" x14ac:dyDescent="0.3">
      <c r="A15" s="48">
        <f t="shared" ca="1" si="0"/>
        <v>1</v>
      </c>
      <c r="B15" s="406"/>
      <c r="C15" s="407"/>
      <c r="D15" s="407"/>
      <c r="E15" s="407"/>
      <c r="F15" s="407"/>
      <c r="G15" s="407"/>
      <c r="H15" s="407"/>
      <c r="I15" s="407"/>
      <c r="J15" s="407"/>
      <c r="K15" s="407"/>
      <c r="L15" s="407"/>
      <c r="M15" s="407"/>
      <c r="N15" s="407"/>
      <c r="O15" s="407"/>
      <c r="P15" s="407"/>
      <c r="Q15" s="407"/>
      <c r="R15" s="407"/>
      <c r="S15" s="407"/>
      <c r="T15" s="407"/>
      <c r="U15" s="407"/>
      <c r="V15" s="442"/>
    </row>
    <row r="16" spans="1:44" x14ac:dyDescent="0.25">
      <c r="A16" s="48">
        <f t="shared" ca="1" si="0"/>
        <v>3</v>
      </c>
    </row>
    <row r="17" spans="1:1" x14ac:dyDescent="0.25">
      <c r="A17" s="48">
        <f t="shared" ca="1" si="0"/>
        <v>6</v>
      </c>
    </row>
    <row r="18" spans="1:1" x14ac:dyDescent="0.25">
      <c r="A18" s="48">
        <f t="shared" ca="1" si="0"/>
        <v>1</v>
      </c>
    </row>
    <row r="19" spans="1:1" x14ac:dyDescent="0.25">
      <c r="A19" s="48">
        <f t="shared" ca="1" si="0"/>
        <v>1</v>
      </c>
    </row>
    <row r="20" spans="1:1" x14ac:dyDescent="0.25">
      <c r="A20" s="48">
        <f t="shared" ca="1" si="0"/>
        <v>2</v>
      </c>
    </row>
    <row r="21" spans="1:1" x14ac:dyDescent="0.25">
      <c r="A21" s="48">
        <f t="shared" ca="1" si="0"/>
        <v>4</v>
      </c>
    </row>
    <row r="22" spans="1:1" x14ac:dyDescent="0.25">
      <c r="A22" s="48">
        <f t="shared" ca="1" si="0"/>
        <v>3</v>
      </c>
    </row>
    <row r="24" spans="1:1" x14ac:dyDescent="0.25">
      <c r="A24" s="48">
        <f ca="1">RANDBETWEEN(1,6)</f>
        <v>4</v>
      </c>
    </row>
    <row r="25" spans="1:1" x14ac:dyDescent="0.25">
      <c r="A25" s="48">
        <f t="shared" ref="A25:A29" ca="1" si="9">RANDBETWEEN(1,6)</f>
        <v>4</v>
      </c>
    </row>
    <row r="26" spans="1:1" x14ac:dyDescent="0.25">
      <c r="A26" s="48">
        <f t="shared" ca="1" si="9"/>
        <v>3</v>
      </c>
    </row>
    <row r="27" spans="1:1" x14ac:dyDescent="0.25">
      <c r="A27" s="48">
        <f t="shared" ca="1" si="9"/>
        <v>3</v>
      </c>
    </row>
    <row r="28" spans="1:1" x14ac:dyDescent="0.25">
      <c r="A28" s="48">
        <f t="shared" ca="1" si="9"/>
        <v>5</v>
      </c>
    </row>
    <row r="29" spans="1:1" x14ac:dyDescent="0.25">
      <c r="A29" s="48">
        <f t="shared" ca="1" si="9"/>
        <v>3</v>
      </c>
    </row>
  </sheetData>
  <sheetProtection sheet="1" formatCells="0" formatColumns="0" formatRows="0" insertColumns="0" insertRows="0" insertHyperlinks="0" deleteColumns="0" deleteRows="0" sort="0" autoFilter="0" pivotTables="0"/>
  <mergeCells count="64">
    <mergeCell ref="AM3:AR4"/>
    <mergeCell ref="AA5:AF6"/>
    <mergeCell ref="AA7:AF8"/>
    <mergeCell ref="AG5:AL6"/>
    <mergeCell ref="AG7:AL8"/>
    <mergeCell ref="AM5:AR6"/>
    <mergeCell ref="AM7:AR8"/>
    <mergeCell ref="AA2:AR2"/>
    <mergeCell ref="B2:S2"/>
    <mergeCell ref="B3:C4"/>
    <mergeCell ref="D3:E4"/>
    <mergeCell ref="F3:G3"/>
    <mergeCell ref="H3:I4"/>
    <mergeCell ref="J3:K4"/>
    <mergeCell ref="L3:M3"/>
    <mergeCell ref="N3:O4"/>
    <mergeCell ref="P3:Q4"/>
    <mergeCell ref="R3:S3"/>
    <mergeCell ref="R4:S4"/>
    <mergeCell ref="F4:G4"/>
    <mergeCell ref="L4:M4"/>
    <mergeCell ref="AG3:AL4"/>
    <mergeCell ref="AA3:AF4"/>
    <mergeCell ref="B12:V12"/>
    <mergeCell ref="T13:V13"/>
    <mergeCell ref="T14:V15"/>
    <mergeCell ref="P5:Q6"/>
    <mergeCell ref="R5:S5"/>
    <mergeCell ref="F6:G6"/>
    <mergeCell ref="L6:M6"/>
    <mergeCell ref="R6:S6"/>
    <mergeCell ref="L5:M5"/>
    <mergeCell ref="N5:O6"/>
    <mergeCell ref="B5:C6"/>
    <mergeCell ref="D5:E6"/>
    <mergeCell ref="F5:G5"/>
    <mergeCell ref="H5:I6"/>
    <mergeCell ref="J5:K6"/>
    <mergeCell ref="Q13:S13"/>
    <mergeCell ref="Q14:S15"/>
    <mergeCell ref="U2:V2"/>
    <mergeCell ref="U3:V4"/>
    <mergeCell ref="U7:V8"/>
    <mergeCell ref="U6:V6"/>
    <mergeCell ref="B10:V10"/>
    <mergeCell ref="L7:M7"/>
    <mergeCell ref="F8:G8"/>
    <mergeCell ref="L8:M8"/>
    <mergeCell ref="N7:S8"/>
    <mergeCell ref="B7:C8"/>
    <mergeCell ref="D7:E8"/>
    <mergeCell ref="F7:G7"/>
    <mergeCell ref="H7:I8"/>
    <mergeCell ref="J7:K8"/>
    <mergeCell ref="B13:D13"/>
    <mergeCell ref="B14:D15"/>
    <mergeCell ref="E13:G13"/>
    <mergeCell ref="K14:M15"/>
    <mergeCell ref="N13:P13"/>
    <mergeCell ref="N14:P15"/>
    <mergeCell ref="K13:M13"/>
    <mergeCell ref="E14:G15"/>
    <mergeCell ref="H13:J13"/>
    <mergeCell ref="H14:J15"/>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P5:Q6 J3:K8" xr:uid="{00000000-0002-0000-0300-000001000000}">
      <formula1>99</formula1>
    </dataValidation>
  </dataValidation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5"/>
  <sheetViews>
    <sheetView showGridLines="0" workbookViewId="0">
      <selection activeCell="C34" sqref="C34"/>
    </sheetView>
  </sheetViews>
  <sheetFormatPr defaultColWidth="9" defaultRowHeight="17.399999999999999" x14ac:dyDescent="0.25"/>
  <cols>
    <col min="1" max="1" width="9" style="63"/>
    <col min="2" max="2" width="43.77734375" style="62" customWidth="1"/>
    <col min="3" max="16384" width="9" style="63"/>
  </cols>
  <sheetData>
    <row r="1" spans="2:4" x14ac:dyDescent="0.25">
      <c r="B1" s="64" t="s">
        <v>519</v>
      </c>
      <c r="C1" s="63" t="s">
        <v>521</v>
      </c>
    </row>
    <row r="2" spans="2:4" x14ac:dyDescent="0.25">
      <c r="B2" s="65" t="str">
        <f>人物卡!D3&amp;"，"&amp;人物卡!D5&amp;"，"&amp;人物卡!D6&amp;"岁"</f>
        <v>兰迪·克雷莫，雇佣兵，36岁</v>
      </c>
      <c r="D2" s="63" t="s">
        <v>522</v>
      </c>
    </row>
    <row r="3" spans="2:4" x14ac:dyDescent="0.25">
      <c r="B3" s="65" t="str">
        <f>人物卡!L6&amp;"，故乡"&amp;人物卡!D8&amp;"，现居"&amp;人物卡!D7</f>
        <v>，故乡昴星团（大雾），现居美国西海岸</v>
      </c>
    </row>
    <row r="4" spans="2:4" x14ac:dyDescent="0.25">
      <c r="B4" s="65" t="str">
        <f>"时代: "&amp;人物卡!L4&amp;"   玩家: "&amp;人物卡!D4</f>
        <v>时代:    玩家: 北航潜入</v>
      </c>
      <c r="D4" s="63" t="s">
        <v>523</v>
      </c>
    </row>
    <row r="5" spans="2:4" x14ac:dyDescent="0.25">
      <c r="B5" s="65" t="str">
        <f>"STR "&amp;STR&amp;"  CON "&amp;CON&amp;"  SIZ "&amp;SIZ&amp;"  DEX "&amp;DEX</f>
        <v>STR 80  CON 55  SIZ 90  DEX 90</v>
      </c>
    </row>
    <row r="6" spans="2:4" x14ac:dyDescent="0.25">
      <c r="B6" s="65" t="str">
        <f>"APP "&amp;APP&amp;"  INT "&amp;INT&amp;"  POW "&amp;POW&amp;"  EDU "&amp;EDU</f>
        <v>APP 80  INT 45  POW 60  EDU 72</v>
      </c>
    </row>
    <row r="7" spans="2:4" x14ac:dyDescent="0.25">
      <c r="B7" s="65" t="str">
        <f>"DB:"&amp;DB&amp;"  Build:"&amp;Build&amp;"  MOV:"&amp;MOV&amp;"  Luck:"&amp;Luck</f>
        <v>DB:+1D6  Build:2  MOV:7  Luck:65</v>
      </c>
    </row>
    <row r="8" spans="2:4" x14ac:dyDescent="0.25">
      <c r="B8" s="65" t="str">
        <f>"HP:"&amp;HP&amp;"/"&amp;HPMAX&amp;"   San:"&amp;SAN&amp;"/"&amp;SANMAX&amp;"   MP:"&amp;MP&amp;"/"&amp;MPMAX</f>
        <v>HP:14/14   San:60/99   MP:0/12</v>
      </c>
    </row>
    <row r="9" spans="2:4" x14ac:dyDescent="0.25">
      <c r="B9" s="65" t="s">
        <v>552</v>
      </c>
    </row>
    <row r="10" spans="2:4" x14ac:dyDescent="0.25">
      <c r="B10" s="65" t="e">
        <f>"斗殴 "&amp;人物卡!M50&amp;"%("&amp;人物卡!N50&amp;"/"&amp;人物卡!O50&amp;"), 伤害"&amp;人物卡!#REF!</f>
        <v>#REF!</v>
      </c>
    </row>
    <row r="11" spans="2:4" x14ac:dyDescent="0.25">
      <c r="B11" s="65" t="e">
        <f>IF(ISBLANK(人物卡!B51),"",人物卡!B51&amp;人物卡!M51&amp;"%("&amp;人物卡!#REF!&amp;"/"&amp;人物卡!X51&amp;"), 伤害"&amp;人物卡!#REF!)</f>
        <v>#REF!</v>
      </c>
    </row>
    <row r="12" spans="2:4" x14ac:dyDescent="0.25">
      <c r="B12" s="65" t="str">
        <f>IF(ISBLANK(人物卡!B52),"",人物卡!B52&amp;人物卡!J52&amp;"%("&amp;人物卡!L52&amp;"/"&amp;人物卡!N52&amp;"), 伤害"&amp;人物卡!R52)</f>
        <v>中型剑(佩剑等)%(0/), 伤害接触</v>
      </c>
    </row>
    <row r="13" spans="2:4" x14ac:dyDescent="0.25">
      <c r="B13" s="65" t="str">
        <f>IF(ISBLANK(人物卡!B53),"",人物卡!B53&amp;人物卡!J53&amp;"%("&amp;人物卡!L53&amp;"/"&amp;人物卡!N53&amp;"), 伤害"&amp;人物卡!R53)</f>
        <v/>
      </c>
    </row>
    <row r="14" spans="2:4" x14ac:dyDescent="0.25">
      <c r="B14" s="65" t="str">
        <f>IF(ISBLANK(人物卡!B54),"",人物卡!B54&amp;人物卡!J54&amp;"%("&amp;人物卡!L54&amp;"/"&amp;人物卡!N54&amp;"), 伤害"&amp;人物卡!R54)</f>
        <v/>
      </c>
    </row>
    <row r="15" spans="2:4" x14ac:dyDescent="0.25">
      <c r="B15" s="65" t="str">
        <f>IF(ISBLANK(人物卡!B55),"",人物卡!B55&amp;人物卡!J55&amp;"%("&amp;人物卡!L55&amp;"/"&amp;人物卡!N55&amp;"), 伤害"&amp;人物卡!R55)</f>
        <v/>
      </c>
    </row>
    <row r="16" spans="2:4" x14ac:dyDescent="0.25">
      <c r="B16" s="65" t="str">
        <f>"闪避 "&amp;人物卡!P28&amp;"%("&amp;人物卡!R28&amp;"/"&amp;人物卡!T28&amp;")"</f>
        <v>闪避 95%(47/19)</v>
      </c>
    </row>
    <row r="17" spans="2:2" x14ac:dyDescent="0.25">
      <c r="B17" s="65" t="s">
        <v>553</v>
      </c>
    </row>
    <row r="18" spans="2:2" x14ac:dyDescent="0.25">
      <c r="B18" s="65" t="str">
        <f>IF(人物卡!H15=人物卡!P15,"",人物卡!C15&amp;" "&amp;人物卡!P15&amp;"%("&amp;人物卡!R15&amp;"/"&amp;人物卡!T15&amp;")")</f>
        <v/>
      </c>
    </row>
    <row r="19" spans="2:2" x14ac:dyDescent="0.25">
      <c r="B19" s="65" t="str">
        <f>IF(人物卡!H16=人物卡!P16,"",人物卡!C16&amp;" "&amp;人物卡!P16&amp;"%("&amp;人物卡!R16&amp;"/"&amp;人物卡!T16&amp;")")</f>
        <v/>
      </c>
    </row>
    <row r="20" spans="2:2" x14ac:dyDescent="0.25">
      <c r="B20" s="65" t="str">
        <f>IF(人物卡!H17=人物卡!P17,"",人物卡!C17&amp;" "&amp;人物卡!P17&amp;"%("&amp;人物卡!R17&amp;"/"&amp;人物卡!T17&amp;")")</f>
        <v/>
      </c>
    </row>
    <row r="21" spans="2:2" x14ac:dyDescent="0.25">
      <c r="B21" s="65" t="str">
        <f>IF(人物卡!H18=人物卡!P18,"",人物卡!C18&amp;" "&amp;人物卡!P18&amp;"%("&amp;人物卡!R18&amp;"/"&amp;人物卡!T18&amp;")")</f>
        <v/>
      </c>
    </row>
    <row r="22" spans="2:2" x14ac:dyDescent="0.25">
      <c r="B22" s="65" t="str">
        <f>IF(人物卡!H19=人物卡!P19,"",人物卡!C19&amp;人物卡!E19&amp;" "&amp;人物卡!P19&amp;"%("&amp;人物卡!R19&amp;"/"&amp;人物卡!T19&amp;")")</f>
        <v/>
      </c>
    </row>
    <row r="23" spans="2:2" x14ac:dyDescent="0.25">
      <c r="B23" s="65" t="str">
        <f>IF(人物卡!H20=人物卡!P20,"",人物卡!C20&amp;人物卡!E20&amp;" "&amp;人物卡!P20&amp;"%("&amp;人物卡!R20&amp;"/"&amp;人物卡!T20&amp;")")</f>
        <v/>
      </c>
    </row>
    <row r="24" spans="2:2" x14ac:dyDescent="0.25">
      <c r="B24" s="65" t="str">
        <f>IF(人物卡!H21=人物卡!P21,"",人物卡!C21&amp;人物卡!E21&amp;" "&amp;人物卡!P21&amp;"%("&amp;人物卡!R21&amp;"/"&amp;人物卡!T21&amp;")")</f>
        <v/>
      </c>
    </row>
    <row r="25" spans="2:2" x14ac:dyDescent="0.25">
      <c r="B25" s="65" t="str">
        <f>IF(人物卡!H22=人物卡!P22,"",人物卡!C22&amp;" "&amp;人物卡!P22&amp;"%("&amp;人物卡!R22&amp;"/"&amp;人物卡!T22&amp;")")</f>
        <v/>
      </c>
    </row>
    <row r="26" spans="2:2" x14ac:dyDescent="0.25">
      <c r="B26" s="65" t="str">
        <f>IF(人物卡!H23=人物卡!P23,"",人物卡!C23&amp;" "&amp;人物卡!P23&amp;"%("&amp;人物卡!R23&amp;"/"&amp;人物卡!T23&amp;")")</f>
        <v>攀爬 70%(35/14)</v>
      </c>
    </row>
    <row r="27" spans="2:2" x14ac:dyDescent="0.25">
      <c r="B27" s="65" t="str">
        <f>IF(人物卡!H24=人物卡!P24,"",人物卡!C24&amp;" "&amp;人物卡!P24&amp;"%("&amp;人物卡!R24&amp;"/"&amp;人物卡!T24&amp;")")</f>
        <v/>
      </c>
    </row>
    <row r="28" spans="2:2" x14ac:dyDescent="0.25">
      <c r="B28" s="65" t="str">
        <f>IF(人物卡!H25=人物卡!P25,"",人物卡!C25&amp;" "&amp;人物卡!P25&amp;"%("&amp;人物卡!R25&amp;"/"&amp;人物卡!T25&amp;")")</f>
        <v>信用评级 10%(5/2)</v>
      </c>
    </row>
    <row r="29" spans="2:2" x14ac:dyDescent="0.25">
      <c r="B29" s="65" t="str">
        <f>IF(人物卡!H26=人物卡!P26,"",人物卡!C26&amp;" "&amp;人物卡!P26&amp;"%("&amp;人物卡!R26&amp;"/"&amp;人物卡!T26&amp;")")</f>
        <v/>
      </c>
    </row>
    <row r="30" spans="2:2" x14ac:dyDescent="0.25">
      <c r="B30" s="65" t="str">
        <f>IF(人物卡!H27=人物卡!P27,"",人物卡!C27&amp;" "&amp;人物卡!P27&amp;"%("&amp;人物卡!R27&amp;"/"&amp;人物卡!T27&amp;")")</f>
        <v/>
      </c>
    </row>
    <row r="31" spans="2:2" x14ac:dyDescent="0.25">
      <c r="B31" s="65" t="str">
        <f>IF(人物卡!H29=人物卡!P29,"",人物卡!C29&amp;" "&amp;人物卡!P29&amp;"%("&amp;人物卡!R29&amp;"/"&amp;人物卡!T29&amp;")")</f>
        <v/>
      </c>
    </row>
    <row r="32" spans="2:2" x14ac:dyDescent="0.25">
      <c r="B32" s="65" t="str">
        <f>IF(人物卡!H30=人物卡!P30,"",人物卡!C30&amp;" "&amp;人物卡!P30&amp;"%("&amp;人物卡!R30&amp;"/"&amp;人物卡!T30&amp;")")</f>
        <v/>
      </c>
    </row>
    <row r="33" spans="2:2" x14ac:dyDescent="0.25">
      <c r="B33" s="65" t="str">
        <f>IF(人物卡!H31=人物卡!P31,"",人物卡!C31&amp;" "&amp;人物卡!P31&amp;"%("&amp;人物卡!R31&amp;"/"&amp;人物卡!T31&amp;")")</f>
        <v/>
      </c>
    </row>
    <row r="34" spans="2:2" x14ac:dyDescent="0.25">
      <c r="B34" s="65" t="str">
        <f>IF(人物卡!H32=人物卡!P32,"",人物卡!C32&amp;" "&amp;人物卡!P32&amp;"%("&amp;人物卡!R32&amp;"/"&amp;人物卡!T32&amp;")")</f>
        <v/>
      </c>
    </row>
    <row r="35" spans="2:2" x14ac:dyDescent="0.25">
      <c r="B35" s="65" t="str">
        <f>IF(人物卡!H33=人物卡!P33,"",人物卡!C33&amp;人物卡!E33&amp;" "&amp;人物卡!P33&amp;"%("&amp;人物卡!R33&amp;"/"&amp;人物卡!T33&amp;")")</f>
        <v/>
      </c>
    </row>
    <row r="36" spans="2:2" x14ac:dyDescent="0.25">
      <c r="B36" s="65" t="str">
        <f>IF(人物卡!H34=人物卡!P34,"",人物卡!C34&amp;人物卡!E34&amp;" "&amp;人物卡!P34&amp;"%("&amp;人物卡!R34&amp;"/"&amp;人物卡!T34&amp;")")</f>
        <v>格斗:剑 95%(47/19)</v>
      </c>
    </row>
    <row r="37" spans="2:2" x14ac:dyDescent="0.25">
      <c r="B37" s="65" t="str">
        <f>IF(人物卡!H35=人物卡!P35,"",人物卡!C35&amp;人物卡!E35&amp;" "&amp;人物卡!P35&amp;"%("&amp;人物卡!R35&amp;"/"&amp;人物卡!T35&amp;")")</f>
        <v/>
      </c>
    </row>
    <row r="38" spans="2:2" x14ac:dyDescent="0.25">
      <c r="B38" s="65" t="str">
        <f>IF(人物卡!H36=人物卡!P36,"",人物卡!C36&amp;人物卡!E36&amp;" "&amp;人物卡!P36&amp;"%("&amp;人物卡!R36&amp;"/"&amp;人物卡!T36&amp;")")</f>
        <v/>
      </c>
    </row>
    <row r="39" spans="2:2" x14ac:dyDescent="0.25">
      <c r="B39" s="65" t="str">
        <f>IF(人物卡!H37=人物卡!P37,"",人物卡!C37&amp;人物卡!E37&amp;" "&amp;人物卡!P37&amp;"%("&amp;人物卡!R37&amp;"/"&amp;人物卡!T37&amp;")")</f>
        <v/>
      </c>
    </row>
    <row r="40" spans="2:2" x14ac:dyDescent="0.25">
      <c r="B40" s="65" t="str">
        <f>IF(人物卡!H38=人物卡!P38,"",人物卡!C38&amp;人物卡!E38&amp;" "&amp;人物卡!P38&amp;"%("&amp;人物卡!R38&amp;"/"&amp;人物卡!T38&amp;")")</f>
        <v/>
      </c>
    </row>
    <row r="41" spans="2:2" x14ac:dyDescent="0.25">
      <c r="B41" s="65" t="str">
        <f>IF(人物卡!H39=人物卡!P39,"",人物卡!C39&amp;" "&amp;人物卡!P39&amp;"%("&amp;人物卡!R39&amp;"/"&amp;人物卡!T39&amp;")")</f>
        <v>急救 68%(34/13)</v>
      </c>
    </row>
    <row r="42" spans="2:2" x14ac:dyDescent="0.25">
      <c r="B42" s="65" t="str">
        <f>IF(人物卡!H40=人物卡!P40,"",人物卡!C40&amp;" "&amp;人物卡!P40&amp;"%("&amp;人物卡!R40&amp;"/"&amp;人物卡!T40&amp;")")</f>
        <v/>
      </c>
    </row>
    <row r="43" spans="2:2" x14ac:dyDescent="0.25">
      <c r="B43" s="65" t="str">
        <f>IF(人物卡!H41=人物卡!P41,"",人物卡!C41&amp;" "&amp;人物卡!P41&amp;"%("&amp;人物卡!R41&amp;"/"&amp;人物卡!T41&amp;")")</f>
        <v/>
      </c>
    </row>
    <row r="44" spans="2:2" x14ac:dyDescent="0.25">
      <c r="B44" s="65" t="str">
        <f>IF(人物卡!H42=人物卡!P42,"",人物卡!C42&amp;" "&amp;人物卡!P42&amp;"%("&amp;人物卡!R42&amp;"/"&amp;人物卡!T42&amp;")")</f>
        <v>跳跃 70%(35/14)</v>
      </c>
    </row>
    <row r="45" spans="2:2" x14ac:dyDescent="0.25">
      <c r="B45" s="65" t="str">
        <f>IF(人物卡!H43=人物卡!P43,"",人物卡!C43&amp;人物卡!E43&amp;" "&amp;人物卡!P43&amp;"%("&amp;人物卡!R43&amp;"/"&amp;人物卡!T43&amp;")")</f>
        <v/>
      </c>
    </row>
    <row r="46" spans="2:2" x14ac:dyDescent="0.25">
      <c r="B46" s="65" t="str">
        <f>IF(人物卡!H44=人物卡!P44,"",人物卡!C44&amp;人物卡!E44&amp;" "&amp;人物卡!P44&amp;"%("&amp;人物卡!R44&amp;"/"&amp;人物卡!T44&amp;")")</f>
        <v/>
      </c>
    </row>
    <row r="47" spans="2:2" x14ac:dyDescent="0.25">
      <c r="B47" s="65" t="str">
        <f>IF(人物卡!H45=人物卡!P45,"",人物卡!C45&amp;人物卡!E45&amp;" "&amp;人物卡!P45&amp;"%("&amp;人物卡!R45&amp;"/"&amp;人物卡!T45&amp;")")</f>
        <v/>
      </c>
    </row>
    <row r="48" spans="2:2" x14ac:dyDescent="0.25">
      <c r="B48" s="65" t="str">
        <f>人物卡!C46&amp;人物卡!E46&amp;" "&amp;人物卡!P46&amp;"%("&amp;人物卡!R46&amp;"/"&amp;人物卡!T46&amp;")"</f>
        <v>母语: 72%(36/14)</v>
      </c>
    </row>
    <row r="49" spans="2:2" x14ac:dyDescent="0.25">
      <c r="B49" s="65" t="str">
        <f>IF(人物卡!AB15=人物卡!AJ15,"",人物卡!W15&amp;" "&amp;人物卡!AJ15&amp;"%("&amp;人物卡!AL15&amp;"/"&amp;人物卡!AN15&amp;")")</f>
        <v/>
      </c>
    </row>
    <row r="50" spans="2:2" x14ac:dyDescent="0.25">
      <c r="B50" s="65" t="str">
        <f>IF(人物卡!AB16=人物卡!AJ16,"",人物卡!W16&amp;" "&amp;人物卡!AJ16&amp;"%("&amp;人物卡!AL16&amp;"/"&amp;人物卡!AN16&amp;")")</f>
        <v/>
      </c>
    </row>
    <row r="51" spans="2:2" x14ac:dyDescent="0.25">
      <c r="B51" s="65" t="str">
        <f>IF(人物卡!AB17=人物卡!AJ17,"",人物卡!W17&amp;" "&amp;人物卡!AJ17&amp;"%("&amp;人物卡!AL17&amp;"/"&amp;人物卡!AN17&amp;")")</f>
        <v/>
      </c>
    </row>
    <row r="52" spans="2:2" x14ac:dyDescent="0.25">
      <c r="B52" s="65" t="str">
        <f>IF(人物卡!AB18=人物卡!AJ18,"",人物卡!W18&amp;" "&amp;人物卡!AJ18&amp;"%("&amp;人物卡!AL18&amp;"/"&amp;人物卡!AN18&amp;")")</f>
        <v/>
      </c>
    </row>
    <row r="53" spans="2:2" x14ac:dyDescent="0.25">
      <c r="B53" s="65" t="str">
        <f>IF(人物卡!AB19=人物卡!AJ19,"",人物卡!W19&amp;" "&amp;人物卡!AJ19&amp;"%("&amp;人物卡!AL19&amp;"/"&amp;人物卡!AN19&amp;")")</f>
        <v>机械维修 85%(42/17)</v>
      </c>
    </row>
    <row r="54" spans="2:2" x14ac:dyDescent="0.25">
      <c r="B54" s="65" t="str">
        <f>IF(人物卡!AB20=人物卡!AJ20,"",人物卡!W20&amp;" "&amp;人物卡!AJ20&amp;"%("&amp;人物卡!AL20&amp;"/"&amp;人物卡!AN20&amp;")")</f>
        <v/>
      </c>
    </row>
    <row r="55" spans="2:2" x14ac:dyDescent="0.25">
      <c r="B55" s="65" t="str">
        <f>IF(人物卡!AB21=人物卡!AJ21,"",人物卡!W21&amp;" "&amp;人物卡!AJ21&amp;"%("&amp;人物卡!AL21&amp;"/"&amp;人物卡!AN21&amp;")")</f>
        <v/>
      </c>
    </row>
    <row r="56" spans="2:2" x14ac:dyDescent="0.25">
      <c r="B56" s="65" t="str">
        <f>IF(人物卡!AB22=人物卡!AJ22,"",人物卡!W22&amp;" "&amp;人物卡!AJ22&amp;"%("&amp;人物卡!AL22&amp;"/"&amp;人物卡!AN22&amp;")")</f>
        <v/>
      </c>
    </row>
    <row r="57" spans="2:2" x14ac:dyDescent="0.25">
      <c r="B57" s="65" t="str">
        <f>IF(人物卡!AB23=人物卡!AJ23,"",人物卡!W23&amp;" "&amp;人物卡!AJ23&amp;"%("&amp;人物卡!AL23&amp;"/"&amp;人物卡!AN23&amp;")")</f>
        <v/>
      </c>
    </row>
    <row r="58" spans="2:2" x14ac:dyDescent="0.25">
      <c r="B58" s="65" t="str">
        <f>IF(人物卡!AB24=人物卡!AJ24,"",人物卡!W24&amp;" "&amp;人物卡!AJ24&amp;"%("&amp;人物卡!AL24&amp;"/"&amp;人物卡!AN24&amp;")")</f>
        <v/>
      </c>
    </row>
    <row r="59" spans="2:2" x14ac:dyDescent="0.25">
      <c r="B59" s="65" t="str">
        <f>IF(人物卡!AB25=人物卡!AJ25,"",人物卡!W25&amp;" "&amp;人物卡!AJ25&amp;"%("&amp;人物卡!AL25&amp;"/"&amp;人物卡!AN25&amp;")")</f>
        <v/>
      </c>
    </row>
    <row r="60" spans="2:2" x14ac:dyDescent="0.25">
      <c r="B60" s="65" t="str">
        <f>IF(人物卡!AB26=人物卡!AJ26,"",人物卡!W26&amp;人物卡!Y26&amp;" "&amp;人物卡!AJ26&amp;"%("&amp;人物卡!AL26&amp;"/"&amp;人物卡!AN26&amp;")")</f>
        <v/>
      </c>
    </row>
    <row r="61" spans="2:2" x14ac:dyDescent="0.25">
      <c r="B61" s="65" t="str">
        <f>IF(人物卡!AB27=人物卡!AJ27,"",人物卡!W27&amp;" "&amp;人物卡!AJ27&amp;"%("&amp;人物卡!AL27&amp;"/"&amp;人物卡!AN27&amp;")")</f>
        <v/>
      </c>
    </row>
    <row r="62" spans="2:2" x14ac:dyDescent="0.25">
      <c r="B62" s="65" t="str">
        <f>IF(人物卡!AB28=人物卡!AJ28,"",人物卡!W28&amp;" "&amp;人物卡!AJ28&amp;"%("&amp;人物卡!AL28&amp;"/"&amp;人物卡!AN28&amp;")")</f>
        <v/>
      </c>
    </row>
    <row r="63" spans="2:2" x14ac:dyDescent="0.25">
      <c r="B63" s="65" t="str">
        <f>IF(人物卡!AB29=人物卡!AJ29,"",人物卡!W29&amp;" "&amp;人物卡!AJ29&amp;"%("&amp;人物卡!AL29&amp;"/"&amp;人物卡!AN29&amp;")")</f>
        <v/>
      </c>
    </row>
    <row r="64" spans="2:2" x14ac:dyDescent="0.25">
      <c r="B64" s="65" t="str">
        <f>IF(人物卡!AB30=人物卡!AJ30,"",人物卡!W30&amp;人物卡!Y30&amp;" "&amp;人物卡!AJ30&amp;"%("&amp;人物卡!AL30&amp;"/"&amp;人物卡!AN30&amp;")")</f>
        <v/>
      </c>
    </row>
    <row r="65" spans="2:2" x14ac:dyDescent="0.25">
      <c r="B65" s="65" t="str">
        <f>IF(人物卡!AB31=人物卡!AJ31,"",人物卡!W31&amp;人物卡!Y31&amp;" "&amp;人物卡!AJ31&amp;"%("&amp;人物卡!AL31&amp;"/"&amp;人物卡!AN31&amp;")")</f>
        <v/>
      </c>
    </row>
    <row r="66" spans="2:2" x14ac:dyDescent="0.25">
      <c r="B66" s="65" t="str">
        <f>IF(人物卡!AB32=人物卡!AJ32,"",人物卡!W32&amp;人物卡!Y32&amp;" "&amp;人物卡!AJ32&amp;"%("&amp;人物卡!AL32&amp;"/"&amp;人物卡!AN32&amp;")")</f>
        <v/>
      </c>
    </row>
    <row r="67" spans="2:2" x14ac:dyDescent="0.25">
      <c r="B67" s="65" t="str">
        <f>IF(人物卡!AB33=人物卡!AJ33,"",人物卡!W33&amp;" "&amp;人物卡!AJ33&amp;"%("&amp;人物卡!AL33&amp;"/"&amp;人物卡!AN33&amp;")")</f>
        <v/>
      </c>
    </row>
    <row r="68" spans="2:2" x14ac:dyDescent="0.25">
      <c r="B68" s="65" t="str">
        <f>IF(人物卡!AB34=人物卡!AJ34,"",人物卡!W34&amp;" "&amp;人物卡!AJ34&amp;"%("&amp;人物卡!AL34&amp;"/"&amp;人物卡!AN34&amp;")")</f>
        <v/>
      </c>
    </row>
    <row r="69" spans="2:2" x14ac:dyDescent="0.25">
      <c r="B69" s="65" t="str">
        <f>IF(人物卡!AB35=人物卡!AJ35,"",人物卡!W35&amp;" "&amp;人物卡!AJ35&amp;"%("&amp;人物卡!AL35&amp;"/"&amp;人物卡!AN35&amp;")")</f>
        <v>潜行 95%(47/19)</v>
      </c>
    </row>
    <row r="70" spans="2:2" x14ac:dyDescent="0.25">
      <c r="B70" s="65" t="str">
        <f>IF(人物卡!AB36=人物卡!AJ36,"",人物卡!W36&amp;人物卡!Y36&amp;" "&amp;人物卡!AJ36&amp;"%("&amp;人物卡!AL36&amp;"/"&amp;人物卡!AN36&amp;")")</f>
        <v/>
      </c>
    </row>
    <row r="71" spans="2:2" x14ac:dyDescent="0.25">
      <c r="B71" s="65" t="str">
        <f>IF(人物卡!AB37=人物卡!AJ37,"",人物卡!W37&amp;" "&amp;人物卡!AJ37&amp;"%("&amp;人物卡!AL37&amp;"/"&amp;人物卡!AN37&amp;")")</f>
        <v/>
      </c>
    </row>
    <row r="72" spans="2:2" x14ac:dyDescent="0.25">
      <c r="B72" s="65" t="str">
        <f>IF(人物卡!AB38=人物卡!AJ38,"",人物卡!W38&amp;" "&amp;人物卡!AJ38&amp;"%("&amp;人物卡!AL38&amp;"/"&amp;人物卡!AN38&amp;")")</f>
        <v/>
      </c>
    </row>
    <row r="73" spans="2:2" x14ac:dyDescent="0.25">
      <c r="B73" s="65" t="str">
        <f>IF(人物卡!AB39=人物卡!AJ39,"",人物卡!W39&amp;" "&amp;人物卡!AJ39&amp;"%("&amp;人物卡!AL39&amp;"/"&amp;人物卡!AN39&amp;")")</f>
        <v/>
      </c>
    </row>
    <row r="74" spans="2:2" x14ac:dyDescent="0.25">
      <c r="B74" s="65" t="str">
        <f>IF(人物卡!AB40=人物卡!AJ40,"",人物卡!W40&amp;人物卡!Y40&amp;" "&amp;人物卡!AJ40&amp;"%("&amp;人物卡!AL40&amp;"/"&amp;人物卡!AN40&amp;")")</f>
        <v/>
      </c>
    </row>
    <row r="75" spans="2:2" x14ac:dyDescent="0.25">
      <c r="B75" s="65" t="str">
        <f>IF(人物卡!AB41=人物卡!AJ41,"",人物卡!W41&amp;" "&amp;人物卡!AJ41&amp;"%("&amp;人物卡!AL41&amp;"/"&amp;人物卡!AN41&amp;")")</f>
        <v/>
      </c>
    </row>
    <row r="76" spans="2:2" x14ac:dyDescent="0.25">
      <c r="B76" s="65" t="str">
        <f>IF(人物卡!AB42=人物卡!AJ42,"",人物卡!W42&amp;" "&amp;人物卡!AJ42&amp;"%("&amp;人物卡!AL42&amp;"/"&amp;人物卡!AN42&amp;")")</f>
        <v/>
      </c>
    </row>
    <row r="77" spans="2:2" x14ac:dyDescent="0.25">
      <c r="B77" s="65" t="str">
        <f>IF(人物卡!AB43=人物卡!AJ43,"",人物卡!W43&amp;" "&amp;人物卡!AJ43&amp;"%("&amp;人物卡!AL43&amp;"/"&amp;人物卡!AN43&amp;")")</f>
        <v/>
      </c>
    </row>
    <row r="78" spans="2:2" x14ac:dyDescent="0.25">
      <c r="B78" s="65" t="str">
        <f>IF(人物卡!AB44=人物卡!AJ44,"",人物卡!W44&amp;" "&amp;人物卡!AJ44&amp;"%("&amp;人物卡!AL44&amp;"/"&amp;人物卡!AN44&amp;")")</f>
        <v/>
      </c>
    </row>
    <row r="79" spans="2:2" x14ac:dyDescent="0.25">
      <c r="B79" s="65" t="str">
        <f>IF(人物卡!AB45=人物卡!AJ45,"",人物卡!W45&amp;" "&amp;人物卡!AJ45&amp;"%("&amp;人物卡!AL45&amp;"/"&amp;人物卡!AN45&amp;")")</f>
        <v/>
      </c>
    </row>
    <row r="80" spans="2:2" x14ac:dyDescent="0.25">
      <c r="B80" s="65" t="str">
        <f>IF(人物卡!AB46=人物卡!AJ46,"",人物卡!W46&amp;" "&amp;人物卡!AJ46&amp;"%("&amp;人物卡!AL46&amp;"/"&amp;人物卡!AN46&amp;")")</f>
        <v/>
      </c>
    </row>
    <row r="81" spans="2:2" x14ac:dyDescent="0.25">
      <c r="B81" s="65" t="s">
        <v>554</v>
      </c>
    </row>
    <row r="82" spans="2:2" x14ac:dyDescent="0.25">
      <c r="B82" s="65" t="str">
        <f>人物卡!S59&amp;"："&amp;IF(ISBLANK(人物卡!W59),"（空）",人物卡!W59)</f>
        <v>个人描述：从属性上看就知道，这可能是一个化为人形的拜亚基。</v>
      </c>
    </row>
    <row r="83" spans="2:2" x14ac:dyDescent="0.25">
      <c r="B83" s="65" t="str">
        <f>人物卡!S61&amp;"："&amp;IF(ISBLANK(人物卡!W61),"（空）",人物卡!W61)</f>
        <v>思想与信念：（空）</v>
      </c>
    </row>
    <row r="84" spans="2:2" x14ac:dyDescent="0.25">
      <c r="B84" s="65" t="str">
        <f>人物卡!S63&amp;"："&amp;IF(ISBLANK(人物卡!W63),"（空）",人物卡!W63)</f>
        <v>重要之人：（空）</v>
      </c>
    </row>
    <row r="85" spans="2:2" x14ac:dyDescent="0.25">
      <c r="B85" s="65" t="str">
        <f>人物卡!S65&amp;"："&amp;IF(ISBLANK(人物卡!W65),"（空）",人物卡!W65)</f>
        <v>意义非凡之地：天堂岛</v>
      </c>
    </row>
    <row r="86" spans="2:2" x14ac:dyDescent="0.25">
      <c r="B86" s="65" t="str">
        <f>人物卡!S67&amp;"："&amp;IF(ISBLANK(人物卡!W67),"（空）",人物卡!W67)</f>
        <v>宝贵之物：（空）</v>
      </c>
    </row>
    <row r="87" spans="2:2" x14ac:dyDescent="0.25">
      <c r="B87" s="65" t="str">
        <f>人物卡!S69&amp;"："&amp;IF(ISBLANK(人物卡!W69),"（空）",人物卡!W69)</f>
        <v>特质：（空）</v>
      </c>
    </row>
    <row r="88" spans="2:2" x14ac:dyDescent="0.25">
      <c r="B88" s="65" t="str">
        <f>人物卡!S71&amp;"："&amp;IF(ISBLANK(人物卡!W71),"（空）",人物卡!W71)</f>
        <v>伤口和疤痕：虽然脸上看不出来，克雷莫的身上还是有几道触目惊心的伤口的</v>
      </c>
    </row>
    <row r="89" spans="2:2" x14ac:dyDescent="0.25">
      <c r="B89" s="65" t="str">
        <f>人物卡!S73&amp;"："&amp;IF(ISBLANK(人物卡!W73),"（空）",人物卡!W73)</f>
        <v>恐惧症和狂躁症：（空）</v>
      </c>
    </row>
    <row r="90" spans="2:2" x14ac:dyDescent="0.25">
      <c r="B90" s="65" t="str">
        <f>IF(ISBLANK(人物卡!S75),"（没有填写更多背景）",人物卡!S75)</f>
        <v>克雷莫曾是一个在地下小有名气的雇佣兵（刺客），出名的原因则是在现代他仍然使用着一把结实的双手大剑，并且在多次执行危险的战斗之后无伤而返。不过最近的这一次他有些倒霉，他接下了一份与黑面具为敌的合同，并且这是个陷阱。所以现在他需要花五百万来买下自己的命。</v>
      </c>
    </row>
    <row r="91" spans="2:2" x14ac:dyDescent="0.25">
      <c r="B91" s="65" t="s">
        <v>555</v>
      </c>
    </row>
    <row r="92" spans="2:2" x14ac:dyDescent="0.25">
      <c r="B92" s="65" t="str">
        <f>IF(ISBLANK(人物卡!B67),"（没有携带任何物品）",人物卡!B67)</f>
        <v>结实的焰形大剑，罗马短剑</v>
      </c>
    </row>
    <row r="93" spans="2:2" x14ac:dyDescent="0.25">
      <c r="B93" s="65" t="str">
        <f>IF(ISBLANK(人物卡!B68),"",人物卡!B68)</f>
        <v>锁子甲</v>
      </c>
    </row>
    <row r="94" spans="2:2" x14ac:dyDescent="0.25">
      <c r="B94" s="65" t="str">
        <f>IF(ISBLANK(人物卡!B69),"",人物卡!B69)</f>
        <v>手电筒</v>
      </c>
    </row>
    <row r="95" spans="2:2" x14ac:dyDescent="0.25">
      <c r="B95" s="65" t="str">
        <f>IF(ISBLANK(人物卡!B70),"",人物卡!B70)</f>
        <v>卫星电话</v>
      </c>
    </row>
    <row r="96" spans="2:2" x14ac:dyDescent="0.25">
      <c r="B96" s="65" t="str">
        <f>IF(ISBLANK(人物卡!B71),"",人物卡!B71)</f>
        <v>古典的机械手表</v>
      </c>
    </row>
    <row r="97" spans="2:2" x14ac:dyDescent="0.25">
      <c r="B97" s="65" t="str">
        <f>IF(ISBLANK(人物卡!B72),"",人物卡!B72)</f>
        <v>剑油，剑带等保养工具</v>
      </c>
    </row>
    <row r="98" spans="2:2" x14ac:dyDescent="0.25">
      <c r="B98" s="65" t="str">
        <f>IF(ISBLANK(人物卡!B73),"",人物卡!B73)</f>
        <v>医疗包</v>
      </c>
    </row>
    <row r="99" spans="2:2" x14ac:dyDescent="0.25">
      <c r="B99" s="65" t="str">
        <f>IF(ISBLANK(人物卡!B74),"",人物卡!B74)</f>
        <v>头戴式摄像机，毕竟经常有雇主要他拍下目标死亡的画面</v>
      </c>
    </row>
    <row r="100" spans="2:2" x14ac:dyDescent="0.25">
      <c r="B100" s="65" t="str">
        <f>IF(ISBLANK(人物卡!B75),"",人物卡!B75)</f>
        <v/>
      </c>
    </row>
    <row r="101" spans="2:2" x14ac:dyDescent="0.25">
      <c r="B101" s="65" t="s">
        <v>551</v>
      </c>
    </row>
    <row r="102" spans="2:2" x14ac:dyDescent="0.25">
      <c r="B102" s="65" t="str">
        <f>人物卡!J59&amp;"      消费水平："&amp;IF(ISBLANK(人物卡!N60),"(未填写)",人物卡!N60)</f>
        <v>生活水平：标准      消费水平：(未填写)</v>
      </c>
    </row>
    <row r="103" spans="2:2" x14ac:dyDescent="0.25">
      <c r="B103" s="65" t="str">
        <f>"现金："&amp;IF(ISBLANK(人物卡!D60),"(未填写)",人物卡!D60)</f>
        <v>现金：(未填写)</v>
      </c>
    </row>
    <row r="104" spans="2:2" x14ac:dyDescent="0.25">
      <c r="B104" s="65" t="str">
        <f>IF(ISBLANK(人物卡!B61),"（未设定更多资产）",人物卡!B61)</f>
        <v>（未设定更多资产）</v>
      </c>
    </row>
    <row r="105" spans="2:2" ht="18" thickBot="1" x14ac:dyDescent="0.3">
      <c r="B105" s="66" t="s">
        <v>556</v>
      </c>
    </row>
  </sheetData>
  <autoFilter ref="B1:B105" xr:uid="{00000000-0009-0000-0000-000004000000}"/>
  <phoneticPr fontId="2"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1"/>
  <sheetViews>
    <sheetView showGridLines="0" showRowColHeaders="0" topLeftCell="A7" workbookViewId="0">
      <selection activeCell="C39" sqref="C39"/>
    </sheetView>
  </sheetViews>
  <sheetFormatPr defaultColWidth="8.88671875" defaultRowHeight="13.8" x14ac:dyDescent="0.25"/>
  <cols>
    <col min="1" max="1" width="19.44140625" style="75" customWidth="1"/>
    <col min="2" max="2" width="10.33203125" style="75" customWidth="1"/>
    <col min="3" max="3" width="14.88671875" style="75" customWidth="1"/>
    <col min="4" max="16384" width="8.88671875" style="75"/>
  </cols>
  <sheetData>
    <row r="1" spans="1:10" ht="16.95" customHeight="1" thickBot="1" x14ac:dyDescent="0.3">
      <c r="A1" s="81" t="s">
        <v>917</v>
      </c>
      <c r="B1" s="79" t="s">
        <v>916</v>
      </c>
      <c r="C1" s="79" t="s">
        <v>915</v>
      </c>
      <c r="D1" s="79" t="s">
        <v>914</v>
      </c>
      <c r="E1" s="79" t="s">
        <v>913</v>
      </c>
      <c r="F1" s="79" t="s">
        <v>912</v>
      </c>
      <c r="G1" s="79" t="s">
        <v>911</v>
      </c>
      <c r="H1" s="79" t="s">
        <v>910</v>
      </c>
      <c r="I1" s="80" t="s">
        <v>909</v>
      </c>
      <c r="J1" s="80" t="s">
        <v>908</v>
      </c>
    </row>
    <row r="2" spans="1:10" ht="14.4" thickBot="1" x14ac:dyDescent="0.3">
      <c r="A2" s="78" t="s">
        <v>907</v>
      </c>
      <c r="B2" s="79" t="s">
        <v>886</v>
      </c>
      <c r="C2" s="79" t="s">
        <v>906</v>
      </c>
      <c r="D2" s="79" t="s">
        <v>905</v>
      </c>
      <c r="E2" s="79" t="s">
        <v>725</v>
      </c>
      <c r="F2" s="79" t="s">
        <v>585</v>
      </c>
      <c r="G2" s="79" t="s">
        <v>585</v>
      </c>
      <c r="H2" s="79" t="s">
        <v>696</v>
      </c>
      <c r="I2" s="79" t="s">
        <v>591</v>
      </c>
      <c r="J2" s="79" t="s">
        <v>904</v>
      </c>
    </row>
    <row r="3" spans="1:10" ht="14.4" thickBot="1" x14ac:dyDescent="0.3">
      <c r="A3" s="78" t="s">
        <v>903</v>
      </c>
      <c r="B3" s="77" t="s">
        <v>77</v>
      </c>
      <c r="C3" s="77" t="s">
        <v>902</v>
      </c>
      <c r="D3" s="77" t="s">
        <v>826</v>
      </c>
      <c r="E3" s="77" t="s">
        <v>725</v>
      </c>
      <c r="F3" s="77" t="s">
        <v>585</v>
      </c>
      <c r="G3" s="77" t="s">
        <v>825</v>
      </c>
      <c r="H3" s="77" t="s">
        <v>825</v>
      </c>
      <c r="I3" s="77" t="s">
        <v>591</v>
      </c>
      <c r="J3" s="77" t="s">
        <v>861</v>
      </c>
    </row>
    <row r="4" spans="1:10" ht="14.4" thickBot="1" x14ac:dyDescent="0.3">
      <c r="A4" s="78" t="s">
        <v>901</v>
      </c>
      <c r="B4" s="77" t="s">
        <v>900</v>
      </c>
      <c r="C4" s="77" t="s">
        <v>857</v>
      </c>
      <c r="D4" s="77" t="s">
        <v>899</v>
      </c>
      <c r="E4" s="77" t="s">
        <v>725</v>
      </c>
      <c r="F4" s="77" t="s">
        <v>585</v>
      </c>
      <c r="G4" s="77" t="s">
        <v>825</v>
      </c>
      <c r="H4" s="77" t="s">
        <v>825</v>
      </c>
      <c r="I4" s="77" t="s">
        <v>650</v>
      </c>
      <c r="J4" s="77" t="s">
        <v>898</v>
      </c>
    </row>
    <row r="5" spans="1:10" ht="14.4" thickBot="1" x14ac:dyDescent="0.3">
      <c r="A5" s="78" t="s">
        <v>897</v>
      </c>
      <c r="B5" s="77" t="s">
        <v>77</v>
      </c>
      <c r="C5" s="77" t="s">
        <v>896</v>
      </c>
      <c r="D5" s="77" t="s">
        <v>826</v>
      </c>
      <c r="E5" s="77" t="s">
        <v>725</v>
      </c>
      <c r="F5" s="77" t="s">
        <v>585</v>
      </c>
      <c r="G5" s="77" t="s">
        <v>825</v>
      </c>
      <c r="H5" s="77" t="s">
        <v>825</v>
      </c>
      <c r="I5" s="77" t="s">
        <v>591</v>
      </c>
      <c r="J5" s="77" t="s">
        <v>895</v>
      </c>
    </row>
    <row r="6" spans="1:10" ht="14.4" thickBot="1" x14ac:dyDescent="0.3">
      <c r="A6" s="78" t="s">
        <v>894</v>
      </c>
      <c r="B6" s="77" t="s">
        <v>894</v>
      </c>
      <c r="C6" s="77" t="s">
        <v>893</v>
      </c>
      <c r="D6" s="77" t="s">
        <v>826</v>
      </c>
      <c r="E6" s="77" t="s">
        <v>586</v>
      </c>
      <c r="F6" s="77" t="s">
        <v>585</v>
      </c>
      <c r="G6" s="77" t="s">
        <v>825</v>
      </c>
      <c r="H6" s="77" t="s">
        <v>631</v>
      </c>
      <c r="I6" s="77" t="s">
        <v>583</v>
      </c>
      <c r="J6" s="77" t="s">
        <v>892</v>
      </c>
    </row>
    <row r="7" spans="1:10" ht="14.4" thickBot="1" x14ac:dyDescent="0.3">
      <c r="A7" s="78" t="s">
        <v>891</v>
      </c>
      <c r="B7" s="77" t="s">
        <v>77</v>
      </c>
      <c r="C7" s="77" t="s">
        <v>862</v>
      </c>
      <c r="D7" s="77" t="s">
        <v>826</v>
      </c>
      <c r="E7" s="77" t="s">
        <v>725</v>
      </c>
      <c r="F7" s="77" t="s">
        <v>585</v>
      </c>
      <c r="G7" s="77" t="s">
        <v>825</v>
      </c>
      <c r="H7" s="77" t="s">
        <v>825</v>
      </c>
      <c r="I7" s="77" t="s">
        <v>591</v>
      </c>
      <c r="J7" s="77" t="s">
        <v>875</v>
      </c>
    </row>
    <row r="8" spans="1:10" ht="27" thickBot="1" x14ac:dyDescent="0.3">
      <c r="A8" s="78" t="s">
        <v>890</v>
      </c>
      <c r="B8" s="77" t="s">
        <v>77</v>
      </c>
      <c r="C8" s="77" t="s">
        <v>862</v>
      </c>
      <c r="D8" s="77" t="s">
        <v>826</v>
      </c>
      <c r="E8" s="77" t="s">
        <v>725</v>
      </c>
      <c r="F8" s="77" t="s">
        <v>585</v>
      </c>
      <c r="G8" s="77" t="s">
        <v>825</v>
      </c>
      <c r="H8" s="77" t="s">
        <v>825</v>
      </c>
      <c r="I8" s="77" t="s">
        <v>591</v>
      </c>
      <c r="J8" s="77" t="s">
        <v>888</v>
      </c>
    </row>
    <row r="9" spans="1:10" ht="14.4" thickBot="1" x14ac:dyDescent="0.3">
      <c r="A9" s="78" t="s">
        <v>889</v>
      </c>
      <c r="B9" s="77" t="s">
        <v>77</v>
      </c>
      <c r="C9" s="77" t="s">
        <v>840</v>
      </c>
      <c r="D9" s="77" t="s">
        <v>826</v>
      </c>
      <c r="E9" s="77" t="s">
        <v>725</v>
      </c>
      <c r="F9" s="77" t="s">
        <v>585</v>
      </c>
      <c r="G9" s="77" t="s">
        <v>825</v>
      </c>
      <c r="H9" s="77" t="s">
        <v>825</v>
      </c>
      <c r="I9" s="77" t="s">
        <v>591</v>
      </c>
      <c r="J9" s="77" t="s">
        <v>888</v>
      </c>
    </row>
    <row r="10" spans="1:10" ht="14.4" thickBot="1" x14ac:dyDescent="0.3">
      <c r="A10" s="78" t="s">
        <v>887</v>
      </c>
      <c r="B10" s="77" t="s">
        <v>886</v>
      </c>
      <c r="C10" s="77" t="s">
        <v>885</v>
      </c>
      <c r="D10" s="77" t="s">
        <v>884</v>
      </c>
      <c r="E10" s="77" t="s">
        <v>586</v>
      </c>
      <c r="F10" s="77" t="s">
        <v>623</v>
      </c>
      <c r="G10" s="77" t="s">
        <v>585</v>
      </c>
      <c r="H10" s="77" t="s">
        <v>664</v>
      </c>
      <c r="I10" s="77" t="s">
        <v>591</v>
      </c>
      <c r="J10" s="77" t="s">
        <v>883</v>
      </c>
    </row>
    <row r="11" spans="1:10" ht="14.4" thickBot="1" x14ac:dyDescent="0.3">
      <c r="A11" s="78" t="s">
        <v>940</v>
      </c>
      <c r="B11" s="77" t="s">
        <v>882</v>
      </c>
      <c r="C11" s="77" t="s">
        <v>840</v>
      </c>
      <c r="D11" s="77" t="s">
        <v>826</v>
      </c>
      <c r="E11" s="77" t="s">
        <v>586</v>
      </c>
      <c r="F11" s="77" t="s">
        <v>585</v>
      </c>
      <c r="G11" s="77" t="s">
        <v>825</v>
      </c>
      <c r="H11" s="77" t="s">
        <v>825</v>
      </c>
      <c r="I11" s="77" t="s">
        <v>591</v>
      </c>
      <c r="J11" s="77" t="s">
        <v>855</v>
      </c>
    </row>
    <row r="12" spans="1:10" ht="14.4" thickBot="1" x14ac:dyDescent="0.3">
      <c r="A12" s="78" t="s">
        <v>881</v>
      </c>
      <c r="B12" s="77" t="s">
        <v>828</v>
      </c>
      <c r="C12" s="77" t="s">
        <v>843</v>
      </c>
      <c r="D12" s="77" t="s">
        <v>826</v>
      </c>
      <c r="E12" s="77" t="s">
        <v>586</v>
      </c>
      <c r="F12" s="77" t="s">
        <v>585</v>
      </c>
      <c r="G12" s="77" t="s">
        <v>825</v>
      </c>
      <c r="H12" s="77" t="s">
        <v>825</v>
      </c>
      <c r="I12" s="77" t="s">
        <v>591</v>
      </c>
      <c r="J12" s="77" t="s">
        <v>880</v>
      </c>
    </row>
    <row r="13" spans="1:10" ht="14.4" thickBot="1" x14ac:dyDescent="0.3">
      <c r="A13" s="78" t="s">
        <v>879</v>
      </c>
      <c r="B13" s="77" t="s">
        <v>77</v>
      </c>
      <c r="C13" s="77" t="s">
        <v>862</v>
      </c>
      <c r="D13" s="77" t="s">
        <v>826</v>
      </c>
      <c r="E13" s="77" t="s">
        <v>586</v>
      </c>
      <c r="F13" s="77" t="s">
        <v>585</v>
      </c>
      <c r="G13" s="77" t="s">
        <v>825</v>
      </c>
      <c r="H13" s="77" t="s">
        <v>825</v>
      </c>
      <c r="I13" s="77" t="s">
        <v>591</v>
      </c>
      <c r="J13" s="77" t="s">
        <v>878</v>
      </c>
    </row>
    <row r="14" spans="1:10" ht="14.4" thickBot="1" x14ac:dyDescent="0.3">
      <c r="A14" s="78" t="s">
        <v>877</v>
      </c>
      <c r="B14" s="77" t="s">
        <v>77</v>
      </c>
      <c r="C14" s="77" t="s">
        <v>876</v>
      </c>
      <c r="D14" s="77" t="s">
        <v>826</v>
      </c>
      <c r="E14" s="77" t="s">
        <v>586</v>
      </c>
      <c r="F14" s="77" t="s">
        <v>585</v>
      </c>
      <c r="G14" s="77" t="s">
        <v>825</v>
      </c>
      <c r="H14" s="77" t="s">
        <v>825</v>
      </c>
      <c r="I14" s="77" t="s">
        <v>591</v>
      </c>
      <c r="J14" s="77" t="s">
        <v>875</v>
      </c>
    </row>
    <row r="15" spans="1:10" ht="14.4" thickBot="1" x14ac:dyDescent="0.3">
      <c r="A15" s="78" t="s">
        <v>874</v>
      </c>
      <c r="B15" s="77" t="s">
        <v>77</v>
      </c>
      <c r="C15" s="77" t="s">
        <v>873</v>
      </c>
      <c r="D15" s="77" t="s">
        <v>826</v>
      </c>
      <c r="E15" s="77" t="s">
        <v>586</v>
      </c>
      <c r="F15" s="77" t="s">
        <v>585</v>
      </c>
      <c r="G15" s="77" t="s">
        <v>825</v>
      </c>
      <c r="H15" s="77" t="s">
        <v>825</v>
      </c>
      <c r="I15" s="77" t="s">
        <v>591</v>
      </c>
      <c r="J15" s="77" t="s">
        <v>872</v>
      </c>
    </row>
    <row r="16" spans="1:10" ht="14.4" thickBot="1" x14ac:dyDescent="0.3">
      <c r="A16" s="78" t="s">
        <v>871</v>
      </c>
      <c r="B16" s="77" t="s">
        <v>77</v>
      </c>
      <c r="C16" s="77" t="s">
        <v>870</v>
      </c>
      <c r="D16" s="77" t="s">
        <v>826</v>
      </c>
      <c r="E16" s="77" t="s">
        <v>725</v>
      </c>
      <c r="F16" s="77" t="s">
        <v>585</v>
      </c>
      <c r="G16" s="77" t="s">
        <v>825</v>
      </c>
      <c r="H16" s="77" t="s">
        <v>631</v>
      </c>
      <c r="I16" s="77" t="s">
        <v>583</v>
      </c>
      <c r="J16" s="77" t="s">
        <v>825</v>
      </c>
    </row>
    <row r="17" spans="1:10" ht="14.4" thickBot="1" x14ac:dyDescent="0.3">
      <c r="A17" s="78" t="s">
        <v>869</v>
      </c>
      <c r="B17" s="77" t="s">
        <v>77</v>
      </c>
      <c r="C17" s="77" t="s">
        <v>868</v>
      </c>
      <c r="D17" s="77" t="s">
        <v>867</v>
      </c>
      <c r="E17" s="77" t="s">
        <v>725</v>
      </c>
      <c r="F17" s="77" t="s">
        <v>585</v>
      </c>
      <c r="G17" s="77" t="s">
        <v>866</v>
      </c>
      <c r="H17" s="77" t="s">
        <v>631</v>
      </c>
      <c r="I17" s="77" t="s">
        <v>591</v>
      </c>
      <c r="J17" s="77" t="s">
        <v>865</v>
      </c>
    </row>
    <row r="18" spans="1:10" ht="14.4" thickBot="1" x14ac:dyDescent="0.3">
      <c r="A18" s="78" t="s">
        <v>864</v>
      </c>
      <c r="B18" s="77" t="s">
        <v>863</v>
      </c>
      <c r="C18" s="77" t="s">
        <v>862</v>
      </c>
      <c r="D18" s="77" t="s">
        <v>826</v>
      </c>
      <c r="E18" s="77" t="s">
        <v>725</v>
      </c>
      <c r="F18" s="77" t="s">
        <v>585</v>
      </c>
      <c r="G18" s="77" t="s">
        <v>825</v>
      </c>
      <c r="H18" s="77" t="s">
        <v>825</v>
      </c>
      <c r="I18" s="77" t="s">
        <v>591</v>
      </c>
      <c r="J18" s="77" t="s">
        <v>861</v>
      </c>
    </row>
    <row r="19" spans="1:10" ht="14.4" thickBot="1" x14ac:dyDescent="0.3">
      <c r="A19" s="78" t="s">
        <v>860</v>
      </c>
      <c r="B19" s="77" t="s">
        <v>626</v>
      </c>
      <c r="C19" s="77" t="s">
        <v>859</v>
      </c>
      <c r="D19" s="77" t="s">
        <v>624</v>
      </c>
      <c r="E19" s="77" t="s">
        <v>725</v>
      </c>
      <c r="F19" s="77" t="s">
        <v>585</v>
      </c>
      <c r="G19" s="77" t="s">
        <v>825</v>
      </c>
      <c r="H19" s="77" t="s">
        <v>825</v>
      </c>
      <c r="I19" s="77" t="s">
        <v>591</v>
      </c>
      <c r="J19" s="77" t="s">
        <v>825</v>
      </c>
    </row>
    <row r="20" spans="1:10" ht="14.4" thickBot="1" x14ac:dyDescent="0.3">
      <c r="A20" s="78" t="s">
        <v>858</v>
      </c>
      <c r="B20" s="77" t="s">
        <v>626</v>
      </c>
      <c r="C20" s="77" t="s">
        <v>857</v>
      </c>
      <c r="D20" s="77" t="s">
        <v>856</v>
      </c>
      <c r="E20" s="77" t="s">
        <v>586</v>
      </c>
      <c r="F20" s="77" t="s">
        <v>606</v>
      </c>
      <c r="G20" s="77" t="s">
        <v>598</v>
      </c>
      <c r="H20" s="77" t="s">
        <v>611</v>
      </c>
      <c r="I20" s="77" t="s">
        <v>591</v>
      </c>
      <c r="J20" s="77" t="s">
        <v>855</v>
      </c>
    </row>
    <row r="21" spans="1:10" ht="14.4" thickBot="1" x14ac:dyDescent="0.3">
      <c r="A21" s="78" t="s">
        <v>854</v>
      </c>
      <c r="B21" s="77" t="s">
        <v>853</v>
      </c>
      <c r="C21" s="77" t="s">
        <v>852</v>
      </c>
      <c r="D21" s="77" t="s">
        <v>826</v>
      </c>
      <c r="E21" s="77" t="s">
        <v>725</v>
      </c>
      <c r="F21" s="77" t="s">
        <v>585</v>
      </c>
      <c r="G21" s="77" t="s">
        <v>825</v>
      </c>
      <c r="H21" s="77" t="s">
        <v>825</v>
      </c>
      <c r="I21" s="77" t="s">
        <v>591</v>
      </c>
      <c r="J21" s="77" t="s">
        <v>851</v>
      </c>
    </row>
    <row r="22" spans="1:10" ht="14.4" thickBot="1" x14ac:dyDescent="0.3">
      <c r="A22" s="78" t="s">
        <v>850</v>
      </c>
      <c r="B22" s="77" t="s">
        <v>626</v>
      </c>
      <c r="C22" s="77" t="s">
        <v>849</v>
      </c>
      <c r="D22" s="77" t="s">
        <v>648</v>
      </c>
      <c r="E22" s="77" t="s">
        <v>586</v>
      </c>
      <c r="F22" s="77" t="s">
        <v>585</v>
      </c>
      <c r="G22" s="77" t="s">
        <v>825</v>
      </c>
      <c r="H22" s="77" t="s">
        <v>825</v>
      </c>
      <c r="I22" s="77" t="s">
        <v>782</v>
      </c>
      <c r="J22" s="77" t="s">
        <v>848</v>
      </c>
    </row>
    <row r="23" spans="1:10" ht="14.4" thickBot="1" x14ac:dyDescent="0.3">
      <c r="A23" s="78" t="s">
        <v>847</v>
      </c>
      <c r="B23" s="77" t="s">
        <v>498</v>
      </c>
      <c r="C23" s="77" t="s">
        <v>846</v>
      </c>
      <c r="D23" s="77" t="s">
        <v>826</v>
      </c>
      <c r="E23" s="77" t="s">
        <v>725</v>
      </c>
      <c r="F23" s="77" t="s">
        <v>585</v>
      </c>
      <c r="G23" s="77" t="s">
        <v>825</v>
      </c>
      <c r="H23" s="77" t="s">
        <v>825</v>
      </c>
      <c r="I23" s="77" t="s">
        <v>591</v>
      </c>
      <c r="J23" s="77" t="s">
        <v>845</v>
      </c>
    </row>
    <row r="24" spans="1:10" ht="14.4" thickBot="1" x14ac:dyDescent="0.3">
      <c r="A24" s="78" t="s">
        <v>844</v>
      </c>
      <c r="B24" s="77" t="s">
        <v>498</v>
      </c>
      <c r="C24" s="77" t="s">
        <v>843</v>
      </c>
      <c r="D24" s="77" t="s">
        <v>826</v>
      </c>
      <c r="E24" s="77" t="s">
        <v>586</v>
      </c>
      <c r="F24" s="77" t="s">
        <v>585</v>
      </c>
      <c r="G24" s="77" t="s">
        <v>825</v>
      </c>
      <c r="H24" s="77" t="s">
        <v>825</v>
      </c>
      <c r="I24" s="77" t="s">
        <v>591</v>
      </c>
      <c r="J24" s="77" t="s">
        <v>842</v>
      </c>
    </row>
    <row r="25" spans="1:10" ht="14.4" thickBot="1" x14ac:dyDescent="0.3">
      <c r="A25" s="78" t="s">
        <v>841</v>
      </c>
      <c r="B25" s="77" t="s">
        <v>498</v>
      </c>
      <c r="C25" s="77" t="s">
        <v>840</v>
      </c>
      <c r="D25" s="77" t="s">
        <v>826</v>
      </c>
      <c r="E25" s="77" t="s">
        <v>586</v>
      </c>
      <c r="F25" s="77" t="s">
        <v>585</v>
      </c>
      <c r="G25" s="77" t="s">
        <v>825</v>
      </c>
      <c r="H25" s="77" t="s">
        <v>825</v>
      </c>
      <c r="I25" s="77" t="s">
        <v>591</v>
      </c>
      <c r="J25" s="77" t="s">
        <v>839</v>
      </c>
    </row>
    <row r="26" spans="1:10" ht="14.4" thickBot="1" x14ac:dyDescent="0.3">
      <c r="A26" s="78" t="s">
        <v>838</v>
      </c>
      <c r="B26" s="77" t="s">
        <v>77</v>
      </c>
      <c r="C26" s="77" t="s">
        <v>835</v>
      </c>
      <c r="D26" s="77" t="s">
        <v>826</v>
      </c>
      <c r="E26" s="77" t="s">
        <v>725</v>
      </c>
      <c r="F26" s="77" t="s">
        <v>585</v>
      </c>
      <c r="G26" s="77" t="s">
        <v>837</v>
      </c>
      <c r="H26" s="77" t="s">
        <v>696</v>
      </c>
      <c r="I26" s="77" t="s">
        <v>583</v>
      </c>
      <c r="J26" s="77" t="s">
        <v>720</v>
      </c>
    </row>
    <row r="27" spans="1:10" ht="14.4" thickBot="1" x14ac:dyDescent="0.3">
      <c r="A27" s="78" t="s">
        <v>836</v>
      </c>
      <c r="B27" s="77" t="s">
        <v>81</v>
      </c>
      <c r="C27" s="77" t="s">
        <v>835</v>
      </c>
      <c r="D27" s="77" t="s">
        <v>834</v>
      </c>
      <c r="E27" s="77" t="s">
        <v>725</v>
      </c>
      <c r="F27" s="77" t="s">
        <v>585</v>
      </c>
      <c r="G27" s="77" t="s">
        <v>819</v>
      </c>
      <c r="H27" s="77" t="s">
        <v>631</v>
      </c>
      <c r="I27" s="77" t="s">
        <v>583</v>
      </c>
      <c r="J27" s="77" t="s">
        <v>833</v>
      </c>
    </row>
    <row r="28" spans="1:10" ht="27.9" customHeight="1" thickBot="1" x14ac:dyDescent="0.3">
      <c r="A28" s="78" t="s">
        <v>832</v>
      </c>
      <c r="B28" s="77" t="s">
        <v>626</v>
      </c>
      <c r="C28" s="77" t="s">
        <v>831</v>
      </c>
      <c r="D28" s="77" t="s">
        <v>648</v>
      </c>
      <c r="E28" s="77" t="s">
        <v>725</v>
      </c>
      <c r="F28" s="77" t="s">
        <v>585</v>
      </c>
      <c r="G28" s="77" t="s">
        <v>825</v>
      </c>
      <c r="H28" s="77" t="s">
        <v>825</v>
      </c>
      <c r="I28" s="77" t="s">
        <v>782</v>
      </c>
      <c r="J28" s="77" t="s">
        <v>830</v>
      </c>
    </row>
    <row r="29" spans="1:10" ht="14.4" thickBot="1" x14ac:dyDescent="0.3">
      <c r="A29" s="78" t="s">
        <v>829</v>
      </c>
      <c r="B29" s="77" t="s">
        <v>828</v>
      </c>
      <c r="C29" s="77" t="s">
        <v>827</v>
      </c>
      <c r="D29" s="77" t="s">
        <v>826</v>
      </c>
      <c r="E29" s="77" t="s">
        <v>586</v>
      </c>
      <c r="F29" s="77" t="s">
        <v>585</v>
      </c>
      <c r="G29" s="77" t="s">
        <v>825</v>
      </c>
      <c r="H29" s="77" t="s">
        <v>825</v>
      </c>
      <c r="I29" s="77" t="s">
        <v>591</v>
      </c>
      <c r="J29" s="77" t="s">
        <v>736</v>
      </c>
    </row>
    <row r="30" spans="1:10" ht="15.45" customHeight="1" thickBot="1" x14ac:dyDescent="0.3">
      <c r="A30" s="78" t="s">
        <v>824</v>
      </c>
      <c r="B30" s="79" t="s">
        <v>81</v>
      </c>
      <c r="C30" s="79" t="s">
        <v>779</v>
      </c>
      <c r="D30" s="79" t="s">
        <v>645</v>
      </c>
      <c r="E30" s="79" t="s">
        <v>586</v>
      </c>
      <c r="F30" s="79" t="s">
        <v>617</v>
      </c>
      <c r="G30" s="79" t="s">
        <v>585</v>
      </c>
      <c r="H30" s="79" t="s">
        <v>631</v>
      </c>
      <c r="I30" s="79" t="s">
        <v>782</v>
      </c>
      <c r="J30" s="79" t="s">
        <v>793</v>
      </c>
    </row>
    <row r="31" spans="1:10" ht="14.4" thickBot="1" x14ac:dyDescent="0.3">
      <c r="A31" s="78" t="s">
        <v>823</v>
      </c>
      <c r="B31" s="79" t="s">
        <v>81</v>
      </c>
      <c r="C31" s="77" t="s">
        <v>820</v>
      </c>
      <c r="D31" s="77" t="s">
        <v>645</v>
      </c>
      <c r="E31" s="77" t="s">
        <v>586</v>
      </c>
      <c r="F31" s="77" t="s">
        <v>788</v>
      </c>
      <c r="G31" s="77" t="s">
        <v>775</v>
      </c>
      <c r="H31" s="77" t="s">
        <v>611</v>
      </c>
      <c r="I31" s="77" t="s">
        <v>591</v>
      </c>
      <c r="J31" s="77" t="s">
        <v>822</v>
      </c>
    </row>
    <row r="32" spans="1:10" ht="14.4" thickBot="1" x14ac:dyDescent="0.3">
      <c r="A32" s="78" t="s">
        <v>821</v>
      </c>
      <c r="B32" s="79" t="s">
        <v>81</v>
      </c>
      <c r="C32" s="77" t="s">
        <v>820</v>
      </c>
      <c r="D32" s="77" t="s">
        <v>819</v>
      </c>
      <c r="E32" s="77" t="s">
        <v>586</v>
      </c>
      <c r="F32" s="77" t="s">
        <v>585</v>
      </c>
      <c r="G32" s="77" t="s">
        <v>585</v>
      </c>
      <c r="H32" s="77" t="s">
        <v>611</v>
      </c>
      <c r="I32" s="77" t="s">
        <v>650</v>
      </c>
      <c r="J32" s="77" t="s">
        <v>818</v>
      </c>
    </row>
    <row r="33" spans="1:10" ht="14.4" thickBot="1" x14ac:dyDescent="0.3">
      <c r="A33" s="78" t="s">
        <v>817</v>
      </c>
      <c r="B33" s="79" t="s">
        <v>81</v>
      </c>
      <c r="C33" s="77" t="s">
        <v>692</v>
      </c>
      <c r="D33" s="77" t="s">
        <v>691</v>
      </c>
      <c r="E33" s="77" t="s">
        <v>586</v>
      </c>
      <c r="F33" s="77" t="s">
        <v>788</v>
      </c>
      <c r="G33" s="77" t="s">
        <v>775</v>
      </c>
      <c r="H33" s="77" t="s">
        <v>611</v>
      </c>
      <c r="I33" s="77" t="s">
        <v>591</v>
      </c>
      <c r="J33" s="77" t="s">
        <v>816</v>
      </c>
    </row>
    <row r="34" spans="1:10" ht="14.4" thickBot="1" x14ac:dyDescent="0.3">
      <c r="A34" s="78" t="s">
        <v>815</v>
      </c>
      <c r="B34" s="79" t="s">
        <v>81</v>
      </c>
      <c r="C34" s="77" t="s">
        <v>692</v>
      </c>
      <c r="D34" s="77" t="s">
        <v>691</v>
      </c>
      <c r="E34" s="77" t="s">
        <v>586</v>
      </c>
      <c r="F34" s="77" t="s">
        <v>788</v>
      </c>
      <c r="G34" s="77" t="s">
        <v>724</v>
      </c>
      <c r="H34" s="77" t="s">
        <v>597</v>
      </c>
      <c r="I34" s="77" t="s">
        <v>591</v>
      </c>
      <c r="J34" s="77" t="s">
        <v>814</v>
      </c>
    </row>
    <row r="35" spans="1:10" ht="14.4" thickBot="1" x14ac:dyDescent="0.3">
      <c r="A35" s="78" t="s">
        <v>813</v>
      </c>
      <c r="B35" s="79" t="s">
        <v>81</v>
      </c>
      <c r="C35" s="77" t="s">
        <v>812</v>
      </c>
      <c r="D35" s="77" t="s">
        <v>691</v>
      </c>
      <c r="E35" s="77" t="s">
        <v>586</v>
      </c>
      <c r="F35" s="77" t="s">
        <v>788</v>
      </c>
      <c r="G35" s="77" t="s">
        <v>775</v>
      </c>
      <c r="H35" s="77" t="s">
        <v>611</v>
      </c>
      <c r="I35" s="77" t="s">
        <v>583</v>
      </c>
      <c r="J35" s="77" t="s">
        <v>811</v>
      </c>
    </row>
    <row r="36" spans="1:10" ht="14.4" thickBot="1" x14ac:dyDescent="0.3">
      <c r="A36" s="78" t="s">
        <v>810</v>
      </c>
      <c r="B36" s="79" t="s">
        <v>81</v>
      </c>
      <c r="C36" s="77" t="s">
        <v>946</v>
      </c>
      <c r="D36" s="77" t="s">
        <v>691</v>
      </c>
      <c r="E36" s="77" t="s">
        <v>586</v>
      </c>
      <c r="F36" s="77" t="s">
        <v>788</v>
      </c>
      <c r="G36" s="77" t="s">
        <v>775</v>
      </c>
      <c r="H36" s="77" t="s">
        <v>611</v>
      </c>
      <c r="I36" s="77" t="s">
        <v>591</v>
      </c>
      <c r="J36" s="77" t="s">
        <v>809</v>
      </c>
    </row>
    <row r="37" spans="1:10" ht="14.4" thickBot="1" x14ac:dyDescent="0.3">
      <c r="A37" s="78" t="s">
        <v>808</v>
      </c>
      <c r="B37" s="79" t="s">
        <v>81</v>
      </c>
      <c r="C37" s="77" t="s">
        <v>683</v>
      </c>
      <c r="D37" s="77" t="s">
        <v>691</v>
      </c>
      <c r="E37" s="77" t="s">
        <v>586</v>
      </c>
      <c r="F37" s="77" t="s">
        <v>788</v>
      </c>
      <c r="G37" s="77" t="s">
        <v>724</v>
      </c>
      <c r="H37" s="77" t="s">
        <v>597</v>
      </c>
      <c r="I37" s="77" t="s">
        <v>591</v>
      </c>
      <c r="J37" s="77" t="s">
        <v>807</v>
      </c>
    </row>
    <row r="38" spans="1:10" ht="14.4" thickBot="1" x14ac:dyDescent="0.3">
      <c r="A38" s="78" t="s">
        <v>806</v>
      </c>
      <c r="B38" s="79" t="s">
        <v>81</v>
      </c>
      <c r="C38" s="77" t="s">
        <v>683</v>
      </c>
      <c r="D38" s="77" t="s">
        <v>691</v>
      </c>
      <c r="E38" s="77" t="s">
        <v>586</v>
      </c>
      <c r="F38" s="77" t="s">
        <v>788</v>
      </c>
      <c r="G38" s="77" t="s">
        <v>691</v>
      </c>
      <c r="H38" s="77" t="s">
        <v>584</v>
      </c>
      <c r="I38" s="77" t="s">
        <v>583</v>
      </c>
      <c r="J38" s="77" t="s">
        <v>803</v>
      </c>
    </row>
    <row r="39" spans="1:10" ht="14.4" thickBot="1" x14ac:dyDescent="0.3">
      <c r="A39" s="78" t="s">
        <v>805</v>
      </c>
      <c r="B39" s="79" t="s">
        <v>81</v>
      </c>
      <c r="C39" s="77" t="s">
        <v>683</v>
      </c>
      <c r="D39" s="77" t="s">
        <v>691</v>
      </c>
      <c r="E39" s="77" t="s">
        <v>586</v>
      </c>
      <c r="F39" s="77" t="s">
        <v>788</v>
      </c>
      <c r="G39" s="77" t="s">
        <v>804</v>
      </c>
      <c r="H39" s="77" t="s">
        <v>584</v>
      </c>
      <c r="I39" s="77" t="s">
        <v>583</v>
      </c>
      <c r="J39" s="77" t="s">
        <v>803</v>
      </c>
    </row>
    <row r="40" spans="1:10" ht="14.4" thickBot="1" x14ac:dyDescent="0.3">
      <c r="A40" s="78" t="s">
        <v>802</v>
      </c>
      <c r="B40" s="79" t="s">
        <v>81</v>
      </c>
      <c r="C40" s="77" t="s">
        <v>683</v>
      </c>
      <c r="D40" s="77" t="s">
        <v>691</v>
      </c>
      <c r="E40" s="77" t="s">
        <v>586</v>
      </c>
      <c r="F40" s="77" t="s">
        <v>788</v>
      </c>
      <c r="G40" s="77" t="s">
        <v>724</v>
      </c>
      <c r="H40" s="77" t="s">
        <v>597</v>
      </c>
      <c r="I40" s="77" t="s">
        <v>591</v>
      </c>
      <c r="J40" s="77" t="s">
        <v>801</v>
      </c>
    </row>
    <row r="41" spans="1:10" ht="14.4" thickBot="1" x14ac:dyDescent="0.3">
      <c r="A41" s="78" t="s">
        <v>800</v>
      </c>
      <c r="B41" s="79" t="s">
        <v>81</v>
      </c>
      <c r="C41" s="77" t="s">
        <v>683</v>
      </c>
      <c r="D41" s="77" t="s">
        <v>691</v>
      </c>
      <c r="E41" s="77" t="s">
        <v>586</v>
      </c>
      <c r="F41" s="77" t="s">
        <v>788</v>
      </c>
      <c r="G41" s="77" t="s">
        <v>724</v>
      </c>
      <c r="H41" s="77" t="s">
        <v>611</v>
      </c>
      <c r="I41" s="77" t="s">
        <v>799</v>
      </c>
      <c r="J41" s="77" t="s">
        <v>798</v>
      </c>
    </row>
    <row r="42" spans="1:10" ht="14.4" thickBot="1" x14ac:dyDescent="0.3">
      <c r="A42" s="78" t="s">
        <v>797</v>
      </c>
      <c r="B42" s="79" t="s">
        <v>81</v>
      </c>
      <c r="C42" s="77" t="s">
        <v>796</v>
      </c>
      <c r="D42" s="77" t="s">
        <v>691</v>
      </c>
      <c r="E42" s="77" t="s">
        <v>586</v>
      </c>
      <c r="F42" s="77" t="s">
        <v>788</v>
      </c>
      <c r="G42" s="77" t="s">
        <v>775</v>
      </c>
      <c r="H42" s="77" t="s">
        <v>611</v>
      </c>
      <c r="I42" s="77" t="s">
        <v>583</v>
      </c>
      <c r="J42" s="77" t="s">
        <v>795</v>
      </c>
    </row>
    <row r="43" spans="1:10" ht="14.4" thickBot="1" x14ac:dyDescent="0.3">
      <c r="A43" s="78" t="s">
        <v>794</v>
      </c>
      <c r="B43" s="79" t="s">
        <v>81</v>
      </c>
      <c r="C43" s="77" t="s">
        <v>688</v>
      </c>
      <c r="D43" s="77" t="s">
        <v>691</v>
      </c>
      <c r="E43" s="77" t="s">
        <v>586</v>
      </c>
      <c r="F43" s="77" t="s">
        <v>788</v>
      </c>
      <c r="G43" s="77" t="s">
        <v>775</v>
      </c>
      <c r="H43" s="77" t="s">
        <v>611</v>
      </c>
      <c r="I43" s="77" t="s">
        <v>591</v>
      </c>
      <c r="J43" s="77" t="s">
        <v>793</v>
      </c>
    </row>
    <row r="44" spans="1:10" ht="15.45" customHeight="1" thickBot="1" x14ac:dyDescent="0.3">
      <c r="A44" s="78" t="s">
        <v>792</v>
      </c>
      <c r="B44" s="79" t="s">
        <v>81</v>
      </c>
      <c r="C44" s="77" t="s">
        <v>688</v>
      </c>
      <c r="D44" s="77" t="s">
        <v>691</v>
      </c>
      <c r="E44" s="77" t="s">
        <v>586</v>
      </c>
      <c r="F44" s="77" t="s">
        <v>788</v>
      </c>
      <c r="G44" s="77" t="s">
        <v>730</v>
      </c>
      <c r="H44" s="77" t="s">
        <v>611</v>
      </c>
      <c r="I44" s="77" t="s">
        <v>591</v>
      </c>
      <c r="J44" s="77" t="s">
        <v>791</v>
      </c>
    </row>
    <row r="45" spans="1:10" ht="14.4" thickBot="1" x14ac:dyDescent="0.3">
      <c r="A45" s="78" t="s">
        <v>790</v>
      </c>
      <c r="B45" s="79" t="s">
        <v>81</v>
      </c>
      <c r="C45" s="77" t="s">
        <v>789</v>
      </c>
      <c r="D45" s="77" t="s">
        <v>691</v>
      </c>
      <c r="E45" s="77" t="s">
        <v>586</v>
      </c>
      <c r="F45" s="77" t="s">
        <v>788</v>
      </c>
      <c r="G45" s="77" t="s">
        <v>730</v>
      </c>
      <c r="H45" s="77" t="s">
        <v>787</v>
      </c>
      <c r="I45" s="77" t="s">
        <v>583</v>
      </c>
      <c r="J45" s="77" t="s">
        <v>786</v>
      </c>
    </row>
    <row r="46" spans="1:10" ht="27.9" customHeight="1" thickBot="1" x14ac:dyDescent="0.3">
      <c r="A46" s="78" t="s">
        <v>785</v>
      </c>
      <c r="B46" s="79" t="s">
        <v>393</v>
      </c>
      <c r="C46" s="79" t="s">
        <v>784</v>
      </c>
      <c r="D46" s="79" t="s">
        <v>783</v>
      </c>
      <c r="E46" s="79" t="s">
        <v>586</v>
      </c>
      <c r="F46" s="79" t="s">
        <v>617</v>
      </c>
      <c r="G46" s="79" t="s">
        <v>585</v>
      </c>
      <c r="H46" s="79" t="s">
        <v>631</v>
      </c>
      <c r="I46" s="79" t="s">
        <v>782</v>
      </c>
      <c r="J46" s="79" t="s">
        <v>781</v>
      </c>
    </row>
    <row r="47" spans="1:10" ht="14.4" thickBot="1" x14ac:dyDescent="0.3">
      <c r="A47" s="78" t="s">
        <v>780</v>
      </c>
      <c r="B47" s="79" t="s">
        <v>393</v>
      </c>
      <c r="C47" s="77" t="s">
        <v>779</v>
      </c>
      <c r="D47" s="77" t="s">
        <v>703</v>
      </c>
      <c r="E47" s="77" t="s">
        <v>586</v>
      </c>
      <c r="F47" s="77" t="s">
        <v>585</v>
      </c>
      <c r="G47" s="77" t="s">
        <v>775</v>
      </c>
      <c r="H47" s="77" t="s">
        <v>597</v>
      </c>
      <c r="I47" s="77" t="s">
        <v>591</v>
      </c>
      <c r="J47" s="77" t="s">
        <v>778</v>
      </c>
    </row>
    <row r="48" spans="1:10" ht="14.4" thickBot="1" x14ac:dyDescent="0.3">
      <c r="A48" s="78" t="s">
        <v>777</v>
      </c>
      <c r="B48" s="79" t="s">
        <v>393</v>
      </c>
      <c r="C48" s="77" t="s">
        <v>658</v>
      </c>
      <c r="D48" s="77" t="s">
        <v>776</v>
      </c>
      <c r="E48" s="77" t="s">
        <v>586</v>
      </c>
      <c r="F48" s="77" t="s">
        <v>585</v>
      </c>
      <c r="G48" s="77" t="s">
        <v>775</v>
      </c>
      <c r="H48" s="77" t="s">
        <v>584</v>
      </c>
      <c r="I48" s="77" t="s">
        <v>591</v>
      </c>
      <c r="J48" s="77" t="s">
        <v>774</v>
      </c>
    </row>
    <row r="49" spans="1:10" ht="14.4" thickBot="1" x14ac:dyDescent="0.3">
      <c r="A49" s="78" t="s">
        <v>773</v>
      </c>
      <c r="B49" s="79" t="s">
        <v>393</v>
      </c>
      <c r="C49" s="77" t="s">
        <v>772</v>
      </c>
      <c r="D49" s="77" t="s">
        <v>771</v>
      </c>
      <c r="E49" s="77" t="s">
        <v>586</v>
      </c>
      <c r="F49" s="77" t="s">
        <v>640</v>
      </c>
      <c r="G49" s="77" t="s">
        <v>585</v>
      </c>
      <c r="H49" s="77" t="s">
        <v>611</v>
      </c>
      <c r="I49" s="77" t="s">
        <v>650</v>
      </c>
      <c r="J49" s="77" t="s">
        <v>770</v>
      </c>
    </row>
    <row r="50" spans="1:10" ht="14.4" thickBot="1" x14ac:dyDescent="0.3">
      <c r="A50" s="78" t="s">
        <v>769</v>
      </c>
      <c r="B50" s="79" t="s">
        <v>393</v>
      </c>
      <c r="C50" s="77" t="s">
        <v>721</v>
      </c>
      <c r="D50" s="77" t="s">
        <v>641</v>
      </c>
      <c r="E50" s="77" t="s">
        <v>586</v>
      </c>
      <c r="F50" s="77" t="s">
        <v>640</v>
      </c>
      <c r="G50" s="77" t="s">
        <v>585</v>
      </c>
      <c r="H50" s="77" t="s">
        <v>768</v>
      </c>
      <c r="I50" s="77" t="s">
        <v>650</v>
      </c>
      <c r="J50" s="77" t="s">
        <v>661</v>
      </c>
    </row>
    <row r="51" spans="1:10" ht="14.4" thickBot="1" x14ac:dyDescent="0.3">
      <c r="A51" s="78" t="s">
        <v>767</v>
      </c>
      <c r="B51" s="79" t="s">
        <v>393</v>
      </c>
      <c r="C51" s="77" t="s">
        <v>654</v>
      </c>
      <c r="D51" s="77" t="s">
        <v>653</v>
      </c>
      <c r="E51" s="77" t="s">
        <v>586</v>
      </c>
      <c r="F51" s="77" t="s">
        <v>585</v>
      </c>
      <c r="G51" s="77" t="s">
        <v>724</v>
      </c>
      <c r="H51" s="77" t="s">
        <v>611</v>
      </c>
      <c r="I51" s="77" t="s">
        <v>766</v>
      </c>
      <c r="J51" s="77" t="s">
        <v>754</v>
      </c>
    </row>
    <row r="52" spans="1:10" ht="14.4" thickBot="1" x14ac:dyDescent="0.3">
      <c r="A52" s="78" t="s">
        <v>765</v>
      </c>
      <c r="B52" s="79" t="s">
        <v>393</v>
      </c>
      <c r="C52" s="77" t="s">
        <v>721</v>
      </c>
      <c r="D52" s="77" t="s">
        <v>676</v>
      </c>
      <c r="E52" s="77" t="s">
        <v>586</v>
      </c>
      <c r="F52" s="77" t="s">
        <v>764</v>
      </c>
      <c r="G52" s="77" t="s">
        <v>645</v>
      </c>
      <c r="H52" s="77" t="s">
        <v>696</v>
      </c>
      <c r="I52" s="77" t="s">
        <v>583</v>
      </c>
      <c r="J52" s="77" t="s">
        <v>763</v>
      </c>
    </row>
    <row r="53" spans="1:10" ht="14.4" thickBot="1" x14ac:dyDescent="0.3">
      <c r="A53" s="78" t="s">
        <v>762</v>
      </c>
      <c r="B53" s="79" t="s">
        <v>393</v>
      </c>
      <c r="C53" s="77" t="s">
        <v>654</v>
      </c>
      <c r="D53" s="77" t="s">
        <v>653</v>
      </c>
      <c r="E53" s="77" t="s">
        <v>586</v>
      </c>
      <c r="F53" s="77" t="s">
        <v>585</v>
      </c>
      <c r="G53" s="77" t="s">
        <v>740</v>
      </c>
      <c r="H53" s="77" t="s">
        <v>611</v>
      </c>
      <c r="I53" s="77" t="s">
        <v>591</v>
      </c>
      <c r="J53" s="77" t="s">
        <v>761</v>
      </c>
    </row>
    <row r="54" spans="1:10" ht="27" thickBot="1" x14ac:dyDescent="0.3">
      <c r="A54" s="78" t="s">
        <v>760</v>
      </c>
      <c r="B54" s="79" t="s">
        <v>393</v>
      </c>
      <c r="C54" s="77" t="s">
        <v>654</v>
      </c>
      <c r="D54" s="77" t="s">
        <v>653</v>
      </c>
      <c r="E54" s="77" t="s">
        <v>586</v>
      </c>
      <c r="F54" s="77" t="s">
        <v>585</v>
      </c>
      <c r="G54" s="77" t="s">
        <v>740</v>
      </c>
      <c r="H54" s="77" t="s">
        <v>611</v>
      </c>
      <c r="I54" s="77" t="s">
        <v>591</v>
      </c>
      <c r="J54" s="77" t="s">
        <v>759</v>
      </c>
    </row>
    <row r="55" spans="1:10" ht="14.4" thickBot="1" x14ac:dyDescent="0.3">
      <c r="A55" s="78" t="s">
        <v>758</v>
      </c>
      <c r="B55" s="79" t="s">
        <v>393</v>
      </c>
      <c r="C55" s="77" t="s">
        <v>654</v>
      </c>
      <c r="D55" s="77" t="s">
        <v>653</v>
      </c>
      <c r="E55" s="77" t="s">
        <v>586</v>
      </c>
      <c r="F55" s="77" t="s">
        <v>585</v>
      </c>
      <c r="G55" s="77" t="s">
        <v>740</v>
      </c>
      <c r="H55" s="77" t="s">
        <v>611</v>
      </c>
      <c r="I55" s="77" t="s">
        <v>583</v>
      </c>
      <c r="J55" s="77" t="s">
        <v>757</v>
      </c>
    </row>
    <row r="56" spans="1:10" ht="41.1" customHeight="1" thickBot="1" x14ac:dyDescent="0.3">
      <c r="A56" s="78" t="s">
        <v>756</v>
      </c>
      <c r="B56" s="79" t="s">
        <v>393</v>
      </c>
      <c r="C56" s="77" t="s">
        <v>755</v>
      </c>
      <c r="D56" s="77" t="s">
        <v>653</v>
      </c>
      <c r="E56" s="77" t="s">
        <v>586</v>
      </c>
      <c r="F56" s="77" t="s">
        <v>585</v>
      </c>
      <c r="G56" s="77" t="s">
        <v>740</v>
      </c>
      <c r="H56" s="77" t="s">
        <v>584</v>
      </c>
      <c r="I56" s="77" t="s">
        <v>583</v>
      </c>
      <c r="J56" s="77" t="s">
        <v>754</v>
      </c>
    </row>
    <row r="57" spans="1:10" ht="14.4" thickBot="1" x14ac:dyDescent="0.3">
      <c r="A57" s="78" t="s">
        <v>753</v>
      </c>
      <c r="B57" s="79" t="s">
        <v>393</v>
      </c>
      <c r="C57" s="77" t="s">
        <v>752</v>
      </c>
      <c r="D57" s="77" t="s">
        <v>611</v>
      </c>
      <c r="E57" s="77" t="s">
        <v>586</v>
      </c>
      <c r="F57" s="77" t="s">
        <v>731</v>
      </c>
      <c r="G57" s="77" t="s">
        <v>606</v>
      </c>
      <c r="H57" s="77" t="s">
        <v>611</v>
      </c>
      <c r="I57" s="77" t="s">
        <v>591</v>
      </c>
      <c r="J57" s="77" t="s">
        <v>751</v>
      </c>
    </row>
    <row r="58" spans="1:10" ht="27.9" customHeight="1" thickBot="1" x14ac:dyDescent="0.3">
      <c r="A58" s="78" t="s">
        <v>750</v>
      </c>
      <c r="B58" s="79" t="s">
        <v>393</v>
      </c>
      <c r="C58" s="79" t="s">
        <v>749</v>
      </c>
      <c r="D58" s="79" t="s">
        <v>726</v>
      </c>
      <c r="E58" s="79" t="s">
        <v>725</v>
      </c>
      <c r="F58" s="79" t="s">
        <v>731</v>
      </c>
      <c r="G58" s="79" t="s">
        <v>606</v>
      </c>
      <c r="H58" s="79" t="s">
        <v>611</v>
      </c>
      <c r="I58" s="79" t="s">
        <v>650</v>
      </c>
      <c r="J58" s="79" t="s">
        <v>748</v>
      </c>
    </row>
    <row r="59" spans="1:10" ht="14.4" thickBot="1" x14ac:dyDescent="0.3">
      <c r="A59" s="78" t="s">
        <v>747</v>
      </c>
      <c r="B59" s="79" t="s">
        <v>393</v>
      </c>
      <c r="C59" s="77" t="s">
        <v>746</v>
      </c>
      <c r="D59" s="77" t="s">
        <v>726</v>
      </c>
      <c r="E59" s="77" t="s">
        <v>725</v>
      </c>
      <c r="F59" s="77" t="s">
        <v>731</v>
      </c>
      <c r="G59" s="77" t="s">
        <v>606</v>
      </c>
      <c r="H59" s="77" t="s">
        <v>611</v>
      </c>
      <c r="I59" s="77" t="s">
        <v>650</v>
      </c>
      <c r="J59" s="77" t="s">
        <v>745</v>
      </c>
    </row>
    <row r="60" spans="1:10" ht="14.4" thickBot="1" x14ac:dyDescent="0.3">
      <c r="A60" s="78" t="s">
        <v>744</v>
      </c>
      <c r="B60" s="79" t="s">
        <v>393</v>
      </c>
      <c r="C60" s="77" t="s">
        <v>727</v>
      </c>
      <c r="D60" s="77" t="s">
        <v>726</v>
      </c>
      <c r="E60" s="77" t="s">
        <v>725</v>
      </c>
      <c r="F60" s="77" t="s">
        <v>731</v>
      </c>
      <c r="G60" s="77" t="s">
        <v>606</v>
      </c>
      <c r="H60" s="77" t="s">
        <v>611</v>
      </c>
      <c r="I60" s="77" t="s">
        <v>591</v>
      </c>
      <c r="J60" s="77" t="s">
        <v>743</v>
      </c>
    </row>
    <row r="61" spans="1:10" ht="14.4" thickBot="1" x14ac:dyDescent="0.3">
      <c r="A61" s="78" t="s">
        <v>742</v>
      </c>
      <c r="B61" s="79" t="s">
        <v>393</v>
      </c>
      <c r="C61" s="77" t="s">
        <v>727</v>
      </c>
      <c r="D61" s="77" t="s">
        <v>726</v>
      </c>
      <c r="E61" s="77" t="s">
        <v>725</v>
      </c>
      <c r="F61" s="77" t="s">
        <v>585</v>
      </c>
      <c r="G61" s="77" t="s">
        <v>740</v>
      </c>
      <c r="H61" s="77" t="s">
        <v>611</v>
      </c>
      <c r="I61" s="77" t="s">
        <v>583</v>
      </c>
      <c r="J61" s="77" t="s">
        <v>739</v>
      </c>
    </row>
    <row r="62" spans="1:10" ht="14.4" thickBot="1" x14ac:dyDescent="0.3">
      <c r="A62" s="78" t="s">
        <v>741</v>
      </c>
      <c r="B62" s="79" t="s">
        <v>393</v>
      </c>
      <c r="C62" s="77" t="s">
        <v>727</v>
      </c>
      <c r="D62" s="77" t="s">
        <v>726</v>
      </c>
      <c r="E62" s="77" t="s">
        <v>725</v>
      </c>
      <c r="F62" s="77" t="s">
        <v>606</v>
      </c>
      <c r="G62" s="77" t="s">
        <v>740</v>
      </c>
      <c r="H62" s="77" t="s">
        <v>611</v>
      </c>
      <c r="I62" s="77" t="s">
        <v>583</v>
      </c>
      <c r="J62" s="77" t="s">
        <v>739</v>
      </c>
    </row>
    <row r="63" spans="1:10" ht="14.4" thickBot="1" x14ac:dyDescent="0.3">
      <c r="A63" s="78" t="s">
        <v>738</v>
      </c>
      <c r="B63" s="79" t="s">
        <v>393</v>
      </c>
      <c r="C63" s="77" t="s">
        <v>737</v>
      </c>
      <c r="D63" s="77" t="s">
        <v>736</v>
      </c>
      <c r="E63" s="77" t="s">
        <v>725</v>
      </c>
      <c r="F63" s="77" t="s">
        <v>731</v>
      </c>
      <c r="G63" s="77" t="s">
        <v>606</v>
      </c>
      <c r="H63" s="77" t="s">
        <v>611</v>
      </c>
      <c r="I63" s="77" t="s">
        <v>650</v>
      </c>
      <c r="J63" s="77" t="s">
        <v>582</v>
      </c>
    </row>
    <row r="64" spans="1:10" ht="14.4" thickBot="1" x14ac:dyDescent="0.3">
      <c r="A64" s="78" t="s">
        <v>735</v>
      </c>
      <c r="B64" s="79" t="s">
        <v>393</v>
      </c>
      <c r="C64" s="77" t="s">
        <v>734</v>
      </c>
      <c r="D64" s="77" t="s">
        <v>726</v>
      </c>
      <c r="E64" s="77" t="s">
        <v>725</v>
      </c>
      <c r="F64" s="77" t="s">
        <v>731</v>
      </c>
      <c r="G64" s="77" t="s">
        <v>606</v>
      </c>
      <c r="H64" s="77" t="s">
        <v>611</v>
      </c>
      <c r="I64" s="77" t="s">
        <v>679</v>
      </c>
      <c r="J64" s="77" t="s">
        <v>733</v>
      </c>
    </row>
    <row r="65" spans="1:10" ht="41.1" customHeight="1" thickBot="1" x14ac:dyDescent="0.3">
      <c r="A65" s="78" t="s">
        <v>732</v>
      </c>
      <c r="B65" s="79" t="s">
        <v>393</v>
      </c>
      <c r="C65" s="77" t="s">
        <v>727</v>
      </c>
      <c r="D65" s="77" t="s">
        <v>726</v>
      </c>
      <c r="E65" s="77" t="s">
        <v>725</v>
      </c>
      <c r="F65" s="77" t="s">
        <v>731</v>
      </c>
      <c r="G65" s="77" t="s">
        <v>730</v>
      </c>
      <c r="H65" s="77" t="s">
        <v>611</v>
      </c>
      <c r="I65" s="77" t="s">
        <v>583</v>
      </c>
      <c r="J65" s="77" t="s">
        <v>729</v>
      </c>
    </row>
    <row r="66" spans="1:10" ht="14.4" thickBot="1" x14ac:dyDescent="0.3">
      <c r="A66" s="78" t="s">
        <v>728</v>
      </c>
      <c r="B66" s="79" t="s">
        <v>393</v>
      </c>
      <c r="C66" s="77" t="s">
        <v>727</v>
      </c>
      <c r="D66" s="77" t="s">
        <v>726</v>
      </c>
      <c r="E66" s="77" t="s">
        <v>725</v>
      </c>
      <c r="F66" s="77" t="s">
        <v>585</v>
      </c>
      <c r="G66" s="77" t="s">
        <v>724</v>
      </c>
      <c r="H66" s="77" t="s">
        <v>584</v>
      </c>
      <c r="I66" s="77" t="s">
        <v>583</v>
      </c>
      <c r="J66" s="77" t="s">
        <v>723</v>
      </c>
    </row>
    <row r="67" spans="1:10" ht="27.9" customHeight="1" thickBot="1" x14ac:dyDescent="0.3">
      <c r="A67" s="78" t="s">
        <v>722</v>
      </c>
      <c r="B67" s="79" t="s">
        <v>393</v>
      </c>
      <c r="C67" s="79" t="s">
        <v>721</v>
      </c>
      <c r="D67" s="79" t="s">
        <v>611</v>
      </c>
      <c r="E67" s="79" t="s">
        <v>586</v>
      </c>
      <c r="F67" s="79" t="s">
        <v>675</v>
      </c>
      <c r="G67" s="79" t="s">
        <v>703</v>
      </c>
      <c r="H67" s="79" t="s">
        <v>611</v>
      </c>
      <c r="I67" s="79" t="s">
        <v>583</v>
      </c>
      <c r="J67" s="79" t="s">
        <v>720</v>
      </c>
    </row>
    <row r="68" spans="1:10" ht="14.4" thickBot="1" x14ac:dyDescent="0.3">
      <c r="A68" s="78" t="s">
        <v>719</v>
      </c>
      <c r="B68" s="79" t="s">
        <v>393</v>
      </c>
      <c r="C68" s="77" t="s">
        <v>658</v>
      </c>
      <c r="D68" s="77" t="s">
        <v>653</v>
      </c>
      <c r="E68" s="77" t="s">
        <v>586</v>
      </c>
      <c r="F68" s="77" t="s">
        <v>675</v>
      </c>
      <c r="G68" s="77" t="s">
        <v>703</v>
      </c>
      <c r="H68" s="77" t="s">
        <v>696</v>
      </c>
      <c r="I68" s="77" t="s">
        <v>583</v>
      </c>
      <c r="J68" s="77" t="s">
        <v>681</v>
      </c>
    </row>
    <row r="69" spans="1:10" ht="14.4" thickBot="1" x14ac:dyDescent="0.3">
      <c r="A69" s="78" t="s">
        <v>718</v>
      </c>
      <c r="B69" s="79" t="s">
        <v>393</v>
      </c>
      <c r="C69" s="77" t="s">
        <v>717</v>
      </c>
      <c r="D69" s="77" t="s">
        <v>651</v>
      </c>
      <c r="E69" s="77" t="s">
        <v>586</v>
      </c>
      <c r="F69" s="77" t="s">
        <v>585</v>
      </c>
      <c r="G69" s="77" t="s">
        <v>716</v>
      </c>
      <c r="H69" s="77" t="s">
        <v>664</v>
      </c>
      <c r="I69" s="77" t="s">
        <v>583</v>
      </c>
      <c r="J69" s="77" t="s">
        <v>715</v>
      </c>
    </row>
    <row r="70" spans="1:10" ht="14.4" thickBot="1" x14ac:dyDescent="0.3">
      <c r="A70" s="78" t="s">
        <v>714</v>
      </c>
      <c r="B70" s="79" t="s">
        <v>393</v>
      </c>
      <c r="C70" s="77" t="s">
        <v>654</v>
      </c>
      <c r="D70" s="77" t="s">
        <v>653</v>
      </c>
      <c r="E70" s="77" t="s">
        <v>586</v>
      </c>
      <c r="F70" s="77" t="s">
        <v>708</v>
      </c>
      <c r="G70" s="77" t="s">
        <v>641</v>
      </c>
      <c r="H70" s="77" t="s">
        <v>696</v>
      </c>
      <c r="I70" s="77" t="s">
        <v>583</v>
      </c>
      <c r="J70" s="77" t="s">
        <v>713</v>
      </c>
    </row>
    <row r="71" spans="1:10" ht="14.4" thickBot="1" x14ac:dyDescent="0.3">
      <c r="A71" s="78" t="s">
        <v>712</v>
      </c>
      <c r="B71" s="79" t="s">
        <v>393</v>
      </c>
      <c r="C71" s="77" t="s">
        <v>658</v>
      </c>
      <c r="D71" s="77" t="s">
        <v>653</v>
      </c>
      <c r="E71" s="77" t="s">
        <v>586</v>
      </c>
      <c r="F71" s="77" t="s">
        <v>708</v>
      </c>
      <c r="G71" s="77" t="s">
        <v>641</v>
      </c>
      <c r="H71" s="77" t="s">
        <v>584</v>
      </c>
      <c r="I71" s="77" t="s">
        <v>583</v>
      </c>
      <c r="J71" s="77" t="s">
        <v>711</v>
      </c>
    </row>
    <row r="72" spans="1:10" ht="14.4" thickBot="1" x14ac:dyDescent="0.3">
      <c r="A72" s="78" t="s">
        <v>710</v>
      </c>
      <c r="B72" s="79" t="s">
        <v>393</v>
      </c>
      <c r="C72" s="77" t="s">
        <v>658</v>
      </c>
      <c r="D72" s="77" t="s">
        <v>653</v>
      </c>
      <c r="E72" s="77" t="s">
        <v>586</v>
      </c>
      <c r="F72" s="77" t="s">
        <v>708</v>
      </c>
      <c r="G72" s="77" t="s">
        <v>703</v>
      </c>
      <c r="H72" s="77" t="s">
        <v>696</v>
      </c>
      <c r="I72" s="77" t="s">
        <v>583</v>
      </c>
      <c r="J72" s="77" t="s">
        <v>582</v>
      </c>
    </row>
    <row r="73" spans="1:10" ht="14.4" thickBot="1" x14ac:dyDescent="0.3">
      <c r="A73" s="78" t="s">
        <v>709</v>
      </c>
      <c r="B73" s="79" t="s">
        <v>393</v>
      </c>
      <c r="C73" s="77" t="s">
        <v>658</v>
      </c>
      <c r="D73" s="77" t="s">
        <v>676</v>
      </c>
      <c r="E73" s="77" t="s">
        <v>586</v>
      </c>
      <c r="F73" s="77" t="s">
        <v>708</v>
      </c>
      <c r="G73" s="77" t="s">
        <v>703</v>
      </c>
      <c r="H73" s="77" t="s">
        <v>696</v>
      </c>
      <c r="I73" s="77" t="s">
        <v>583</v>
      </c>
      <c r="J73" s="77" t="s">
        <v>582</v>
      </c>
    </row>
    <row r="74" spans="1:10" ht="15.45" customHeight="1" thickBot="1" x14ac:dyDescent="0.3">
      <c r="A74" s="78" t="s">
        <v>707</v>
      </c>
      <c r="B74" s="79" t="s">
        <v>393</v>
      </c>
      <c r="C74" s="77" t="s">
        <v>658</v>
      </c>
      <c r="D74" s="77" t="s">
        <v>653</v>
      </c>
      <c r="E74" s="77" t="s">
        <v>586</v>
      </c>
      <c r="F74" s="77" t="s">
        <v>675</v>
      </c>
      <c r="G74" s="77" t="s">
        <v>703</v>
      </c>
      <c r="H74" s="77" t="s">
        <v>597</v>
      </c>
      <c r="I74" s="77" t="s">
        <v>583</v>
      </c>
      <c r="J74" s="77" t="s">
        <v>706</v>
      </c>
    </row>
    <row r="75" spans="1:10" ht="14.4" thickBot="1" x14ac:dyDescent="0.3">
      <c r="A75" s="78" t="s">
        <v>705</v>
      </c>
      <c r="B75" s="79" t="s">
        <v>393</v>
      </c>
      <c r="C75" s="77" t="s">
        <v>658</v>
      </c>
      <c r="D75" s="77" t="s">
        <v>653</v>
      </c>
      <c r="E75" s="77" t="s">
        <v>586</v>
      </c>
      <c r="F75" s="77" t="s">
        <v>704</v>
      </c>
      <c r="G75" s="77" t="s">
        <v>703</v>
      </c>
      <c r="H75" s="77" t="s">
        <v>597</v>
      </c>
      <c r="I75" s="77" t="s">
        <v>583</v>
      </c>
      <c r="J75" s="77" t="s">
        <v>702</v>
      </c>
    </row>
    <row r="76" spans="1:10" ht="41.1" customHeight="1" thickBot="1" x14ac:dyDescent="0.3">
      <c r="A76" s="78" t="s">
        <v>701</v>
      </c>
      <c r="B76" s="79" t="s">
        <v>684</v>
      </c>
      <c r="C76" s="79" t="s">
        <v>683</v>
      </c>
      <c r="D76" s="79" t="s">
        <v>641</v>
      </c>
      <c r="E76" s="79" t="s">
        <v>586</v>
      </c>
      <c r="F76" s="79" t="s">
        <v>675</v>
      </c>
      <c r="G76" s="79" t="s">
        <v>700</v>
      </c>
      <c r="H76" s="79" t="s">
        <v>664</v>
      </c>
      <c r="I76" s="79" t="s">
        <v>650</v>
      </c>
      <c r="J76" s="79" t="s">
        <v>699</v>
      </c>
    </row>
    <row r="77" spans="1:10" ht="14.4" thickBot="1" x14ac:dyDescent="0.3">
      <c r="A77" s="78" t="s">
        <v>698</v>
      </c>
      <c r="B77" s="79" t="s">
        <v>684</v>
      </c>
      <c r="C77" s="77" t="s">
        <v>683</v>
      </c>
      <c r="D77" s="77" t="s">
        <v>641</v>
      </c>
      <c r="E77" s="77" t="s">
        <v>586</v>
      </c>
      <c r="F77" s="77" t="s">
        <v>675</v>
      </c>
      <c r="G77" s="77" t="s">
        <v>697</v>
      </c>
      <c r="H77" s="77" t="s">
        <v>696</v>
      </c>
      <c r="I77" s="77" t="s">
        <v>583</v>
      </c>
      <c r="J77" s="77" t="s">
        <v>582</v>
      </c>
    </row>
    <row r="78" spans="1:10" ht="14.4" thickBot="1" x14ac:dyDescent="0.3">
      <c r="A78" s="78" t="s">
        <v>695</v>
      </c>
      <c r="B78" s="79" t="s">
        <v>684</v>
      </c>
      <c r="C78" s="77" t="s">
        <v>683</v>
      </c>
      <c r="D78" s="77" t="s">
        <v>691</v>
      </c>
      <c r="E78" s="77" t="s">
        <v>586</v>
      </c>
      <c r="F78" s="77" t="s">
        <v>690</v>
      </c>
      <c r="G78" s="77" t="s">
        <v>682</v>
      </c>
      <c r="H78" s="77" t="s">
        <v>664</v>
      </c>
      <c r="I78" s="77" t="s">
        <v>583</v>
      </c>
      <c r="J78" s="77" t="s">
        <v>694</v>
      </c>
    </row>
    <row r="79" spans="1:10" ht="14.4" thickBot="1" x14ac:dyDescent="0.3">
      <c r="A79" s="78" t="s">
        <v>693</v>
      </c>
      <c r="B79" s="79" t="s">
        <v>684</v>
      </c>
      <c r="C79" s="77" t="s">
        <v>692</v>
      </c>
      <c r="D79" s="77" t="s">
        <v>691</v>
      </c>
      <c r="E79" s="77" t="s">
        <v>586</v>
      </c>
      <c r="F79" s="77" t="s">
        <v>690</v>
      </c>
      <c r="G79" s="77" t="s">
        <v>641</v>
      </c>
      <c r="H79" s="77" t="s">
        <v>664</v>
      </c>
      <c r="I79" s="77" t="s">
        <v>583</v>
      </c>
      <c r="J79" s="77" t="s">
        <v>582</v>
      </c>
    </row>
    <row r="80" spans="1:10" ht="27.9" customHeight="1" thickBot="1" x14ac:dyDescent="0.3">
      <c r="A80" s="78" t="s">
        <v>689</v>
      </c>
      <c r="B80" s="79" t="s">
        <v>684</v>
      </c>
      <c r="C80" s="77" t="s">
        <v>688</v>
      </c>
      <c r="D80" s="77" t="s">
        <v>641</v>
      </c>
      <c r="E80" s="77" t="s">
        <v>586</v>
      </c>
      <c r="F80" s="77" t="s">
        <v>669</v>
      </c>
      <c r="G80" s="77" t="s">
        <v>687</v>
      </c>
      <c r="H80" s="77" t="s">
        <v>664</v>
      </c>
      <c r="I80" s="77" t="s">
        <v>650</v>
      </c>
      <c r="J80" s="77" t="s">
        <v>686</v>
      </c>
    </row>
    <row r="81" spans="1:10" ht="14.4" thickBot="1" x14ac:dyDescent="0.3">
      <c r="A81" s="78" t="s">
        <v>685</v>
      </c>
      <c r="B81" s="79" t="s">
        <v>684</v>
      </c>
      <c r="C81" s="77" t="s">
        <v>683</v>
      </c>
      <c r="D81" s="77" t="s">
        <v>641</v>
      </c>
      <c r="E81" s="77" t="s">
        <v>586</v>
      </c>
      <c r="F81" s="77" t="s">
        <v>675</v>
      </c>
      <c r="G81" s="77" t="s">
        <v>682</v>
      </c>
      <c r="H81" s="77" t="s">
        <v>584</v>
      </c>
      <c r="I81" s="77" t="s">
        <v>583</v>
      </c>
      <c r="J81" s="77" t="s">
        <v>681</v>
      </c>
    </row>
    <row r="82" spans="1:10" ht="27.9" customHeight="1" thickBot="1" x14ac:dyDescent="0.3">
      <c r="A82" s="78" t="s">
        <v>680</v>
      </c>
      <c r="B82" s="79" t="s">
        <v>655</v>
      </c>
      <c r="C82" s="79" t="s">
        <v>654</v>
      </c>
      <c r="D82" s="79" t="s">
        <v>611</v>
      </c>
      <c r="E82" s="79" t="s">
        <v>586</v>
      </c>
      <c r="F82" s="79" t="s">
        <v>652</v>
      </c>
      <c r="G82" s="79" t="s">
        <v>661</v>
      </c>
      <c r="H82" s="79" t="s">
        <v>664</v>
      </c>
      <c r="I82" s="79" t="s">
        <v>679</v>
      </c>
      <c r="J82" s="79" t="s">
        <v>678</v>
      </c>
    </row>
    <row r="83" spans="1:10" ht="14.4" thickBot="1" x14ac:dyDescent="0.3">
      <c r="A83" s="78" t="s">
        <v>677</v>
      </c>
      <c r="B83" s="79" t="s">
        <v>655</v>
      </c>
      <c r="C83" s="77" t="s">
        <v>654</v>
      </c>
      <c r="D83" s="77" t="s">
        <v>676</v>
      </c>
      <c r="E83" s="77" t="s">
        <v>586</v>
      </c>
      <c r="F83" s="77" t="s">
        <v>675</v>
      </c>
      <c r="G83" s="77" t="s">
        <v>641</v>
      </c>
      <c r="H83" s="77" t="s">
        <v>611</v>
      </c>
      <c r="I83" s="77" t="s">
        <v>650</v>
      </c>
      <c r="J83" s="77" t="s">
        <v>674</v>
      </c>
    </row>
    <row r="84" spans="1:10" ht="14.4" thickBot="1" x14ac:dyDescent="0.3">
      <c r="A84" s="78" t="s">
        <v>673</v>
      </c>
      <c r="B84" s="79" t="s">
        <v>655</v>
      </c>
      <c r="C84" s="77" t="s">
        <v>654</v>
      </c>
      <c r="D84" s="77" t="s">
        <v>672</v>
      </c>
      <c r="E84" s="77" t="s">
        <v>586</v>
      </c>
      <c r="F84" s="77" t="s">
        <v>652</v>
      </c>
      <c r="G84" s="77" t="s">
        <v>651</v>
      </c>
      <c r="H84" s="77" t="s">
        <v>664</v>
      </c>
      <c r="I84" s="77" t="s">
        <v>650</v>
      </c>
      <c r="J84" s="77" t="s">
        <v>671</v>
      </c>
    </row>
    <row r="85" spans="1:10" ht="14.4" thickBot="1" x14ac:dyDescent="0.3">
      <c r="A85" s="78" t="s">
        <v>670</v>
      </c>
      <c r="B85" s="79" t="s">
        <v>655</v>
      </c>
      <c r="C85" s="77" t="s">
        <v>654</v>
      </c>
      <c r="D85" s="77" t="s">
        <v>653</v>
      </c>
      <c r="E85" s="77" t="s">
        <v>586</v>
      </c>
      <c r="F85" s="77" t="s">
        <v>669</v>
      </c>
      <c r="G85" s="77" t="s">
        <v>668</v>
      </c>
      <c r="H85" s="77" t="s">
        <v>664</v>
      </c>
      <c r="I85" s="77" t="s">
        <v>650</v>
      </c>
      <c r="J85" s="77" t="s">
        <v>667</v>
      </c>
    </row>
    <row r="86" spans="1:10" ht="14.4" thickBot="1" x14ac:dyDescent="0.3">
      <c r="A86" s="78" t="s">
        <v>666</v>
      </c>
      <c r="B86" s="79" t="s">
        <v>655</v>
      </c>
      <c r="C86" s="77" t="s">
        <v>654</v>
      </c>
      <c r="D86" s="77" t="s">
        <v>653</v>
      </c>
      <c r="E86" s="77" t="s">
        <v>586</v>
      </c>
      <c r="F86" s="77" t="s">
        <v>652</v>
      </c>
      <c r="G86" s="77" t="s">
        <v>665</v>
      </c>
      <c r="H86" s="77" t="s">
        <v>664</v>
      </c>
      <c r="I86" s="77" t="s">
        <v>650</v>
      </c>
      <c r="J86" s="77" t="s">
        <v>663</v>
      </c>
    </row>
    <row r="87" spans="1:10" ht="14.4" thickBot="1" x14ac:dyDescent="0.3">
      <c r="A87" s="78" t="s">
        <v>662</v>
      </c>
      <c r="B87" s="79" t="s">
        <v>655</v>
      </c>
      <c r="C87" s="77" t="s">
        <v>654</v>
      </c>
      <c r="D87" s="77" t="s">
        <v>661</v>
      </c>
      <c r="E87" s="77" t="s">
        <v>586</v>
      </c>
      <c r="F87" s="77" t="s">
        <v>652</v>
      </c>
      <c r="G87" s="77" t="s">
        <v>660</v>
      </c>
      <c r="H87" s="77" t="s">
        <v>584</v>
      </c>
      <c r="I87" s="77" t="s">
        <v>583</v>
      </c>
      <c r="J87" s="77" t="s">
        <v>582</v>
      </c>
    </row>
    <row r="88" spans="1:10" ht="27.9" customHeight="1" thickBot="1" x14ac:dyDescent="0.3">
      <c r="A88" s="78" t="s">
        <v>659</v>
      </c>
      <c r="B88" s="79" t="s">
        <v>655</v>
      </c>
      <c r="C88" s="77" t="s">
        <v>658</v>
      </c>
      <c r="D88" s="77" t="s">
        <v>653</v>
      </c>
      <c r="E88" s="77" t="s">
        <v>586</v>
      </c>
      <c r="F88" s="77" t="s">
        <v>652</v>
      </c>
      <c r="G88" s="77" t="s">
        <v>657</v>
      </c>
      <c r="H88" s="77" t="s">
        <v>597</v>
      </c>
      <c r="I88" s="77" t="s">
        <v>583</v>
      </c>
      <c r="J88" s="77" t="s">
        <v>582</v>
      </c>
    </row>
    <row r="89" spans="1:10" ht="14.4" thickBot="1" x14ac:dyDescent="0.3">
      <c r="A89" s="78" t="s">
        <v>656</v>
      </c>
      <c r="B89" s="79" t="s">
        <v>655</v>
      </c>
      <c r="C89" s="77" t="s">
        <v>654</v>
      </c>
      <c r="D89" s="77" t="s">
        <v>653</v>
      </c>
      <c r="E89" s="77" t="s">
        <v>586</v>
      </c>
      <c r="F89" s="77" t="s">
        <v>652</v>
      </c>
      <c r="G89" s="77" t="s">
        <v>651</v>
      </c>
      <c r="H89" s="77" t="s">
        <v>597</v>
      </c>
      <c r="I89" s="77" t="s">
        <v>650</v>
      </c>
      <c r="J89" s="77" t="s">
        <v>582</v>
      </c>
    </row>
    <row r="90" spans="1:10" ht="14.4" thickBot="1" x14ac:dyDescent="0.3">
      <c r="A90" s="78" t="s">
        <v>649</v>
      </c>
      <c r="B90" s="79" t="s">
        <v>626</v>
      </c>
      <c r="C90" s="79" t="s">
        <v>595</v>
      </c>
      <c r="D90" s="79" t="s">
        <v>648</v>
      </c>
      <c r="E90" s="79" t="s">
        <v>586</v>
      </c>
      <c r="F90" s="79" t="s">
        <v>623</v>
      </c>
      <c r="G90" s="79" t="s">
        <v>598</v>
      </c>
      <c r="H90" s="79" t="s">
        <v>631</v>
      </c>
      <c r="I90" s="79" t="s">
        <v>591</v>
      </c>
      <c r="J90" s="79" t="s">
        <v>582</v>
      </c>
    </row>
    <row r="91" spans="1:10" ht="14.4" thickBot="1" x14ac:dyDescent="0.3">
      <c r="A91" s="78" t="s">
        <v>647</v>
      </c>
      <c r="B91" s="77" t="s">
        <v>81</v>
      </c>
      <c r="C91" s="77" t="s">
        <v>646</v>
      </c>
      <c r="D91" s="77" t="s">
        <v>645</v>
      </c>
      <c r="E91" s="77" t="s">
        <v>586</v>
      </c>
      <c r="F91" s="77" t="s">
        <v>623</v>
      </c>
      <c r="G91" s="77" t="s">
        <v>585</v>
      </c>
      <c r="H91" s="77" t="s">
        <v>611</v>
      </c>
      <c r="I91" s="77" t="s">
        <v>591</v>
      </c>
      <c r="J91" s="77" t="s">
        <v>644</v>
      </c>
    </row>
    <row r="92" spans="1:10" ht="14.4" thickBot="1" x14ac:dyDescent="0.3">
      <c r="A92" s="78" t="s">
        <v>643</v>
      </c>
      <c r="B92" s="77" t="s">
        <v>589</v>
      </c>
      <c r="C92" s="77" t="s">
        <v>642</v>
      </c>
      <c r="D92" s="77" t="s">
        <v>641</v>
      </c>
      <c r="E92" s="77" t="s">
        <v>586</v>
      </c>
      <c r="F92" s="77" t="s">
        <v>640</v>
      </c>
      <c r="G92" s="77" t="s">
        <v>585</v>
      </c>
      <c r="H92" s="77" t="s">
        <v>597</v>
      </c>
      <c r="I92" s="77" t="s">
        <v>583</v>
      </c>
      <c r="J92" s="77" t="s">
        <v>582</v>
      </c>
    </row>
    <row r="93" spans="1:10" ht="14.4" thickBot="1" x14ac:dyDescent="0.3">
      <c r="A93" s="78" t="s">
        <v>639</v>
      </c>
      <c r="B93" s="77" t="s">
        <v>626</v>
      </c>
      <c r="C93" s="77" t="s">
        <v>625</v>
      </c>
      <c r="D93" s="77" t="s">
        <v>624</v>
      </c>
      <c r="E93" s="77" t="s">
        <v>586</v>
      </c>
      <c r="F93" s="77" t="s">
        <v>623</v>
      </c>
      <c r="G93" s="77" t="s">
        <v>598</v>
      </c>
      <c r="H93" s="77" t="s">
        <v>597</v>
      </c>
      <c r="I93" s="77" t="s">
        <v>591</v>
      </c>
      <c r="J93" s="77" t="s">
        <v>638</v>
      </c>
    </row>
    <row r="94" spans="1:10" ht="14.4" thickBot="1" x14ac:dyDescent="0.3">
      <c r="A94" s="78" t="s">
        <v>637</v>
      </c>
      <c r="B94" s="77" t="s">
        <v>636</v>
      </c>
      <c r="C94" s="77" t="s">
        <v>635</v>
      </c>
      <c r="D94" s="77" t="s">
        <v>582</v>
      </c>
      <c r="E94" s="77" t="s">
        <v>586</v>
      </c>
      <c r="F94" s="77" t="s">
        <v>582</v>
      </c>
      <c r="G94" s="77" t="s">
        <v>598</v>
      </c>
      <c r="H94" s="77" t="s">
        <v>611</v>
      </c>
      <c r="I94" s="77" t="s">
        <v>591</v>
      </c>
      <c r="J94" s="77" t="s">
        <v>634</v>
      </c>
    </row>
    <row r="95" spans="1:10" ht="14.4" thickBot="1" x14ac:dyDescent="0.3">
      <c r="A95" s="78" t="s">
        <v>633</v>
      </c>
      <c r="B95" s="77" t="s">
        <v>601</v>
      </c>
      <c r="C95" s="77" t="s">
        <v>632</v>
      </c>
      <c r="D95" s="77" t="s">
        <v>599</v>
      </c>
      <c r="E95" s="77" t="s">
        <v>586</v>
      </c>
      <c r="F95" s="77" t="s">
        <v>628</v>
      </c>
      <c r="G95" s="77" t="s">
        <v>598</v>
      </c>
      <c r="H95" s="77" t="s">
        <v>631</v>
      </c>
      <c r="I95" s="77" t="s">
        <v>591</v>
      </c>
      <c r="J95" s="77" t="s">
        <v>582</v>
      </c>
    </row>
    <row r="96" spans="1:10" ht="14.4" thickBot="1" x14ac:dyDescent="0.3">
      <c r="A96" s="78" t="s">
        <v>630</v>
      </c>
      <c r="B96" s="77" t="s">
        <v>601</v>
      </c>
      <c r="C96" s="77" t="s">
        <v>629</v>
      </c>
      <c r="D96" s="77" t="s">
        <v>599</v>
      </c>
      <c r="E96" s="77" t="s">
        <v>586</v>
      </c>
      <c r="F96" s="77" t="s">
        <v>628</v>
      </c>
      <c r="G96" s="77" t="s">
        <v>598</v>
      </c>
      <c r="H96" s="77" t="s">
        <v>597</v>
      </c>
      <c r="I96" s="77" t="s">
        <v>583</v>
      </c>
      <c r="J96" s="77" t="s">
        <v>582</v>
      </c>
    </row>
    <row r="97" spans="1:10" ht="14.4" thickBot="1" x14ac:dyDescent="0.3">
      <c r="A97" s="78" t="s">
        <v>627</v>
      </c>
      <c r="B97" s="77" t="s">
        <v>626</v>
      </c>
      <c r="C97" s="77" t="s">
        <v>625</v>
      </c>
      <c r="D97" s="77" t="s">
        <v>624</v>
      </c>
      <c r="E97" s="77" t="s">
        <v>586</v>
      </c>
      <c r="F97" s="77" t="s">
        <v>623</v>
      </c>
      <c r="G97" s="77" t="s">
        <v>598</v>
      </c>
      <c r="H97" s="77" t="s">
        <v>597</v>
      </c>
      <c r="I97" s="77" t="s">
        <v>591</v>
      </c>
      <c r="J97" s="77" t="s">
        <v>582</v>
      </c>
    </row>
    <row r="98" spans="1:10" ht="14.4" thickBot="1" x14ac:dyDescent="0.3">
      <c r="A98" s="78" t="s">
        <v>622</v>
      </c>
      <c r="B98" s="77" t="s">
        <v>609</v>
      </c>
      <c r="C98" s="77" t="s">
        <v>621</v>
      </c>
      <c r="D98" s="77" t="s">
        <v>618</v>
      </c>
      <c r="E98" s="77" t="s">
        <v>586</v>
      </c>
      <c r="F98" s="77" t="s">
        <v>606</v>
      </c>
      <c r="G98" s="77" t="s">
        <v>612</v>
      </c>
      <c r="H98" s="77" t="s">
        <v>611</v>
      </c>
      <c r="I98" s="77" t="s">
        <v>583</v>
      </c>
      <c r="J98" s="77" t="s">
        <v>582</v>
      </c>
    </row>
    <row r="99" spans="1:10" ht="14.4" thickBot="1" x14ac:dyDescent="0.3">
      <c r="A99" s="78" t="s">
        <v>620</v>
      </c>
      <c r="B99" s="77" t="s">
        <v>609</v>
      </c>
      <c r="C99" s="77" t="s">
        <v>619</v>
      </c>
      <c r="D99" s="77" t="s">
        <v>618</v>
      </c>
      <c r="E99" s="77" t="s">
        <v>586</v>
      </c>
      <c r="F99" s="77" t="s">
        <v>617</v>
      </c>
      <c r="G99" s="77" t="s">
        <v>612</v>
      </c>
      <c r="H99" s="77" t="s">
        <v>597</v>
      </c>
      <c r="I99" s="77" t="s">
        <v>591</v>
      </c>
      <c r="J99" s="77" t="s">
        <v>616</v>
      </c>
    </row>
    <row r="100" spans="1:10" ht="14.4" thickBot="1" x14ac:dyDescent="0.3">
      <c r="A100" s="78" t="s">
        <v>615</v>
      </c>
      <c r="B100" s="77" t="s">
        <v>609</v>
      </c>
      <c r="C100" s="77" t="s">
        <v>614</v>
      </c>
      <c r="D100" s="77" t="s">
        <v>613</v>
      </c>
      <c r="E100" s="77" t="s">
        <v>586</v>
      </c>
      <c r="F100" s="77" t="s">
        <v>585</v>
      </c>
      <c r="G100" s="77" t="s">
        <v>612</v>
      </c>
      <c r="H100" s="77" t="s">
        <v>611</v>
      </c>
      <c r="I100" s="77" t="s">
        <v>583</v>
      </c>
      <c r="J100" s="77" t="s">
        <v>582</v>
      </c>
    </row>
    <row r="101" spans="1:10" ht="14.4" thickBot="1" x14ac:dyDescent="0.3">
      <c r="A101" s="78" t="s">
        <v>610</v>
      </c>
      <c r="B101" s="77" t="s">
        <v>609</v>
      </c>
      <c r="C101" s="77" t="s">
        <v>608</v>
      </c>
      <c r="D101" s="77" t="s">
        <v>607</v>
      </c>
      <c r="E101" s="77" t="s">
        <v>586</v>
      </c>
      <c r="F101" s="77" t="s">
        <v>606</v>
      </c>
      <c r="G101" s="77" t="s">
        <v>605</v>
      </c>
      <c r="H101" s="77" t="s">
        <v>584</v>
      </c>
      <c r="I101" s="77" t="s">
        <v>583</v>
      </c>
      <c r="J101" s="77" t="s">
        <v>582</v>
      </c>
    </row>
    <row r="102" spans="1:10" ht="14.4" thickBot="1" x14ac:dyDescent="0.3">
      <c r="A102" s="78" t="s">
        <v>604</v>
      </c>
      <c r="B102" s="77" t="s">
        <v>601</v>
      </c>
      <c r="C102" s="77" t="s">
        <v>603</v>
      </c>
      <c r="D102" s="77" t="s">
        <v>599</v>
      </c>
      <c r="E102" s="77" t="s">
        <v>586</v>
      </c>
      <c r="F102" s="77" t="s">
        <v>599</v>
      </c>
      <c r="G102" s="77" t="s">
        <v>598</v>
      </c>
      <c r="H102" s="77" t="s">
        <v>597</v>
      </c>
      <c r="I102" s="77" t="s">
        <v>591</v>
      </c>
      <c r="J102" s="77" t="s">
        <v>582</v>
      </c>
    </row>
    <row r="103" spans="1:10" ht="14.4" thickBot="1" x14ac:dyDescent="0.3">
      <c r="A103" s="78" t="s">
        <v>602</v>
      </c>
      <c r="B103" s="77" t="s">
        <v>601</v>
      </c>
      <c r="C103" s="77" t="s">
        <v>600</v>
      </c>
      <c r="D103" s="77" t="s">
        <v>599</v>
      </c>
      <c r="E103" s="77" t="s">
        <v>586</v>
      </c>
      <c r="F103" s="77" t="s">
        <v>599</v>
      </c>
      <c r="G103" s="77" t="s">
        <v>598</v>
      </c>
      <c r="H103" s="77" t="s">
        <v>597</v>
      </c>
      <c r="I103" s="77" t="s">
        <v>583</v>
      </c>
      <c r="J103" s="77" t="s">
        <v>582</v>
      </c>
    </row>
    <row r="104" spans="1:10" ht="14.4" thickBot="1" x14ac:dyDescent="0.3">
      <c r="A104" s="78" t="s">
        <v>596</v>
      </c>
      <c r="B104" s="77" t="s">
        <v>596</v>
      </c>
      <c r="C104" s="77" t="s">
        <v>595</v>
      </c>
      <c r="D104" s="77" t="s">
        <v>594</v>
      </c>
      <c r="E104" s="77" t="s">
        <v>586</v>
      </c>
      <c r="F104" s="77" t="s">
        <v>585</v>
      </c>
      <c r="G104" s="77" t="s">
        <v>593</v>
      </c>
      <c r="H104" s="77" t="s">
        <v>592</v>
      </c>
      <c r="I104" s="77" t="s">
        <v>591</v>
      </c>
      <c r="J104" s="77" t="s">
        <v>582</v>
      </c>
    </row>
    <row r="105" spans="1:10" ht="14.4" thickBot="1" x14ac:dyDescent="0.3">
      <c r="A105" s="78" t="s">
        <v>590</v>
      </c>
      <c r="B105" s="77" t="s">
        <v>589</v>
      </c>
      <c r="C105" s="77" t="s">
        <v>588</v>
      </c>
      <c r="D105" s="77" t="s">
        <v>587</v>
      </c>
      <c r="E105" s="77" t="s">
        <v>586</v>
      </c>
      <c r="F105" s="77" t="s">
        <v>585</v>
      </c>
      <c r="G105" s="77" t="s">
        <v>585</v>
      </c>
      <c r="H105" s="77" t="s">
        <v>584</v>
      </c>
      <c r="I105" s="77" t="s">
        <v>583</v>
      </c>
      <c r="J105" s="77" t="s">
        <v>582</v>
      </c>
    </row>
    <row r="106" spans="1:10" x14ac:dyDescent="0.25">
      <c r="A106" s="76"/>
      <c r="B106" s="76"/>
      <c r="C106" s="76"/>
      <c r="D106" s="76"/>
      <c r="E106" s="76"/>
      <c r="F106" s="76"/>
      <c r="G106" s="76"/>
      <c r="H106" s="76"/>
      <c r="I106" s="76"/>
      <c r="J106" s="76"/>
    </row>
    <row r="107" spans="1:10" x14ac:dyDescent="0.25">
      <c r="A107" s="76"/>
      <c r="B107" s="76"/>
      <c r="C107" s="76"/>
      <c r="D107" s="76"/>
      <c r="E107" s="76"/>
      <c r="F107" s="76"/>
      <c r="G107" s="76"/>
      <c r="H107" s="76"/>
      <c r="I107" s="76"/>
      <c r="J107" s="76"/>
    </row>
    <row r="108" spans="1:10" x14ac:dyDescent="0.25">
      <c r="A108" s="76"/>
      <c r="B108" s="76"/>
      <c r="C108" s="76"/>
      <c r="D108" s="76"/>
      <c r="E108" s="76"/>
      <c r="F108" s="76"/>
      <c r="G108" s="76"/>
      <c r="H108" s="76"/>
      <c r="I108" s="76"/>
      <c r="J108" s="76"/>
    </row>
    <row r="109" spans="1:10" x14ac:dyDescent="0.25">
      <c r="A109" s="76"/>
      <c r="B109" s="76"/>
      <c r="C109" s="76"/>
      <c r="D109" s="76"/>
      <c r="E109" s="76"/>
      <c r="F109" s="76"/>
      <c r="G109" s="76"/>
      <c r="H109" s="76"/>
      <c r="I109" s="76"/>
      <c r="J109" s="76"/>
    </row>
    <row r="110" spans="1:10" x14ac:dyDescent="0.25">
      <c r="A110" s="76"/>
      <c r="B110" s="76"/>
      <c r="C110" s="76"/>
      <c r="D110" s="76"/>
      <c r="E110" s="76"/>
      <c r="F110" s="76"/>
      <c r="G110" s="76"/>
      <c r="H110" s="76"/>
      <c r="I110" s="76"/>
      <c r="J110" s="76"/>
    </row>
    <row r="111" spans="1:10" x14ac:dyDescent="0.25">
      <c r="A111" s="76"/>
      <c r="B111" s="76"/>
      <c r="C111" s="76"/>
      <c r="D111" s="76"/>
      <c r="E111" s="76"/>
      <c r="F111" s="76"/>
      <c r="G111" s="76"/>
      <c r="H111" s="76"/>
      <c r="I111" s="76"/>
      <c r="J111" s="76"/>
    </row>
    <row r="112" spans="1:10" x14ac:dyDescent="0.25">
      <c r="A112" s="76"/>
      <c r="B112" s="76"/>
      <c r="C112" s="76"/>
      <c r="D112" s="76"/>
      <c r="E112" s="76"/>
      <c r="F112" s="76"/>
      <c r="G112" s="76"/>
      <c r="H112" s="76"/>
      <c r="I112" s="76"/>
      <c r="J112" s="76"/>
    </row>
    <row r="113" spans="1:10" x14ac:dyDescent="0.25">
      <c r="A113" s="76"/>
      <c r="B113" s="76"/>
      <c r="C113" s="76"/>
      <c r="D113" s="76"/>
      <c r="E113" s="76"/>
      <c r="F113" s="76"/>
      <c r="G113" s="76"/>
      <c r="H113" s="76"/>
      <c r="I113" s="76"/>
      <c r="J113" s="76"/>
    </row>
    <row r="114" spans="1:10" x14ac:dyDescent="0.25">
      <c r="A114" s="76"/>
      <c r="B114" s="76"/>
      <c r="C114" s="76"/>
      <c r="D114" s="76"/>
      <c r="E114" s="76"/>
      <c r="F114" s="76"/>
      <c r="G114" s="76"/>
      <c r="H114" s="76"/>
      <c r="I114" s="76"/>
      <c r="J114" s="76"/>
    </row>
    <row r="115" spans="1:10" x14ac:dyDescent="0.25">
      <c r="A115" s="76"/>
      <c r="B115" s="76"/>
      <c r="C115" s="76"/>
      <c r="D115" s="76"/>
      <c r="E115" s="76"/>
      <c r="F115" s="76"/>
      <c r="G115" s="76"/>
      <c r="H115" s="76"/>
      <c r="I115" s="76"/>
      <c r="J115" s="76"/>
    </row>
    <row r="116" spans="1:10" x14ac:dyDescent="0.25">
      <c r="A116" s="76"/>
      <c r="B116" s="76"/>
      <c r="C116" s="76"/>
      <c r="D116" s="76"/>
      <c r="E116" s="76"/>
      <c r="F116" s="76"/>
      <c r="G116" s="76"/>
      <c r="H116" s="76"/>
      <c r="I116" s="76"/>
      <c r="J116" s="76"/>
    </row>
    <row r="117" spans="1:10" x14ac:dyDescent="0.25">
      <c r="A117" s="76"/>
      <c r="B117" s="76"/>
      <c r="C117" s="76"/>
      <c r="D117" s="76"/>
      <c r="E117" s="76"/>
      <c r="F117" s="76"/>
      <c r="G117" s="76"/>
      <c r="H117" s="76"/>
      <c r="I117" s="76"/>
      <c r="J117" s="76"/>
    </row>
    <row r="118" spans="1:10" x14ac:dyDescent="0.25">
      <c r="A118" s="76"/>
      <c r="B118" s="76"/>
      <c r="C118" s="76"/>
      <c r="D118" s="76"/>
      <c r="E118" s="76"/>
      <c r="F118" s="76"/>
      <c r="G118" s="76"/>
      <c r="H118" s="76"/>
      <c r="I118" s="76"/>
      <c r="J118" s="76"/>
    </row>
    <row r="119" spans="1:10" x14ac:dyDescent="0.25">
      <c r="A119" s="76"/>
      <c r="B119" s="76"/>
      <c r="C119" s="76"/>
      <c r="D119" s="76"/>
      <c r="E119" s="76"/>
      <c r="F119" s="76"/>
      <c r="G119" s="76"/>
      <c r="H119" s="76"/>
      <c r="I119" s="76"/>
      <c r="J119" s="76"/>
    </row>
    <row r="120" spans="1:10" x14ac:dyDescent="0.25">
      <c r="A120" s="76"/>
      <c r="B120" s="76"/>
      <c r="C120" s="76"/>
      <c r="D120" s="76"/>
      <c r="E120" s="76"/>
      <c r="F120" s="76"/>
      <c r="G120" s="76"/>
      <c r="H120" s="76"/>
      <c r="I120" s="76"/>
      <c r="J120" s="76"/>
    </row>
    <row r="121" spans="1:10" x14ac:dyDescent="0.25">
      <c r="A121" s="76"/>
      <c r="B121" s="76"/>
      <c r="C121" s="76"/>
      <c r="D121" s="76"/>
      <c r="E121" s="76"/>
      <c r="F121" s="76"/>
      <c r="G121" s="76"/>
      <c r="H121" s="76"/>
      <c r="I121" s="76"/>
      <c r="J121" s="76"/>
    </row>
    <row r="122" spans="1:10" x14ac:dyDescent="0.25">
      <c r="A122" s="76"/>
      <c r="B122" s="76"/>
      <c r="C122" s="76"/>
      <c r="D122" s="76"/>
      <c r="E122" s="76"/>
      <c r="F122" s="76"/>
      <c r="G122" s="76"/>
      <c r="H122" s="76"/>
      <c r="I122" s="76"/>
      <c r="J122" s="76"/>
    </row>
    <row r="123" spans="1:10" x14ac:dyDescent="0.25">
      <c r="A123" s="76"/>
      <c r="B123" s="76"/>
      <c r="C123" s="76"/>
      <c r="D123" s="76"/>
      <c r="E123" s="76"/>
      <c r="F123" s="76"/>
      <c r="G123" s="76"/>
      <c r="H123" s="76"/>
      <c r="I123" s="76"/>
      <c r="J123" s="76"/>
    </row>
    <row r="124" spans="1:10" x14ac:dyDescent="0.25">
      <c r="A124" s="76"/>
      <c r="B124" s="76"/>
      <c r="C124" s="76"/>
      <c r="D124" s="76"/>
      <c r="E124" s="76"/>
      <c r="F124" s="76"/>
      <c r="G124" s="76"/>
      <c r="H124" s="76"/>
      <c r="I124" s="76"/>
      <c r="J124" s="76"/>
    </row>
    <row r="125" spans="1:10" x14ac:dyDescent="0.25">
      <c r="A125" s="76"/>
      <c r="B125" s="76"/>
      <c r="C125" s="76"/>
      <c r="D125" s="76"/>
      <c r="E125" s="76"/>
      <c r="F125" s="76"/>
      <c r="G125" s="76"/>
      <c r="H125" s="76"/>
      <c r="I125" s="76"/>
      <c r="J125" s="76"/>
    </row>
    <row r="126" spans="1:10" x14ac:dyDescent="0.25">
      <c r="A126" s="76"/>
      <c r="B126" s="76"/>
      <c r="C126" s="76"/>
      <c r="D126" s="76"/>
      <c r="E126" s="76"/>
      <c r="F126" s="76"/>
      <c r="G126" s="76"/>
      <c r="H126" s="76"/>
      <c r="I126" s="76"/>
      <c r="J126" s="76"/>
    </row>
    <row r="127" spans="1:10" x14ac:dyDescent="0.25">
      <c r="A127" s="76"/>
      <c r="B127" s="76"/>
      <c r="C127" s="76"/>
      <c r="D127" s="76"/>
      <c r="E127" s="76"/>
      <c r="F127" s="76"/>
      <c r="G127" s="76"/>
      <c r="H127" s="76"/>
      <c r="I127" s="76"/>
      <c r="J127" s="76"/>
    </row>
    <row r="128" spans="1:10" x14ac:dyDescent="0.25">
      <c r="A128" s="76"/>
      <c r="B128" s="76"/>
      <c r="C128" s="76"/>
      <c r="D128" s="76"/>
      <c r="E128" s="76"/>
      <c r="F128" s="76"/>
      <c r="G128" s="76"/>
      <c r="H128" s="76"/>
      <c r="I128" s="76"/>
      <c r="J128" s="76"/>
    </row>
    <row r="129" spans="1:10" x14ac:dyDescent="0.25">
      <c r="A129" s="76"/>
      <c r="B129" s="76"/>
      <c r="C129" s="76"/>
      <c r="D129" s="76"/>
      <c r="E129" s="76"/>
      <c r="F129" s="76"/>
      <c r="G129" s="76"/>
      <c r="H129" s="76"/>
      <c r="I129" s="76"/>
      <c r="J129" s="76"/>
    </row>
    <row r="130" spans="1:10" x14ac:dyDescent="0.25">
      <c r="A130" s="76"/>
      <c r="B130" s="76"/>
      <c r="C130" s="76"/>
      <c r="D130" s="76"/>
      <c r="E130" s="76"/>
      <c r="F130" s="76"/>
      <c r="G130" s="76"/>
      <c r="H130" s="76"/>
      <c r="I130" s="76"/>
      <c r="J130" s="76"/>
    </row>
    <row r="131" spans="1:10" x14ac:dyDescent="0.25">
      <c r="A131" s="76"/>
      <c r="B131" s="76"/>
      <c r="C131" s="76"/>
      <c r="D131" s="76"/>
      <c r="E131" s="76"/>
      <c r="F131" s="76"/>
      <c r="G131" s="76"/>
      <c r="H131" s="76"/>
      <c r="I131" s="76"/>
      <c r="J131" s="76"/>
    </row>
    <row r="132" spans="1:10" x14ac:dyDescent="0.25">
      <c r="A132" s="76"/>
      <c r="B132" s="76"/>
      <c r="C132" s="76"/>
      <c r="D132" s="76"/>
      <c r="E132" s="76"/>
      <c r="F132" s="76"/>
      <c r="G132" s="76"/>
      <c r="H132" s="76"/>
      <c r="I132" s="76"/>
      <c r="J132" s="76"/>
    </row>
    <row r="133" spans="1:10" x14ac:dyDescent="0.25">
      <c r="A133" s="76"/>
      <c r="B133" s="76"/>
      <c r="C133" s="76"/>
      <c r="D133" s="76"/>
      <c r="E133" s="76"/>
      <c r="F133" s="76"/>
      <c r="G133" s="76"/>
      <c r="H133" s="76"/>
      <c r="I133" s="76"/>
      <c r="J133" s="76"/>
    </row>
    <row r="134" spans="1:10" x14ac:dyDescent="0.25">
      <c r="A134" s="76"/>
      <c r="B134" s="76"/>
      <c r="C134" s="76"/>
      <c r="D134" s="76"/>
      <c r="E134" s="76"/>
      <c r="F134" s="76"/>
      <c r="G134" s="76"/>
      <c r="H134" s="76"/>
      <c r="I134" s="76"/>
      <c r="J134" s="76"/>
    </row>
    <row r="135" spans="1:10" x14ac:dyDescent="0.25">
      <c r="A135" s="76"/>
      <c r="B135" s="76"/>
      <c r="C135" s="76"/>
      <c r="D135" s="76"/>
      <c r="E135" s="76"/>
      <c r="F135" s="76"/>
      <c r="G135" s="76"/>
      <c r="H135" s="76"/>
      <c r="I135" s="76"/>
      <c r="J135" s="76"/>
    </row>
    <row r="136" spans="1:10" x14ac:dyDescent="0.25">
      <c r="A136" s="76"/>
      <c r="B136" s="76"/>
      <c r="C136" s="76"/>
      <c r="D136" s="76"/>
      <c r="E136" s="76"/>
      <c r="F136" s="76"/>
      <c r="G136" s="76"/>
      <c r="H136" s="76"/>
      <c r="I136" s="76"/>
      <c r="J136" s="76"/>
    </row>
    <row r="137" spans="1:10" x14ac:dyDescent="0.25">
      <c r="A137" s="76"/>
      <c r="B137" s="76"/>
      <c r="C137" s="76"/>
      <c r="D137" s="76"/>
      <c r="E137" s="76"/>
      <c r="F137" s="76"/>
      <c r="G137" s="76"/>
      <c r="H137" s="76"/>
      <c r="I137" s="76"/>
      <c r="J137" s="76"/>
    </row>
    <row r="138" spans="1:10" x14ac:dyDescent="0.25">
      <c r="A138" s="76"/>
      <c r="B138" s="76"/>
      <c r="C138" s="76"/>
      <c r="D138" s="76"/>
      <c r="E138" s="76"/>
      <c r="F138" s="76"/>
      <c r="G138" s="76"/>
      <c r="H138" s="76"/>
      <c r="I138" s="76"/>
      <c r="J138" s="76"/>
    </row>
    <row r="139" spans="1:10" x14ac:dyDescent="0.25">
      <c r="A139" s="76"/>
      <c r="B139" s="76"/>
      <c r="C139" s="76"/>
      <c r="D139" s="76"/>
      <c r="E139" s="76"/>
      <c r="F139" s="76"/>
      <c r="G139" s="76"/>
      <c r="H139" s="76"/>
      <c r="I139" s="76"/>
      <c r="J139" s="76"/>
    </row>
    <row r="140" spans="1:10" x14ac:dyDescent="0.25">
      <c r="A140" s="76"/>
      <c r="B140" s="76"/>
      <c r="C140" s="76"/>
      <c r="D140" s="76"/>
      <c r="E140" s="76"/>
      <c r="F140" s="76"/>
      <c r="G140" s="76"/>
      <c r="H140" s="76"/>
      <c r="I140" s="76"/>
      <c r="J140" s="76"/>
    </row>
    <row r="141" spans="1:10" x14ac:dyDescent="0.25">
      <c r="A141" s="76"/>
      <c r="B141" s="76"/>
      <c r="C141" s="76"/>
      <c r="D141" s="76"/>
      <c r="E141" s="76"/>
      <c r="F141" s="76"/>
      <c r="G141" s="76"/>
      <c r="H141" s="76"/>
      <c r="I141" s="76"/>
      <c r="J141" s="76"/>
    </row>
    <row r="142" spans="1:10" x14ac:dyDescent="0.25">
      <c r="A142" s="76"/>
      <c r="B142" s="76"/>
      <c r="C142" s="76"/>
      <c r="D142" s="76"/>
      <c r="E142" s="76"/>
      <c r="F142" s="76"/>
      <c r="G142" s="76"/>
      <c r="H142" s="76"/>
      <c r="I142" s="76"/>
      <c r="J142" s="76"/>
    </row>
    <row r="143" spans="1:10" x14ac:dyDescent="0.25">
      <c r="A143" s="76"/>
      <c r="B143" s="76"/>
      <c r="C143" s="76"/>
      <c r="D143" s="76"/>
      <c r="E143" s="76"/>
      <c r="F143" s="76"/>
      <c r="G143" s="76"/>
      <c r="H143" s="76"/>
      <c r="I143" s="76"/>
      <c r="J143" s="76"/>
    </row>
    <row r="144" spans="1:10" x14ac:dyDescent="0.25">
      <c r="A144" s="76"/>
      <c r="B144" s="76"/>
      <c r="C144" s="76"/>
      <c r="D144" s="76"/>
      <c r="E144" s="76"/>
      <c r="F144" s="76"/>
      <c r="G144" s="76"/>
      <c r="H144" s="76"/>
      <c r="I144" s="76"/>
      <c r="J144" s="76"/>
    </row>
    <row r="145" spans="1:10" x14ac:dyDescent="0.25">
      <c r="A145" s="76"/>
      <c r="B145" s="76"/>
      <c r="C145" s="76"/>
      <c r="D145" s="76"/>
      <c r="E145" s="76"/>
      <c r="F145" s="76"/>
      <c r="G145" s="76"/>
      <c r="H145" s="76"/>
      <c r="I145" s="76"/>
      <c r="J145" s="76"/>
    </row>
    <row r="146" spans="1:10" x14ac:dyDescent="0.25">
      <c r="A146" s="76"/>
      <c r="B146" s="76"/>
      <c r="C146" s="76"/>
      <c r="D146" s="76"/>
      <c r="E146" s="76"/>
      <c r="F146" s="76"/>
      <c r="G146" s="76"/>
      <c r="H146" s="76"/>
      <c r="I146" s="76"/>
      <c r="J146" s="76"/>
    </row>
    <row r="147" spans="1:10" x14ac:dyDescent="0.25">
      <c r="A147" s="76"/>
      <c r="B147" s="76"/>
      <c r="C147" s="76"/>
      <c r="D147" s="76"/>
      <c r="E147" s="76"/>
      <c r="F147" s="76"/>
      <c r="G147" s="76"/>
      <c r="H147" s="76"/>
      <c r="I147" s="76"/>
      <c r="J147" s="76"/>
    </row>
    <row r="148" spans="1:10" x14ac:dyDescent="0.25">
      <c r="A148" s="76"/>
      <c r="B148" s="76"/>
      <c r="C148" s="76"/>
      <c r="D148" s="76"/>
      <c r="E148" s="76"/>
      <c r="F148" s="76"/>
      <c r="G148" s="76"/>
      <c r="H148" s="76"/>
      <c r="I148" s="76"/>
      <c r="J148" s="76"/>
    </row>
    <row r="149" spans="1:10" x14ac:dyDescent="0.25">
      <c r="A149" s="76"/>
      <c r="B149" s="76"/>
      <c r="C149" s="76"/>
      <c r="D149" s="76"/>
      <c r="E149" s="76"/>
      <c r="F149" s="76"/>
      <c r="G149" s="76"/>
      <c r="H149" s="76"/>
      <c r="I149" s="76"/>
      <c r="J149" s="76"/>
    </row>
    <row r="150" spans="1:10" x14ac:dyDescent="0.25">
      <c r="A150" s="76"/>
      <c r="B150" s="76"/>
      <c r="C150" s="76"/>
      <c r="D150" s="76"/>
      <c r="E150" s="76"/>
      <c r="F150" s="76"/>
      <c r="G150" s="76"/>
      <c r="H150" s="76"/>
      <c r="I150" s="76"/>
      <c r="J150" s="76"/>
    </row>
    <row r="151" spans="1:10" x14ac:dyDescent="0.25">
      <c r="A151" s="76"/>
      <c r="B151" s="76"/>
      <c r="C151" s="76"/>
      <c r="D151" s="76"/>
      <c r="E151" s="76"/>
      <c r="F151" s="76"/>
      <c r="G151" s="76"/>
      <c r="H151" s="76"/>
      <c r="I151" s="76"/>
      <c r="J151" s="76"/>
    </row>
    <row r="152" spans="1:10" x14ac:dyDescent="0.25">
      <c r="A152" s="76"/>
      <c r="B152" s="76"/>
      <c r="C152" s="76"/>
      <c r="D152" s="76"/>
      <c r="E152" s="76"/>
      <c r="F152" s="76"/>
      <c r="G152" s="76"/>
      <c r="H152" s="76"/>
      <c r="I152" s="76"/>
      <c r="J152" s="76"/>
    </row>
    <row r="153" spans="1:10" x14ac:dyDescent="0.25">
      <c r="A153" s="76"/>
      <c r="B153" s="76"/>
      <c r="C153" s="76"/>
      <c r="D153" s="76"/>
      <c r="E153" s="76"/>
      <c r="F153" s="76"/>
      <c r="G153" s="76"/>
      <c r="H153" s="76"/>
      <c r="I153" s="76"/>
      <c r="J153" s="76"/>
    </row>
    <row r="154" spans="1:10" x14ac:dyDescent="0.25">
      <c r="A154" s="76"/>
      <c r="B154" s="76"/>
      <c r="C154" s="76"/>
      <c r="D154" s="76"/>
      <c r="E154" s="76"/>
      <c r="F154" s="76"/>
      <c r="G154" s="76"/>
      <c r="H154" s="76"/>
      <c r="I154" s="76"/>
      <c r="J154" s="76"/>
    </row>
    <row r="155" spans="1:10" x14ac:dyDescent="0.25">
      <c r="A155" s="76"/>
      <c r="B155" s="76"/>
      <c r="C155" s="76"/>
      <c r="D155" s="76"/>
      <c r="E155" s="76"/>
      <c r="F155" s="76"/>
      <c r="G155" s="76"/>
      <c r="H155" s="76"/>
      <c r="I155" s="76"/>
      <c r="J155" s="76"/>
    </row>
    <row r="156" spans="1:10" x14ac:dyDescent="0.25">
      <c r="A156" s="76"/>
      <c r="B156" s="76"/>
      <c r="C156" s="76"/>
      <c r="D156" s="76"/>
      <c r="E156" s="76"/>
      <c r="F156" s="76"/>
      <c r="G156" s="76"/>
      <c r="H156" s="76"/>
      <c r="I156" s="76"/>
      <c r="J156" s="76"/>
    </row>
    <row r="157" spans="1:10" x14ac:dyDescent="0.25">
      <c r="A157" s="76"/>
      <c r="B157" s="76"/>
      <c r="C157" s="76"/>
      <c r="D157" s="76"/>
      <c r="E157" s="76"/>
      <c r="F157" s="76"/>
      <c r="G157" s="76"/>
      <c r="H157" s="76"/>
      <c r="I157" s="76"/>
      <c r="J157" s="76"/>
    </row>
    <row r="158" spans="1:10" x14ac:dyDescent="0.25">
      <c r="A158" s="76"/>
      <c r="B158" s="76"/>
      <c r="C158" s="76"/>
      <c r="D158" s="76"/>
      <c r="E158" s="76"/>
      <c r="F158" s="76"/>
      <c r="G158" s="76"/>
      <c r="H158" s="76"/>
      <c r="I158" s="76"/>
      <c r="J158" s="76"/>
    </row>
    <row r="159" spans="1:10" x14ac:dyDescent="0.25">
      <c r="A159" s="76"/>
      <c r="B159" s="76"/>
      <c r="C159" s="76"/>
      <c r="D159" s="76"/>
      <c r="E159" s="76"/>
      <c r="F159" s="76"/>
      <c r="G159" s="76"/>
      <c r="H159" s="76"/>
      <c r="I159" s="76"/>
      <c r="J159" s="76"/>
    </row>
    <row r="160" spans="1:10" x14ac:dyDescent="0.25">
      <c r="A160" s="76"/>
      <c r="B160" s="76"/>
      <c r="C160" s="76"/>
      <c r="D160" s="76"/>
      <c r="E160" s="76"/>
      <c r="F160" s="76"/>
      <c r="G160" s="76"/>
      <c r="H160" s="76"/>
      <c r="I160" s="76"/>
      <c r="J160" s="76"/>
    </row>
    <row r="161" spans="1:10" x14ac:dyDescent="0.25">
      <c r="A161" s="76"/>
      <c r="B161" s="76"/>
      <c r="C161" s="76"/>
      <c r="D161" s="76"/>
      <c r="E161" s="76"/>
      <c r="F161" s="76"/>
      <c r="G161" s="76"/>
      <c r="H161" s="76"/>
      <c r="I161" s="76"/>
      <c r="J161" s="76"/>
    </row>
  </sheetData>
  <sheetProtection sheet="1" objects="1" scenarios="1" selectLockedCells="1"/>
  <phoneticPr fontId="2" type="noConversion"/>
  <pageMargins left="0.75" right="0.75" top="1" bottom="1" header="0.51180555555555596" footer="0.51180555555555596"/>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showGridLines="0" workbookViewId="0">
      <selection activeCell="A6" sqref="A6"/>
    </sheetView>
  </sheetViews>
  <sheetFormatPr defaultColWidth="9.88671875" defaultRowHeight="17.399999999999999" x14ac:dyDescent="0.25"/>
  <cols>
    <col min="1" max="1" width="9.44140625" style="49" bestFit="1" customWidth="1"/>
    <col min="2" max="2" width="8" style="56" bestFit="1" customWidth="1"/>
    <col min="3" max="3" width="6.21875" style="56" bestFit="1" customWidth="1"/>
    <col min="4" max="4" width="9.88671875" style="49"/>
    <col min="5" max="5" width="11.21875" style="49" bestFit="1" customWidth="1"/>
    <col min="6" max="6" width="10.33203125" style="49" bestFit="1" customWidth="1"/>
    <col min="7" max="16384" width="9.88671875" style="49"/>
  </cols>
  <sheetData>
    <row r="1" spans="1:10" x14ac:dyDescent="0.25">
      <c r="A1" s="57" t="s">
        <v>441</v>
      </c>
      <c r="B1" s="57" t="s">
        <v>442</v>
      </c>
      <c r="C1" s="57" t="s">
        <v>489</v>
      </c>
      <c r="E1" s="57" t="s">
        <v>3</v>
      </c>
      <c r="F1" s="57" t="s">
        <v>490</v>
      </c>
      <c r="J1" s="59"/>
    </row>
    <row r="2" spans="1:10" x14ac:dyDescent="0.25">
      <c r="A2" s="53">
        <v>0</v>
      </c>
      <c r="B2" s="58" t="s">
        <v>443</v>
      </c>
      <c r="C2" s="53" t="s">
        <v>443</v>
      </c>
      <c r="E2" s="58">
        <v>0</v>
      </c>
      <c r="F2" s="53">
        <v>0</v>
      </c>
    </row>
    <row r="3" spans="1:10" x14ac:dyDescent="0.25">
      <c r="A3" s="52">
        <v>2</v>
      </c>
      <c r="B3" s="52">
        <v>-2</v>
      </c>
      <c r="C3" s="52">
        <v>-2</v>
      </c>
      <c r="E3" s="52">
        <v>40</v>
      </c>
      <c r="F3" s="52">
        <v>1</v>
      </c>
    </row>
    <row r="4" spans="1:10" x14ac:dyDescent="0.25">
      <c r="A4" s="53">
        <v>65</v>
      </c>
      <c r="B4" s="58">
        <v>-1</v>
      </c>
      <c r="C4" s="53">
        <v>-1</v>
      </c>
      <c r="E4" s="58">
        <v>50</v>
      </c>
      <c r="F4" s="53">
        <v>2</v>
      </c>
    </row>
    <row r="5" spans="1:10" x14ac:dyDescent="0.25">
      <c r="A5" s="52">
        <v>85</v>
      </c>
      <c r="B5" s="52">
        <v>0</v>
      </c>
      <c r="C5" s="52">
        <v>0</v>
      </c>
      <c r="E5" s="52">
        <v>60</v>
      </c>
      <c r="F5" s="52">
        <v>3</v>
      </c>
    </row>
    <row r="6" spans="1:10" x14ac:dyDescent="0.25">
      <c r="A6" s="53">
        <v>125</v>
      </c>
      <c r="B6" s="58" t="s">
        <v>462</v>
      </c>
      <c r="C6" s="53">
        <v>1</v>
      </c>
      <c r="E6" s="58">
        <v>70</v>
      </c>
      <c r="F6" s="53">
        <v>4</v>
      </c>
    </row>
    <row r="7" spans="1:10" x14ac:dyDescent="0.25">
      <c r="A7" s="52">
        <v>165</v>
      </c>
      <c r="B7" s="52" t="s">
        <v>463</v>
      </c>
      <c r="C7" s="52">
        <v>2</v>
      </c>
      <c r="E7" s="52">
        <v>80</v>
      </c>
      <c r="F7" s="52">
        <v>5</v>
      </c>
    </row>
    <row r="8" spans="1:10" x14ac:dyDescent="0.25">
      <c r="A8" s="53">
        <v>205</v>
      </c>
      <c r="B8" s="58" t="s">
        <v>464</v>
      </c>
      <c r="C8" s="53">
        <v>3</v>
      </c>
    </row>
    <row r="9" spans="1:10" x14ac:dyDescent="0.25">
      <c r="A9" s="52">
        <v>285</v>
      </c>
      <c r="B9" s="52" t="s">
        <v>465</v>
      </c>
      <c r="C9" s="52">
        <v>4</v>
      </c>
      <c r="E9" s="464" t="s">
        <v>497</v>
      </c>
      <c r="F9" s="465"/>
    </row>
    <row r="10" spans="1:10" x14ac:dyDescent="0.25">
      <c r="A10" s="53">
        <v>365</v>
      </c>
      <c r="B10" s="58" t="s">
        <v>466</v>
      </c>
      <c r="C10" s="53">
        <v>5</v>
      </c>
      <c r="E10" s="58" t="s">
        <v>491</v>
      </c>
      <c r="F10" s="54">
        <f>人物卡!S3</f>
        <v>80</v>
      </c>
    </row>
    <row r="11" spans="1:10" x14ac:dyDescent="0.25">
      <c r="A11" s="52">
        <v>445</v>
      </c>
      <c r="B11" s="52" t="s">
        <v>467</v>
      </c>
      <c r="C11" s="52">
        <v>6</v>
      </c>
      <c r="E11" s="55" t="s">
        <v>492</v>
      </c>
      <c r="F11" s="55">
        <f>人物卡!Y3</f>
        <v>90</v>
      </c>
    </row>
    <row r="12" spans="1:10" x14ac:dyDescent="0.25">
      <c r="A12" s="53">
        <v>525</v>
      </c>
      <c r="B12" s="58" t="s">
        <v>468</v>
      </c>
      <c r="C12" s="53">
        <v>7</v>
      </c>
      <c r="E12" s="58" t="s">
        <v>502</v>
      </c>
      <c r="F12" s="60">
        <f>人物卡!S7</f>
        <v>90</v>
      </c>
    </row>
    <row r="13" spans="1:10" x14ac:dyDescent="0.25">
      <c r="A13" s="52">
        <v>605</v>
      </c>
      <c r="B13" s="52" t="s">
        <v>469</v>
      </c>
      <c r="C13" s="52">
        <v>8</v>
      </c>
      <c r="E13" s="61" t="s">
        <v>503</v>
      </c>
      <c r="F13" s="61" t="b">
        <f>IF(F10&gt;F12,TRUE())</f>
        <v>0</v>
      </c>
    </row>
    <row r="14" spans="1:10" x14ac:dyDescent="0.25">
      <c r="A14" s="53">
        <v>685</v>
      </c>
      <c r="B14" s="58" t="s">
        <v>470</v>
      </c>
      <c r="C14" s="53">
        <v>9</v>
      </c>
      <c r="E14" s="58" t="s">
        <v>504</v>
      </c>
      <c r="F14" s="60" t="b">
        <f>IF(F11&gt;F12,TRUE())</f>
        <v>0</v>
      </c>
    </row>
    <row r="15" spans="1:10" x14ac:dyDescent="0.25">
      <c r="A15" s="52">
        <v>765</v>
      </c>
      <c r="B15" s="52" t="s">
        <v>471</v>
      </c>
      <c r="C15" s="52">
        <v>10</v>
      </c>
      <c r="E15" s="61" t="s">
        <v>505</v>
      </c>
      <c r="F15" s="61" t="b">
        <f>IF(F10=F12,TRUE())</f>
        <v>0</v>
      </c>
    </row>
    <row r="16" spans="1:10" x14ac:dyDescent="0.25">
      <c r="A16" s="53">
        <v>845</v>
      </c>
      <c r="B16" s="58" t="s">
        <v>472</v>
      </c>
      <c r="C16" s="53">
        <v>11</v>
      </c>
      <c r="E16" s="58" t="s">
        <v>506</v>
      </c>
      <c r="F16" s="60" t="b">
        <f>IF(F11=F12,TRUE())</f>
        <v>1</v>
      </c>
    </row>
    <row r="17" spans="1:6" x14ac:dyDescent="0.25">
      <c r="A17" s="52">
        <v>925</v>
      </c>
      <c r="B17" s="52" t="s">
        <v>473</v>
      </c>
      <c r="C17" s="52">
        <v>12</v>
      </c>
      <c r="E17" s="61" t="s">
        <v>507</v>
      </c>
      <c r="F17" s="61" t="b">
        <f>IF(F10&lt;F12,TRUE())</f>
        <v>1</v>
      </c>
    </row>
    <row r="18" spans="1:6" x14ac:dyDescent="0.25">
      <c r="A18" s="53">
        <v>1005</v>
      </c>
      <c r="B18" s="58" t="s">
        <v>474</v>
      </c>
      <c r="C18" s="53">
        <v>13</v>
      </c>
      <c r="E18" s="58" t="s">
        <v>508</v>
      </c>
      <c r="F18" s="60" t="b">
        <f>IF(F11&lt;F12,TRUE())</f>
        <v>0</v>
      </c>
    </row>
    <row r="19" spans="1:6" x14ac:dyDescent="0.25">
      <c r="A19" s="52">
        <v>1085</v>
      </c>
      <c r="B19" s="52" t="s">
        <v>475</v>
      </c>
      <c r="C19" s="52">
        <v>14</v>
      </c>
      <c r="E19" s="61" t="s">
        <v>509</v>
      </c>
      <c r="F19" s="61" t="b">
        <f>AND(F17:F18)</f>
        <v>0</v>
      </c>
    </row>
    <row r="20" spans="1:6" x14ac:dyDescent="0.25">
      <c r="A20" s="53">
        <v>1165</v>
      </c>
      <c r="B20" s="58" t="s">
        <v>476</v>
      </c>
      <c r="C20" s="53">
        <v>15</v>
      </c>
      <c r="E20" s="58" t="s">
        <v>495</v>
      </c>
      <c r="F20" s="60" t="b">
        <f>AND(F13:F14)</f>
        <v>0</v>
      </c>
    </row>
    <row r="21" spans="1:6" x14ac:dyDescent="0.25">
      <c r="A21" s="52">
        <v>1245</v>
      </c>
      <c r="B21" s="52" t="s">
        <v>477</v>
      </c>
      <c r="C21" s="52">
        <v>16</v>
      </c>
      <c r="E21" s="61" t="s">
        <v>493</v>
      </c>
      <c r="F21" s="61" t="b">
        <f>AND(F15:F16)</f>
        <v>0</v>
      </c>
    </row>
    <row r="22" spans="1:6" x14ac:dyDescent="0.25">
      <c r="A22" s="53">
        <v>1325</v>
      </c>
      <c r="B22" s="58" t="s">
        <v>478</v>
      </c>
      <c r="C22" s="53">
        <v>17</v>
      </c>
      <c r="E22" s="58" t="s">
        <v>496</v>
      </c>
      <c r="F22" s="60" t="b">
        <f>OR(F13:F14)</f>
        <v>0</v>
      </c>
    </row>
    <row r="23" spans="1:6" x14ac:dyDescent="0.25">
      <c r="A23" s="52">
        <v>1405</v>
      </c>
      <c r="B23" s="52" t="s">
        <v>479</v>
      </c>
      <c r="C23" s="52">
        <v>18</v>
      </c>
      <c r="E23" s="61" t="s">
        <v>494</v>
      </c>
      <c r="F23" s="61">
        <f>IF(OR(F15:F16),7,0)</f>
        <v>7</v>
      </c>
    </row>
    <row r="24" spans="1:6" x14ac:dyDescent="0.25">
      <c r="A24" s="53">
        <v>1485</v>
      </c>
      <c r="B24" s="58" t="s">
        <v>480</v>
      </c>
      <c r="C24" s="53">
        <v>19</v>
      </c>
      <c r="E24" s="58" t="s">
        <v>510</v>
      </c>
      <c r="F24" s="60">
        <f>IF(F19,7,0)</f>
        <v>0</v>
      </c>
    </row>
    <row r="25" spans="1:6" x14ac:dyDescent="0.25">
      <c r="A25" s="52">
        <v>1565</v>
      </c>
      <c r="B25" s="52" t="s">
        <v>481</v>
      </c>
      <c r="C25" s="52">
        <v>20</v>
      </c>
      <c r="E25" s="61" t="s">
        <v>511</v>
      </c>
      <c r="F25" s="61">
        <f>IF(F20,9,0)</f>
        <v>0</v>
      </c>
    </row>
    <row r="26" spans="1:6" x14ac:dyDescent="0.25">
      <c r="A26" s="53">
        <v>1645</v>
      </c>
      <c r="B26" s="58" t="s">
        <v>482</v>
      </c>
      <c r="C26" s="53">
        <v>21</v>
      </c>
      <c r="E26" s="58" t="s">
        <v>512</v>
      </c>
      <c r="F26" s="60">
        <f>IF(OR(F21:F22),8,0)</f>
        <v>0</v>
      </c>
    </row>
    <row r="27" spans="1:6" x14ac:dyDescent="0.25">
      <c r="A27" s="52">
        <v>1725</v>
      </c>
      <c r="B27" s="52" t="s">
        <v>483</v>
      </c>
      <c r="C27" s="52">
        <v>22</v>
      </c>
      <c r="E27" s="61" t="s">
        <v>513</v>
      </c>
      <c r="F27" s="61">
        <f>MAX(F23:F26)</f>
        <v>7</v>
      </c>
    </row>
    <row r="28" spans="1:6" x14ac:dyDescent="0.25">
      <c r="A28" s="53">
        <v>1805</v>
      </c>
      <c r="B28" s="58" t="s">
        <v>484</v>
      </c>
      <c r="C28" s="53">
        <v>23</v>
      </c>
    </row>
    <row r="29" spans="1:6" x14ac:dyDescent="0.25">
      <c r="A29" s="52">
        <v>1885</v>
      </c>
      <c r="B29" s="52" t="s">
        <v>485</v>
      </c>
      <c r="C29" s="52">
        <v>24</v>
      </c>
    </row>
    <row r="30" spans="1:6" x14ac:dyDescent="0.25">
      <c r="A30" s="53">
        <v>1965</v>
      </c>
      <c r="B30" s="58" t="s">
        <v>486</v>
      </c>
      <c r="C30" s="53">
        <v>25</v>
      </c>
    </row>
    <row r="31" spans="1:6" x14ac:dyDescent="0.25">
      <c r="A31" s="52">
        <v>2045</v>
      </c>
      <c r="B31" s="52" t="s">
        <v>487</v>
      </c>
      <c r="C31" s="52">
        <v>26</v>
      </c>
    </row>
    <row r="32" spans="1:6" x14ac:dyDescent="0.25">
      <c r="A32" s="53">
        <v>2125</v>
      </c>
      <c r="B32" s="58" t="s">
        <v>488</v>
      </c>
      <c r="C32" s="53">
        <v>27</v>
      </c>
    </row>
  </sheetData>
  <mergeCells count="1">
    <mergeCell ref="E9:F9"/>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属性和掷骰</vt:lpstr>
      <vt:lpstr>txt输出</vt:lpstr>
      <vt:lpstr>武器列表</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王膺杰</cp:lastModifiedBy>
  <dcterms:created xsi:type="dcterms:W3CDTF">2015-07-06T01:28:16Z</dcterms:created>
  <dcterms:modified xsi:type="dcterms:W3CDTF">2019-07-12T14:23:39Z</dcterms:modified>
  <cp:contentStatus/>
</cp:coreProperties>
</file>